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2370" windowHeight="1215" firstSheet="13" activeTab="23"/>
  </bookViews>
  <sheets>
    <sheet name="Sliding and french window" sheetId="25" state="hidden" r:id="rId1"/>
    <sheet name="Abstract" sheetId="69" state="hidden" r:id="rId2"/>
    <sheet name="Detailed" sheetId="70" state="hidden" r:id="rId3"/>
    <sheet name="Below Basement Detail" sheetId="72" r:id="rId4"/>
    <sheet name="Above basement Detail" sheetId="73" r:id="rId5"/>
    <sheet name="S.Tank" sheetId="74" r:id="rId6"/>
    <sheet name="Plinth Protection" sheetId="80" r:id="rId7"/>
    <sheet name="Sump" sheetId="92" r:id="rId8"/>
    <sheet name="Pump Room" sheetId="93" r:id="rId9"/>
    <sheet name="Sullage Drain" sheetId="89" r:id="rId10"/>
    <sheet name="TW SHED" sheetId="87" r:id="rId11"/>
    <sheet name="C.Wall" sheetId="88" state="hidden" r:id="rId12"/>
    <sheet name="DETAILED-C.WALL" sheetId="90" r:id="rId13"/>
    <sheet name="PAVER ROAD" sheetId="91" r:id="rId14"/>
    <sheet name="PAVER" sheetId="81" state="hidden" r:id="rId15"/>
    <sheet name="Culvert" sheetId="86" r:id="rId16"/>
    <sheet name="BOREWELL &amp; EWS" sheetId="82" r:id="rId17"/>
    <sheet name="Ext.  Elec." sheetId="83" r:id="rId18"/>
    <sheet name="Num &amp; Lett." sheetId="84" state="hidden" r:id="rId19"/>
    <sheet name="Data" sheetId="1" r:id="rId20"/>
    <sheet name="Print Data" sheetId="68" state="hidden" r:id="rId21"/>
    <sheet name="Sheet1" sheetId="65" state="hidden" r:id="rId22"/>
    <sheet name="A. DATA" sheetId="79" r:id="rId23"/>
    <sheet name="Filling" sheetId="94"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______________________add1157" localSheetId="23">#REF!</definedName>
    <definedName name="_______________________add1157">#REF!</definedName>
    <definedName name="______________________add1157" localSheetId="23">#REF!</definedName>
    <definedName name="______________________add1157">#REF!</definedName>
    <definedName name="______________________kk232" localSheetId="23">#REF!</definedName>
    <definedName name="______________________kk232">#REF!</definedName>
    <definedName name="______________________xx559" localSheetId="23">#REF!</definedName>
    <definedName name="______________________xx559">#REF!</definedName>
    <definedName name="_____________________add1157" localSheetId="23">#REF!</definedName>
    <definedName name="_____________________add1157">#REF!</definedName>
    <definedName name="_____________________kk232" localSheetId="23">#REF!</definedName>
    <definedName name="_____________________kk232">#REF!</definedName>
    <definedName name="_____________________xx559" localSheetId="23">#REF!</definedName>
    <definedName name="_____________________xx559">#REF!</definedName>
    <definedName name="____________________add1157" localSheetId="23">#REF!</definedName>
    <definedName name="____________________add1157">#REF!</definedName>
    <definedName name="____________________kk232" localSheetId="23">#REF!</definedName>
    <definedName name="____________________kk232">#REF!</definedName>
    <definedName name="____________________xx559" localSheetId="23">#REF!</definedName>
    <definedName name="____________________xx559">#REF!</definedName>
    <definedName name="___________________add1157" localSheetId="23">#REF!</definedName>
    <definedName name="___________________add1157">#REF!</definedName>
    <definedName name="___________________kk232" localSheetId="23">#REF!</definedName>
    <definedName name="___________________kk232">#REF!</definedName>
    <definedName name="___________________xx559" localSheetId="23">#REF!</definedName>
    <definedName name="___________________xx559">#REF!</definedName>
    <definedName name="__________________add1157" localSheetId="23">#REF!</definedName>
    <definedName name="__________________add1157">#REF!</definedName>
    <definedName name="__________________kK1312" localSheetId="23">#REF!</definedName>
    <definedName name="__________________kK1312">#REF!</definedName>
    <definedName name="__________________kk232" localSheetId="23">#REF!</definedName>
    <definedName name="__________________kk232">#REF!</definedName>
    <definedName name="__________________xx559" localSheetId="23">#REF!</definedName>
    <definedName name="__________________xx559">#REF!</definedName>
    <definedName name="_________________add1157" localSheetId="23">#REF!</definedName>
    <definedName name="_________________add1157">#REF!</definedName>
    <definedName name="_________________kK1312" localSheetId="23">#REF!</definedName>
    <definedName name="_________________kK1312">#REF!</definedName>
    <definedName name="_________________kk232" localSheetId="23">#REF!</definedName>
    <definedName name="_________________kk232">#REF!</definedName>
    <definedName name="_________________xx559" localSheetId="23">#REF!</definedName>
    <definedName name="_________________xx559">#REF!</definedName>
    <definedName name="________________abs3" localSheetId="23">#REF!</definedName>
    <definedName name="________________abs3">#REF!</definedName>
    <definedName name="________________abs32" localSheetId="23">#REF!</definedName>
    <definedName name="________________abs32">#REF!</definedName>
    <definedName name="________________add1157" localSheetId="23">#REF!</definedName>
    <definedName name="________________add1157">#REF!</definedName>
    <definedName name="________________kK1312" localSheetId="23">#REF!</definedName>
    <definedName name="________________kK1312">#REF!</definedName>
    <definedName name="________________kk232" localSheetId="23">#REF!</definedName>
    <definedName name="________________kk232">#REF!</definedName>
    <definedName name="________________wr3" localSheetId="23">#REF!</definedName>
    <definedName name="________________wr3">#REF!</definedName>
    <definedName name="________________xx559" localSheetId="23">#REF!</definedName>
    <definedName name="________________xx559">#REF!</definedName>
    <definedName name="_______________abs3" localSheetId="23">#REF!</definedName>
    <definedName name="_______________abs3">#REF!</definedName>
    <definedName name="_______________abs32" localSheetId="23">#REF!</definedName>
    <definedName name="_______________abs32">#REF!</definedName>
    <definedName name="_______________add1157" localSheetId="23">#REF!</definedName>
    <definedName name="_______________add1157">#REF!</definedName>
    <definedName name="_______________kK1312" localSheetId="23">#REF!</definedName>
    <definedName name="_______________kK1312">#REF!</definedName>
    <definedName name="_______________kk232" localSheetId="23">#REF!</definedName>
    <definedName name="_______________kk232">#REF!</definedName>
    <definedName name="_______________wr3" localSheetId="23">#REF!</definedName>
    <definedName name="_______________wr3">#REF!</definedName>
    <definedName name="_______________xx559" localSheetId="23">#REF!</definedName>
    <definedName name="_______________xx559">#REF!</definedName>
    <definedName name="______________abs3" localSheetId="23">#REF!</definedName>
    <definedName name="______________abs3">#REF!</definedName>
    <definedName name="______________abs32" localSheetId="23">#REF!</definedName>
    <definedName name="______________abs32">#REF!</definedName>
    <definedName name="______________add1157" localSheetId="23">#REF!</definedName>
    <definedName name="______________add1157">#REF!</definedName>
    <definedName name="______________kK1312" localSheetId="23">#REF!</definedName>
    <definedName name="______________kK1312">#REF!</definedName>
    <definedName name="______________kk232" localSheetId="23">#REF!</definedName>
    <definedName name="______________kk232">#REF!</definedName>
    <definedName name="______________wr3" localSheetId="23">#REF!</definedName>
    <definedName name="______________wr3">#REF!</definedName>
    <definedName name="______________xx559" localSheetId="23">#REF!</definedName>
    <definedName name="______________xx559">#REF!</definedName>
    <definedName name="_____________abs3" localSheetId="23">#REF!</definedName>
    <definedName name="_____________abs3">#REF!</definedName>
    <definedName name="_____________abs32" localSheetId="23">#REF!</definedName>
    <definedName name="_____________abs32">#REF!</definedName>
    <definedName name="_____________add1157" localSheetId="23">#REF!</definedName>
    <definedName name="_____________add1157">#REF!</definedName>
    <definedName name="_____________kK1312" localSheetId="23">#REF!</definedName>
    <definedName name="_____________kK1312">#REF!</definedName>
    <definedName name="_____________kk232" localSheetId="23">#REF!</definedName>
    <definedName name="_____________kk232">#REF!</definedName>
    <definedName name="_____________wr3" localSheetId="23">#REF!</definedName>
    <definedName name="_____________wr3">#REF!</definedName>
    <definedName name="_____________xx559" localSheetId="23">#REF!</definedName>
    <definedName name="_____________xx559">#REF!</definedName>
    <definedName name="____________abs3" localSheetId="23">#REF!</definedName>
    <definedName name="____________abs3">#REF!</definedName>
    <definedName name="____________abs32" localSheetId="23">#REF!</definedName>
    <definedName name="____________abs32">#REF!</definedName>
    <definedName name="____________add1157" localSheetId="23">#REF!</definedName>
    <definedName name="____________add1157">#REF!</definedName>
    <definedName name="____________kK1312" localSheetId="23">#REF!</definedName>
    <definedName name="____________kK1312">#REF!</definedName>
    <definedName name="____________kk232" localSheetId="23">#REF!</definedName>
    <definedName name="____________kk232">#REF!</definedName>
    <definedName name="____________wr3" localSheetId="23">#REF!</definedName>
    <definedName name="____________wr3">#REF!</definedName>
    <definedName name="____________xx559" localSheetId="23">#REF!</definedName>
    <definedName name="____________xx559">#REF!</definedName>
    <definedName name="___________abs3" localSheetId="23">#REF!</definedName>
    <definedName name="___________abs3">#REF!</definedName>
    <definedName name="___________abs32" localSheetId="23">#REF!</definedName>
    <definedName name="___________abs32">#REF!</definedName>
    <definedName name="___________add1157" localSheetId="23">#REF!</definedName>
    <definedName name="___________add1157">#REF!</definedName>
    <definedName name="___________kK1312" localSheetId="23">#REF!</definedName>
    <definedName name="___________kK1312">#REF!</definedName>
    <definedName name="___________kk232" localSheetId="23">#REF!</definedName>
    <definedName name="___________kk232">#REF!</definedName>
    <definedName name="___________wr3" localSheetId="23">#REF!</definedName>
    <definedName name="___________wr3">#REF!</definedName>
    <definedName name="___________xx559" localSheetId="23">#REF!</definedName>
    <definedName name="___________xx559">#REF!</definedName>
    <definedName name="__________abs3" localSheetId="23">#REF!</definedName>
    <definedName name="__________abs3">#REF!</definedName>
    <definedName name="__________abs32" localSheetId="23">#REF!</definedName>
    <definedName name="__________abs32">#REF!</definedName>
    <definedName name="__________add1157" localSheetId="23">#REF!</definedName>
    <definedName name="__________add1157">#REF!</definedName>
    <definedName name="__________kK1312" localSheetId="23">#REF!</definedName>
    <definedName name="__________kK1312">#REF!</definedName>
    <definedName name="__________kk232" localSheetId="23">#REF!</definedName>
    <definedName name="__________kk232">#REF!</definedName>
    <definedName name="__________wr3" localSheetId="23">#REF!</definedName>
    <definedName name="__________wr3">#REF!</definedName>
    <definedName name="__________xx559" localSheetId="23">#REF!</definedName>
    <definedName name="__________xx559">#REF!</definedName>
    <definedName name="_________abs3" localSheetId="23">#REF!</definedName>
    <definedName name="_________abs3">#REF!</definedName>
    <definedName name="_________abs32" localSheetId="23">#REF!</definedName>
    <definedName name="_________abs32">#REF!</definedName>
    <definedName name="_________add1157" localSheetId="22">#REF!</definedName>
    <definedName name="_________add1157" localSheetId="16">#REF!</definedName>
    <definedName name="_________add1157" localSheetId="11">#REF!</definedName>
    <definedName name="_________add1157" localSheetId="15">#REF!</definedName>
    <definedName name="_________add1157" localSheetId="17">#REF!</definedName>
    <definedName name="_________add1157" localSheetId="23">#REF!</definedName>
    <definedName name="_________add1157" localSheetId="18">#REF!</definedName>
    <definedName name="_________add1157" localSheetId="14">#REF!</definedName>
    <definedName name="_________add1157" localSheetId="6">#REF!</definedName>
    <definedName name="_________add1157" localSheetId="10">#REF!</definedName>
    <definedName name="_________add1157">#REF!</definedName>
    <definedName name="_________kK1312" localSheetId="23">#REF!</definedName>
    <definedName name="_________kK1312">#REF!</definedName>
    <definedName name="_________kk232" localSheetId="23">#REF!</definedName>
    <definedName name="_________kk232">#REF!</definedName>
    <definedName name="_________wr3" localSheetId="23">#REF!</definedName>
    <definedName name="_________wr3">#REF!</definedName>
    <definedName name="_________xx559" localSheetId="23">#REF!</definedName>
    <definedName name="_________xx559">#REF!</definedName>
    <definedName name="________abs3" localSheetId="23">#REF!</definedName>
    <definedName name="________abs3">#REF!</definedName>
    <definedName name="________abs32" localSheetId="23">#REF!</definedName>
    <definedName name="________abs32">#REF!</definedName>
    <definedName name="________add1157" localSheetId="22">#REF!</definedName>
    <definedName name="________add1157" localSheetId="3">#REF!</definedName>
    <definedName name="________add1157" localSheetId="16">#REF!</definedName>
    <definedName name="________add1157" localSheetId="11">#REF!</definedName>
    <definedName name="________add1157" localSheetId="15">#REF!</definedName>
    <definedName name="________add1157" localSheetId="17">#REF!</definedName>
    <definedName name="________add1157" localSheetId="23">#REF!</definedName>
    <definedName name="________add1157" localSheetId="18">#REF!</definedName>
    <definedName name="________add1157" localSheetId="14">#REF!</definedName>
    <definedName name="________add1157" localSheetId="6">#REF!</definedName>
    <definedName name="________add1157" localSheetId="10">#REF!</definedName>
    <definedName name="________add1157">#REF!</definedName>
    <definedName name="________kK1312" localSheetId="23">#REF!</definedName>
    <definedName name="________kK1312">#REF!</definedName>
    <definedName name="________kk232" localSheetId="22">#REF!</definedName>
    <definedName name="________kk232" localSheetId="16">#REF!</definedName>
    <definedName name="________kk232" localSheetId="11">#REF!</definedName>
    <definedName name="________kk232" localSheetId="15">#REF!</definedName>
    <definedName name="________kk232" localSheetId="17">#REF!</definedName>
    <definedName name="________kk232" localSheetId="23">#REF!</definedName>
    <definedName name="________kk232" localSheetId="18">#REF!</definedName>
    <definedName name="________kk232" localSheetId="14">#REF!</definedName>
    <definedName name="________kk232" localSheetId="6">#REF!</definedName>
    <definedName name="________kk232" localSheetId="10">#REF!</definedName>
    <definedName name="________kk232">#REF!</definedName>
    <definedName name="________wr3" localSheetId="23">#REF!</definedName>
    <definedName name="________wr3">#REF!</definedName>
    <definedName name="________xx559" localSheetId="22">#REF!</definedName>
    <definedName name="________xx559" localSheetId="16">#REF!</definedName>
    <definedName name="________xx559" localSheetId="11">#REF!</definedName>
    <definedName name="________xx559" localSheetId="15">#REF!</definedName>
    <definedName name="________xx559" localSheetId="17">#REF!</definedName>
    <definedName name="________xx559" localSheetId="23">#REF!</definedName>
    <definedName name="________xx559" localSheetId="18">#REF!</definedName>
    <definedName name="________xx559" localSheetId="14">#REF!</definedName>
    <definedName name="________xx559" localSheetId="6">#REF!</definedName>
    <definedName name="________xx559" localSheetId="10">#REF!</definedName>
    <definedName name="________xx559">#REF!</definedName>
    <definedName name="_______abs3" localSheetId="23">#REF!</definedName>
    <definedName name="_______abs3">#REF!</definedName>
    <definedName name="_______abs32" localSheetId="23">#REF!</definedName>
    <definedName name="_______abs32">#REF!</definedName>
    <definedName name="_______add1157" localSheetId="22">#REF!</definedName>
    <definedName name="_______add1157" localSheetId="3">#REF!</definedName>
    <definedName name="_______add1157" localSheetId="16">#REF!</definedName>
    <definedName name="_______add1157" localSheetId="11">#REF!</definedName>
    <definedName name="_______add1157" localSheetId="15">#REF!</definedName>
    <definedName name="_______add1157" localSheetId="17">#REF!</definedName>
    <definedName name="_______add1157" localSheetId="23">#REF!</definedName>
    <definedName name="_______add1157" localSheetId="18">#REF!</definedName>
    <definedName name="_______add1157" localSheetId="14">#REF!</definedName>
    <definedName name="_______add1157" localSheetId="6">#REF!</definedName>
    <definedName name="_______add1157" localSheetId="10">#REF!</definedName>
    <definedName name="_______add1157">#REF!</definedName>
    <definedName name="_______kK1312" localSheetId="23">#REF!</definedName>
    <definedName name="_______kK1312">#REF!</definedName>
    <definedName name="_______kk232" localSheetId="22">#REF!</definedName>
    <definedName name="_______kk232" localSheetId="3">#REF!</definedName>
    <definedName name="_______kk232" localSheetId="16">#REF!</definedName>
    <definedName name="_______kk232" localSheetId="11">#REF!</definedName>
    <definedName name="_______kk232" localSheetId="15">#REF!</definedName>
    <definedName name="_______kk232" localSheetId="17">#REF!</definedName>
    <definedName name="_______kk232" localSheetId="23">#REF!</definedName>
    <definedName name="_______kk232" localSheetId="18">#REF!</definedName>
    <definedName name="_______kk232" localSheetId="14">#REF!</definedName>
    <definedName name="_______kk232" localSheetId="6">#REF!</definedName>
    <definedName name="_______kk232" localSheetId="10">#REF!</definedName>
    <definedName name="_______kk232">#REF!</definedName>
    <definedName name="_______RCC115">[1]Spec!$B$12</definedName>
    <definedName name="_______wr3" localSheetId="23">#REF!</definedName>
    <definedName name="_______wr3">#REF!</definedName>
    <definedName name="_______xx559" localSheetId="22">#REF!</definedName>
    <definedName name="_______xx559" localSheetId="3">#REF!</definedName>
    <definedName name="_______xx559" localSheetId="16">#REF!</definedName>
    <definedName name="_______xx559" localSheetId="11">#REF!</definedName>
    <definedName name="_______xx559" localSheetId="15">#REF!</definedName>
    <definedName name="_______xx559" localSheetId="17">#REF!</definedName>
    <definedName name="_______xx559" localSheetId="23">#REF!</definedName>
    <definedName name="_______xx559" localSheetId="18">#REF!</definedName>
    <definedName name="_______xx559" localSheetId="14">#REF!</definedName>
    <definedName name="_______xx559" localSheetId="6">#REF!</definedName>
    <definedName name="_______xx559" localSheetId="10">#REF!</definedName>
    <definedName name="_______xx559">#REF!</definedName>
    <definedName name="______add1157" localSheetId="22">#REF!</definedName>
    <definedName name="______add1157" localSheetId="3">#REF!</definedName>
    <definedName name="______add1157" localSheetId="16">#REF!</definedName>
    <definedName name="______add1157" localSheetId="11">#REF!</definedName>
    <definedName name="______add1157" localSheetId="15">#REF!</definedName>
    <definedName name="______add1157" localSheetId="17">#REF!</definedName>
    <definedName name="______add1157" localSheetId="23">#REF!</definedName>
    <definedName name="______add1157" localSheetId="18">#REF!</definedName>
    <definedName name="______add1157" localSheetId="14">#REF!</definedName>
    <definedName name="______add1157" localSheetId="6">#REF!</definedName>
    <definedName name="______add1157" localSheetId="10">#REF!</definedName>
    <definedName name="______add1157">#REF!</definedName>
    <definedName name="______kK1312" localSheetId="23">#REF!</definedName>
    <definedName name="______kK1312">#REF!</definedName>
    <definedName name="______kk232" localSheetId="22">#REF!</definedName>
    <definedName name="______kk232" localSheetId="4">#REF!</definedName>
    <definedName name="______kk232" localSheetId="3">#REF!</definedName>
    <definedName name="______kk232" localSheetId="16">#REF!</definedName>
    <definedName name="______kk232" localSheetId="11">#REF!</definedName>
    <definedName name="______kk232" localSheetId="15">#REF!</definedName>
    <definedName name="______kk232" localSheetId="12">#REF!</definedName>
    <definedName name="______kk232" localSheetId="17">#REF!</definedName>
    <definedName name="______kk232" localSheetId="23">#REF!</definedName>
    <definedName name="______kk232" localSheetId="18">#REF!</definedName>
    <definedName name="______kk232" localSheetId="14">#REF!</definedName>
    <definedName name="______kk232" localSheetId="13">#REF!</definedName>
    <definedName name="______kk232" localSheetId="6">#REF!</definedName>
    <definedName name="______kk232" localSheetId="8">#REF!</definedName>
    <definedName name="______kk232" localSheetId="9">#REF!</definedName>
    <definedName name="______kk232" localSheetId="7">#REF!</definedName>
    <definedName name="______kk232" localSheetId="10">#REF!</definedName>
    <definedName name="______kk232">#REF!</definedName>
    <definedName name="______RCC115">[2]Spec!$B$12</definedName>
    <definedName name="______xx559" localSheetId="22">#REF!</definedName>
    <definedName name="______xx559" localSheetId="3">#REF!</definedName>
    <definedName name="______xx559" localSheetId="16">#REF!</definedName>
    <definedName name="______xx559" localSheetId="11">#REF!</definedName>
    <definedName name="______xx559" localSheetId="15">#REF!</definedName>
    <definedName name="______xx559" localSheetId="17">#REF!</definedName>
    <definedName name="______xx559" localSheetId="23">#REF!</definedName>
    <definedName name="______xx559" localSheetId="18">#REF!</definedName>
    <definedName name="______xx559" localSheetId="14">#REF!</definedName>
    <definedName name="______xx559" localSheetId="6">#REF!</definedName>
    <definedName name="______xx559" localSheetId="10">#REF!</definedName>
    <definedName name="______xx559">#REF!</definedName>
    <definedName name="_____abs3" localSheetId="23">#REF!</definedName>
    <definedName name="_____abs3">#REF!</definedName>
    <definedName name="_____abs32" localSheetId="23">#REF!</definedName>
    <definedName name="_____abs32">#REF!</definedName>
    <definedName name="_____add1157" localSheetId="22">#REF!</definedName>
    <definedName name="_____add1157" localSheetId="3">#REF!</definedName>
    <definedName name="_____add1157" localSheetId="16">#REF!</definedName>
    <definedName name="_____add1157" localSheetId="11">#REF!</definedName>
    <definedName name="_____add1157" localSheetId="15">#REF!</definedName>
    <definedName name="_____add1157" localSheetId="17">#REF!</definedName>
    <definedName name="_____add1157" localSheetId="23">#REF!</definedName>
    <definedName name="_____add1157" localSheetId="18">#REF!</definedName>
    <definedName name="_____add1157" localSheetId="14">#REF!</definedName>
    <definedName name="_____add1157" localSheetId="6">#REF!</definedName>
    <definedName name="_____add1157" localSheetId="10">#REF!</definedName>
    <definedName name="_____add1157">#REF!</definedName>
    <definedName name="_____kK1312" localSheetId="23">#REF!</definedName>
    <definedName name="_____kK1312">#REF!</definedName>
    <definedName name="_____kk232" localSheetId="22">#REF!</definedName>
    <definedName name="_____kk232" localSheetId="3">#REF!</definedName>
    <definedName name="_____kk232" localSheetId="16">#REF!</definedName>
    <definedName name="_____kk232" localSheetId="11">#REF!</definedName>
    <definedName name="_____kk232" localSheetId="15">#REF!</definedName>
    <definedName name="_____kk232" localSheetId="17">#REF!</definedName>
    <definedName name="_____kk232" localSheetId="23">#REF!</definedName>
    <definedName name="_____kk232" localSheetId="18">#REF!</definedName>
    <definedName name="_____kk232" localSheetId="14">#REF!</definedName>
    <definedName name="_____kk232" localSheetId="6">#REF!</definedName>
    <definedName name="_____kk232" localSheetId="10">#REF!</definedName>
    <definedName name="_____kk232">#REF!</definedName>
    <definedName name="_____RCC115">[3]Spec!$B$12</definedName>
    <definedName name="_____wr3" localSheetId="23">#REF!</definedName>
    <definedName name="_____wr3">#REF!</definedName>
    <definedName name="_____xx559" localSheetId="22">#REF!</definedName>
    <definedName name="_____xx559" localSheetId="3">#REF!</definedName>
    <definedName name="_____xx559" localSheetId="16">#REF!</definedName>
    <definedName name="_____xx559" localSheetId="11">#REF!</definedName>
    <definedName name="_____xx559" localSheetId="15">#REF!</definedName>
    <definedName name="_____xx559" localSheetId="17">#REF!</definedName>
    <definedName name="_____xx559" localSheetId="23">#REF!</definedName>
    <definedName name="_____xx559" localSheetId="18">#REF!</definedName>
    <definedName name="_____xx559" localSheetId="14">#REF!</definedName>
    <definedName name="_____xx559" localSheetId="6">#REF!</definedName>
    <definedName name="_____xx559" localSheetId="10">#REF!</definedName>
    <definedName name="_____xx559">#REF!</definedName>
    <definedName name="____A65539" localSheetId="23">#REF!</definedName>
    <definedName name="____A65539">#REF!</definedName>
    <definedName name="____abs3" localSheetId="12">#REF!</definedName>
    <definedName name="____abs3" localSheetId="23">#REF!</definedName>
    <definedName name="____abs3" localSheetId="13">#REF!</definedName>
    <definedName name="____abs3" localSheetId="8">#REF!</definedName>
    <definedName name="____abs3" localSheetId="9">#REF!</definedName>
    <definedName name="____abs3" localSheetId="7">#REF!</definedName>
    <definedName name="____abs3">#REF!</definedName>
    <definedName name="____abs32" localSheetId="12">#REF!</definedName>
    <definedName name="____abs32" localSheetId="23">#REF!</definedName>
    <definedName name="____abs32" localSheetId="13">#REF!</definedName>
    <definedName name="____abs32" localSheetId="8">#REF!</definedName>
    <definedName name="____abs32" localSheetId="9">#REF!</definedName>
    <definedName name="____abs32" localSheetId="7">#REF!</definedName>
    <definedName name="____abs32">#REF!</definedName>
    <definedName name="____add1157" localSheetId="22">#REF!</definedName>
    <definedName name="____add1157" localSheetId="3">#REF!</definedName>
    <definedName name="____add1157" localSheetId="16">#REF!</definedName>
    <definedName name="____add1157" localSheetId="11">#REF!</definedName>
    <definedName name="____add1157" localSheetId="15">#REF!</definedName>
    <definedName name="____add1157" localSheetId="17">#REF!</definedName>
    <definedName name="____add1157" localSheetId="23">#REF!</definedName>
    <definedName name="____add1157" localSheetId="18">#REF!</definedName>
    <definedName name="____add1157" localSheetId="14">#REF!</definedName>
    <definedName name="____add1157" localSheetId="6">#REF!</definedName>
    <definedName name="____add1157" localSheetId="10">#REF!</definedName>
    <definedName name="____add1157">#REF!</definedName>
    <definedName name="____kK1312" localSheetId="22">#REF!</definedName>
    <definedName name="____kK1312" localSheetId="16">#REF!</definedName>
    <definedName name="____kK1312" localSheetId="11">#REF!</definedName>
    <definedName name="____kK1312" localSheetId="15">#REF!</definedName>
    <definedName name="____kK1312" localSheetId="17">#REF!</definedName>
    <definedName name="____kK1312" localSheetId="23">#REF!</definedName>
    <definedName name="____kK1312" localSheetId="18">#REF!</definedName>
    <definedName name="____kK1312" localSheetId="14">#REF!</definedName>
    <definedName name="____kK1312" localSheetId="6">#REF!</definedName>
    <definedName name="____kK1312" localSheetId="10">#REF!</definedName>
    <definedName name="____kK1312">#REF!</definedName>
    <definedName name="____kk232" localSheetId="22">#REF!</definedName>
    <definedName name="____kk232" localSheetId="4">#REF!</definedName>
    <definedName name="____kk232" localSheetId="3">#REF!</definedName>
    <definedName name="____kk232" localSheetId="16">#REF!</definedName>
    <definedName name="____kk232" localSheetId="11">#REF!</definedName>
    <definedName name="____kk232" localSheetId="15">#REF!</definedName>
    <definedName name="____kk232" localSheetId="12">#REF!</definedName>
    <definedName name="____kk232" localSheetId="17">#REF!</definedName>
    <definedName name="____kk232" localSheetId="23">#REF!</definedName>
    <definedName name="____kk232" localSheetId="18">#REF!</definedName>
    <definedName name="____kk232" localSheetId="14">#REF!</definedName>
    <definedName name="____kk232" localSheetId="13">#REF!</definedName>
    <definedName name="____kk232" localSheetId="6">#REF!</definedName>
    <definedName name="____kk232" localSheetId="8">#REF!</definedName>
    <definedName name="____kk232" localSheetId="9">#REF!</definedName>
    <definedName name="____kk232" localSheetId="7">#REF!</definedName>
    <definedName name="____kk232" localSheetId="10">#REF!</definedName>
    <definedName name="____kk232">#REF!</definedName>
    <definedName name="____RCC115">[3]Spec!$B$12</definedName>
    <definedName name="____wr3" localSheetId="12">#REF!</definedName>
    <definedName name="____wr3" localSheetId="23">#REF!</definedName>
    <definedName name="____wr3" localSheetId="13">#REF!</definedName>
    <definedName name="____wr3" localSheetId="8">#REF!</definedName>
    <definedName name="____wr3" localSheetId="9">#REF!</definedName>
    <definedName name="____wr3" localSheetId="7">#REF!</definedName>
    <definedName name="____wr3">#REF!</definedName>
    <definedName name="____xx559" localSheetId="22">#REF!</definedName>
    <definedName name="____xx559" localSheetId="4">#REF!</definedName>
    <definedName name="____xx559" localSheetId="3">#REF!</definedName>
    <definedName name="____xx559" localSheetId="16">#REF!</definedName>
    <definedName name="____xx559" localSheetId="11">#REF!</definedName>
    <definedName name="____xx559" localSheetId="15">#REF!</definedName>
    <definedName name="____xx559" localSheetId="12">#REF!</definedName>
    <definedName name="____xx559" localSheetId="17">#REF!</definedName>
    <definedName name="____xx559" localSheetId="23">#REF!</definedName>
    <definedName name="____xx559" localSheetId="18">#REF!</definedName>
    <definedName name="____xx559" localSheetId="14">#REF!</definedName>
    <definedName name="____xx559" localSheetId="13">#REF!</definedName>
    <definedName name="____xx559" localSheetId="6">#REF!</definedName>
    <definedName name="____xx559" localSheetId="8">#REF!</definedName>
    <definedName name="____xx559" localSheetId="9">#REF!</definedName>
    <definedName name="____xx559" localSheetId="7">#REF!</definedName>
    <definedName name="____xx559" localSheetId="10">#REF!</definedName>
    <definedName name="____xx559">#REF!</definedName>
    <definedName name="___A65539" localSheetId="23">#REF!</definedName>
    <definedName name="___A65539">#REF!</definedName>
    <definedName name="___abs3" localSheetId="12">#REF!</definedName>
    <definedName name="___abs3" localSheetId="23">#REF!</definedName>
    <definedName name="___abs3" localSheetId="13">#REF!</definedName>
    <definedName name="___abs3" localSheetId="8">#REF!</definedName>
    <definedName name="___abs3" localSheetId="9">#REF!</definedName>
    <definedName name="___abs3" localSheetId="7">#REF!</definedName>
    <definedName name="___abs3">#REF!</definedName>
    <definedName name="___abs32" localSheetId="12">#REF!</definedName>
    <definedName name="___abs32" localSheetId="23">#REF!</definedName>
    <definedName name="___abs32" localSheetId="13">#REF!</definedName>
    <definedName name="___abs32" localSheetId="8">#REF!</definedName>
    <definedName name="___abs32" localSheetId="9">#REF!</definedName>
    <definedName name="___abs32" localSheetId="7">#REF!</definedName>
    <definedName name="___abs32">#REF!</definedName>
    <definedName name="___add1157" localSheetId="22">#REF!</definedName>
    <definedName name="___add1157" localSheetId="4">#REF!</definedName>
    <definedName name="___add1157" localSheetId="3">#REF!</definedName>
    <definedName name="___add1157" localSheetId="16">#REF!</definedName>
    <definedName name="___add1157" localSheetId="11">#REF!</definedName>
    <definedName name="___add1157" localSheetId="15">#REF!</definedName>
    <definedName name="___add1157" localSheetId="12">#REF!</definedName>
    <definedName name="___add1157" localSheetId="17">#REF!</definedName>
    <definedName name="___add1157" localSheetId="23">#REF!</definedName>
    <definedName name="___add1157" localSheetId="18">#REF!</definedName>
    <definedName name="___add1157" localSheetId="14">#REF!</definedName>
    <definedName name="___add1157" localSheetId="13">#REF!</definedName>
    <definedName name="___add1157" localSheetId="6">#REF!</definedName>
    <definedName name="___add1157" localSheetId="8">#REF!</definedName>
    <definedName name="___add1157" localSheetId="9">#REF!</definedName>
    <definedName name="___add1157" localSheetId="7">#REF!</definedName>
    <definedName name="___add1157" localSheetId="10">#REF!</definedName>
    <definedName name="___add1157">#REF!</definedName>
    <definedName name="___kK1312" localSheetId="22">#REF!</definedName>
    <definedName name="___kK1312" localSheetId="3">#REF!</definedName>
    <definedName name="___kK1312" localSheetId="16">#REF!</definedName>
    <definedName name="___kK1312" localSheetId="11">#REF!</definedName>
    <definedName name="___kK1312" localSheetId="15">#REF!</definedName>
    <definedName name="___kK1312" localSheetId="17">#REF!</definedName>
    <definedName name="___kK1312" localSheetId="23">#REF!</definedName>
    <definedName name="___kK1312" localSheetId="18">#REF!</definedName>
    <definedName name="___kK1312" localSheetId="14">#REF!</definedName>
    <definedName name="___kK1312" localSheetId="6">#REF!</definedName>
    <definedName name="___kK1312" localSheetId="10">#REF!</definedName>
    <definedName name="___kK1312">#REF!</definedName>
    <definedName name="___kk232" localSheetId="22">#REF!</definedName>
    <definedName name="___kk232" localSheetId="3">#REF!</definedName>
    <definedName name="___kk232" localSheetId="16">#REF!</definedName>
    <definedName name="___kk232" localSheetId="11">#REF!</definedName>
    <definedName name="___kk232" localSheetId="15">#REF!</definedName>
    <definedName name="___kk232" localSheetId="17">#REF!</definedName>
    <definedName name="___kk232" localSheetId="23">#REF!</definedName>
    <definedName name="___kk232" localSheetId="18">#REF!</definedName>
    <definedName name="___kk232" localSheetId="14">#REF!</definedName>
    <definedName name="___kk232" localSheetId="6">#REF!</definedName>
    <definedName name="___kk232" localSheetId="10">#REF!</definedName>
    <definedName name="___kk232">#REF!</definedName>
    <definedName name="___RCC115">[1]Spec!$B$12</definedName>
    <definedName name="___wr3" localSheetId="12">#REF!</definedName>
    <definedName name="___wr3" localSheetId="23">#REF!</definedName>
    <definedName name="___wr3" localSheetId="13">#REF!</definedName>
    <definedName name="___wr3" localSheetId="8">#REF!</definedName>
    <definedName name="___wr3" localSheetId="9">#REF!</definedName>
    <definedName name="___wr3" localSheetId="7">#REF!</definedName>
    <definedName name="___wr3">#REF!</definedName>
    <definedName name="___xx559" localSheetId="22">#REF!</definedName>
    <definedName name="___xx559" localSheetId="3">#REF!</definedName>
    <definedName name="___xx559" localSheetId="16">#REF!</definedName>
    <definedName name="___xx559" localSheetId="11">#REF!</definedName>
    <definedName name="___xx559" localSheetId="15">#REF!</definedName>
    <definedName name="___xx559" localSheetId="17">#REF!</definedName>
    <definedName name="___xx559" localSheetId="23">#REF!</definedName>
    <definedName name="___xx559" localSheetId="18">#REF!</definedName>
    <definedName name="___xx559" localSheetId="14">#REF!</definedName>
    <definedName name="___xx559" localSheetId="6">#REF!</definedName>
    <definedName name="___xx559" localSheetId="10">#REF!</definedName>
    <definedName name="___xx559">#REF!</definedName>
    <definedName name="__A65539" localSheetId="23">#REF!</definedName>
    <definedName name="__A65539">#REF!</definedName>
    <definedName name="__abs3" localSheetId="3">#REF!</definedName>
    <definedName name="__abs3" localSheetId="23">#REF!</definedName>
    <definedName name="__abs3" localSheetId="13">#REF!</definedName>
    <definedName name="__abs3" localSheetId="8">#REF!</definedName>
    <definedName name="__abs3" localSheetId="7">#REF!</definedName>
    <definedName name="__abs3">#REF!</definedName>
    <definedName name="__abs32" localSheetId="3">#REF!</definedName>
    <definedName name="__abs32" localSheetId="23">#REF!</definedName>
    <definedName name="__abs32" localSheetId="13">#REF!</definedName>
    <definedName name="__abs32" localSheetId="8">#REF!</definedName>
    <definedName name="__abs32" localSheetId="7">#REF!</definedName>
    <definedName name="__abs32">#REF!</definedName>
    <definedName name="__add1157" localSheetId="22">#REF!</definedName>
    <definedName name="__add1157" localSheetId="4">#REF!</definedName>
    <definedName name="__add1157" localSheetId="3">#REF!</definedName>
    <definedName name="__add1157" localSheetId="16">#REF!</definedName>
    <definedName name="__add1157" localSheetId="11">#REF!</definedName>
    <definedName name="__add1157" localSheetId="15">#REF!</definedName>
    <definedName name="__add1157" localSheetId="12">#REF!</definedName>
    <definedName name="__add1157" localSheetId="17">#REF!</definedName>
    <definedName name="__add1157" localSheetId="23">#REF!</definedName>
    <definedName name="__add1157" localSheetId="18">#REF!</definedName>
    <definedName name="__add1157" localSheetId="14">#REF!</definedName>
    <definedName name="__add1157" localSheetId="13">#REF!</definedName>
    <definedName name="__add1157" localSheetId="6">#REF!</definedName>
    <definedName name="__add1157" localSheetId="8">#REF!</definedName>
    <definedName name="__add1157" localSheetId="9">#REF!</definedName>
    <definedName name="__add1157" localSheetId="7">#REF!</definedName>
    <definedName name="__add1157" localSheetId="10">#REF!</definedName>
    <definedName name="__add1157">#REF!</definedName>
    <definedName name="__kK1312" localSheetId="22">#REF!</definedName>
    <definedName name="__kK1312" localSheetId="3">#REF!</definedName>
    <definedName name="__kK1312" localSheetId="16">#REF!</definedName>
    <definedName name="__kK1312" localSheetId="11">#REF!</definedName>
    <definedName name="__kK1312" localSheetId="15">#REF!</definedName>
    <definedName name="__kK1312" localSheetId="17">#REF!</definedName>
    <definedName name="__kK1312" localSheetId="23">#REF!</definedName>
    <definedName name="__kK1312" localSheetId="18">#REF!</definedName>
    <definedName name="__kK1312" localSheetId="14">#REF!</definedName>
    <definedName name="__kK1312" localSheetId="6">#REF!</definedName>
    <definedName name="__kK1312" localSheetId="10">#REF!</definedName>
    <definedName name="__kK1312">#REF!</definedName>
    <definedName name="__kk232" localSheetId="22">#REF!</definedName>
    <definedName name="__kk232" localSheetId="4">#REF!</definedName>
    <definedName name="__kk232" localSheetId="3">#REF!</definedName>
    <definedName name="__kk232" localSheetId="16">#REF!</definedName>
    <definedName name="__kk232" localSheetId="11">#REF!</definedName>
    <definedName name="__kk232" localSheetId="15">#REF!</definedName>
    <definedName name="__kk232" localSheetId="12">#REF!</definedName>
    <definedName name="__kk232" localSheetId="17">#REF!</definedName>
    <definedName name="__kk232" localSheetId="23">#REF!</definedName>
    <definedName name="__kk232" localSheetId="18">#REF!</definedName>
    <definedName name="__kk232" localSheetId="14">#REF!</definedName>
    <definedName name="__kk232" localSheetId="13">#REF!</definedName>
    <definedName name="__kk232" localSheetId="6">#REF!</definedName>
    <definedName name="__kk232" localSheetId="8">#REF!</definedName>
    <definedName name="__kk232" localSheetId="9">#REF!</definedName>
    <definedName name="__kk232" localSheetId="7">#REF!</definedName>
    <definedName name="__kk232" localSheetId="10">#REF!</definedName>
    <definedName name="__kk232">#REF!</definedName>
    <definedName name="__RCC115">[1]Spec!$B$12</definedName>
    <definedName name="__wr3" localSheetId="3">#REF!</definedName>
    <definedName name="__wr3" localSheetId="23">#REF!</definedName>
    <definedName name="__wr3" localSheetId="13">#REF!</definedName>
    <definedName name="__wr3" localSheetId="8">#REF!</definedName>
    <definedName name="__wr3" localSheetId="7">#REF!</definedName>
    <definedName name="__wr3">#REF!</definedName>
    <definedName name="__xx559" localSheetId="22">#REF!</definedName>
    <definedName name="__xx559" localSheetId="4">#REF!</definedName>
    <definedName name="__xx559" localSheetId="3">#REF!</definedName>
    <definedName name="__xx559" localSheetId="16">#REF!</definedName>
    <definedName name="__xx559" localSheetId="11">#REF!</definedName>
    <definedName name="__xx559" localSheetId="15">#REF!</definedName>
    <definedName name="__xx559" localSheetId="12">#REF!</definedName>
    <definedName name="__xx559" localSheetId="17">#REF!</definedName>
    <definedName name="__xx559" localSheetId="23">#REF!</definedName>
    <definedName name="__xx559" localSheetId="18">#REF!</definedName>
    <definedName name="__xx559" localSheetId="14">#REF!</definedName>
    <definedName name="__xx559" localSheetId="13">#REF!</definedName>
    <definedName name="__xx559" localSheetId="6">#REF!</definedName>
    <definedName name="__xx559" localSheetId="8">#REF!</definedName>
    <definedName name="__xx559" localSheetId="9">#REF!</definedName>
    <definedName name="__xx559" localSheetId="7">#REF!</definedName>
    <definedName name="__xx559" localSheetId="10">#REF!</definedName>
    <definedName name="__xx559">#REF!</definedName>
    <definedName name="_A65539" localSheetId="23">#REF!</definedName>
    <definedName name="_A65539">#REF!</definedName>
    <definedName name="_abs3" localSheetId="12">#REF!</definedName>
    <definedName name="_abs3" localSheetId="23">#REF!</definedName>
    <definedName name="_abs3" localSheetId="13">#REF!</definedName>
    <definedName name="_abs3" localSheetId="8">#REF!</definedName>
    <definedName name="_abs3" localSheetId="9">#REF!</definedName>
    <definedName name="_abs3" localSheetId="7">#REF!</definedName>
    <definedName name="_abs3">#REF!</definedName>
    <definedName name="_abs32" localSheetId="12">#REF!</definedName>
    <definedName name="_abs32" localSheetId="23">#REF!</definedName>
    <definedName name="_abs32" localSheetId="13">#REF!</definedName>
    <definedName name="_abs32" localSheetId="8">#REF!</definedName>
    <definedName name="_abs32" localSheetId="9">#REF!</definedName>
    <definedName name="_abs32" localSheetId="7">#REF!</definedName>
    <definedName name="_abs32">#REF!</definedName>
    <definedName name="_add1157" localSheetId="22">#REF!</definedName>
    <definedName name="_add1157" localSheetId="4">#REF!</definedName>
    <definedName name="_add1157" localSheetId="3">#REF!</definedName>
    <definedName name="_add1157" localSheetId="16">#REF!</definedName>
    <definedName name="_add1157" localSheetId="11">#REF!</definedName>
    <definedName name="_add1157" localSheetId="15">#REF!</definedName>
    <definedName name="_add1157" localSheetId="12">#REF!</definedName>
    <definedName name="_add1157" localSheetId="17">#REF!</definedName>
    <definedName name="_add1157" localSheetId="23">#REF!</definedName>
    <definedName name="_add1157" localSheetId="18">#REF!</definedName>
    <definedName name="_add1157" localSheetId="14">#REF!</definedName>
    <definedName name="_add1157" localSheetId="13">#REF!</definedName>
    <definedName name="_add1157" localSheetId="6">#REF!</definedName>
    <definedName name="_add1157" localSheetId="8">#REF!</definedName>
    <definedName name="_add1157" localSheetId="9">#REF!</definedName>
    <definedName name="_add1157" localSheetId="7">#REF!</definedName>
    <definedName name="_add1157" localSheetId="10">#REF!</definedName>
    <definedName name="_add1157">#REF!</definedName>
    <definedName name="_xlnm._FilterDatabase" localSheetId="4" hidden="1">'Above basement Detail'!$A$1522:$L$1522</definedName>
    <definedName name="_xlnm._FilterDatabase" localSheetId="3" hidden="1">'Below Basement Detail'!$A$8:$M$206</definedName>
    <definedName name="_kK1312" localSheetId="22">#REF!</definedName>
    <definedName name="_kK1312" localSheetId="4">#REF!</definedName>
    <definedName name="_kK1312" localSheetId="3">#REF!</definedName>
    <definedName name="_kK1312" localSheetId="16">#REF!</definedName>
    <definedName name="_kK1312" localSheetId="11">#REF!</definedName>
    <definedName name="_kK1312" localSheetId="15">#REF!</definedName>
    <definedName name="_kK1312" localSheetId="12">#REF!</definedName>
    <definedName name="_kK1312" localSheetId="17">#REF!</definedName>
    <definedName name="_kK1312" localSheetId="23">#REF!</definedName>
    <definedName name="_kK1312" localSheetId="18">#REF!</definedName>
    <definedName name="_kK1312" localSheetId="14">#REF!</definedName>
    <definedName name="_kK1312" localSheetId="13">#REF!</definedName>
    <definedName name="_kK1312" localSheetId="6">#REF!</definedName>
    <definedName name="_kK1312" localSheetId="8">#REF!</definedName>
    <definedName name="_kK1312" localSheetId="9">#REF!</definedName>
    <definedName name="_kK1312" localSheetId="7">#REF!</definedName>
    <definedName name="_kK1312" localSheetId="10">#REF!</definedName>
    <definedName name="_kK1312">#REF!</definedName>
    <definedName name="_kk232" localSheetId="22">#REF!</definedName>
    <definedName name="_kk232" localSheetId="3">#REF!</definedName>
    <definedName name="_kk232" localSheetId="16">#REF!</definedName>
    <definedName name="_kk232" localSheetId="11">#REF!</definedName>
    <definedName name="_kk232" localSheetId="15">#REF!</definedName>
    <definedName name="_kk232" localSheetId="17">#REF!</definedName>
    <definedName name="_kk232" localSheetId="23">#REF!</definedName>
    <definedName name="_kk232" localSheetId="18">#REF!</definedName>
    <definedName name="_kk232" localSheetId="14">#REF!</definedName>
    <definedName name="_kk232" localSheetId="6">#REF!</definedName>
    <definedName name="_kk232" localSheetId="10">#REF!</definedName>
    <definedName name="_kk232">#REF!</definedName>
    <definedName name="_m" localSheetId="22">#REF!</definedName>
    <definedName name="_m" localSheetId="4">#REF!</definedName>
    <definedName name="_m" localSheetId="3">#REF!</definedName>
    <definedName name="_m" localSheetId="16">#REF!</definedName>
    <definedName name="_m" localSheetId="11">#REF!</definedName>
    <definedName name="_m" localSheetId="15">#REF!</definedName>
    <definedName name="_m" localSheetId="12">#REF!</definedName>
    <definedName name="_m" localSheetId="17">#REF!</definedName>
    <definedName name="_m" localSheetId="23">#REF!</definedName>
    <definedName name="_m" localSheetId="18">#REF!</definedName>
    <definedName name="_m" localSheetId="14">#REF!</definedName>
    <definedName name="_m" localSheetId="13">#REF!</definedName>
    <definedName name="_m" localSheetId="6">#REF!</definedName>
    <definedName name="_m" localSheetId="8">#REF!</definedName>
    <definedName name="_m" localSheetId="9">#REF!</definedName>
    <definedName name="_m" localSheetId="7">#REF!</definedName>
    <definedName name="_m" localSheetId="10">#REF!</definedName>
    <definedName name="_m">#REF!</definedName>
    <definedName name="_pp1" localSheetId="22">#REF!</definedName>
    <definedName name="_pp1" localSheetId="3">#REF!</definedName>
    <definedName name="_pp1" localSheetId="16">#REF!</definedName>
    <definedName name="_pp1" localSheetId="11">#REF!</definedName>
    <definedName name="_pp1" localSheetId="15">#REF!</definedName>
    <definedName name="_pp1" localSheetId="12">#REF!</definedName>
    <definedName name="_pp1" localSheetId="17">#REF!</definedName>
    <definedName name="_pp1" localSheetId="23">#REF!</definedName>
    <definedName name="_pp1" localSheetId="18">#REF!</definedName>
    <definedName name="_pp1" localSheetId="14">#REF!</definedName>
    <definedName name="_pp1" localSheetId="13">#REF!</definedName>
    <definedName name="_pp1" localSheetId="6">#REF!</definedName>
    <definedName name="_pp1" localSheetId="8">#REF!</definedName>
    <definedName name="_pp1" localSheetId="9">#REF!</definedName>
    <definedName name="_pp1" localSheetId="7">#REF!</definedName>
    <definedName name="_pp1" localSheetId="10">#REF!</definedName>
    <definedName name="_pp1">#REF!</definedName>
    <definedName name="_RCC115">[1]Spec!$B$12</definedName>
    <definedName name="_wr3" localSheetId="12">#REF!</definedName>
    <definedName name="_wr3" localSheetId="23">#REF!</definedName>
    <definedName name="_wr3" localSheetId="13">#REF!</definedName>
    <definedName name="_wr3" localSheetId="8">#REF!</definedName>
    <definedName name="_wr3" localSheetId="9">#REF!</definedName>
    <definedName name="_wr3" localSheetId="7">#REF!</definedName>
    <definedName name="_wr3">#REF!</definedName>
    <definedName name="_xx559" localSheetId="22">#REF!</definedName>
    <definedName name="_xx559" localSheetId="4">#REF!</definedName>
    <definedName name="_xx559" localSheetId="3">#REF!</definedName>
    <definedName name="_xx559" localSheetId="16">#REF!</definedName>
    <definedName name="_xx559" localSheetId="11">#REF!</definedName>
    <definedName name="_xx559" localSheetId="15">#REF!</definedName>
    <definedName name="_xx559" localSheetId="12">#REF!</definedName>
    <definedName name="_xx559" localSheetId="17">#REF!</definedName>
    <definedName name="_xx559" localSheetId="23">#REF!</definedName>
    <definedName name="_xx559" localSheetId="18">#REF!</definedName>
    <definedName name="_xx559" localSheetId="14">#REF!</definedName>
    <definedName name="_xx559" localSheetId="13">#REF!</definedName>
    <definedName name="_xx559" localSheetId="6">#REF!</definedName>
    <definedName name="_xx559" localSheetId="8">#REF!</definedName>
    <definedName name="_xx559" localSheetId="9">#REF!</definedName>
    <definedName name="_xx559" localSheetId="7">#REF!</definedName>
    <definedName name="_xx559" localSheetId="10">#REF!</definedName>
    <definedName name="_xx559">#REF!</definedName>
    <definedName name="A" localSheetId="22">#REF!</definedName>
    <definedName name="A" localSheetId="4">#REF!</definedName>
    <definedName name="A" localSheetId="3">#REF!</definedName>
    <definedName name="A" localSheetId="16">#REF!</definedName>
    <definedName name="A" localSheetId="11">#REF!</definedName>
    <definedName name="A" localSheetId="15">#REF!</definedName>
    <definedName name="a" localSheetId="12">#REF!</definedName>
    <definedName name="A" localSheetId="17">#REF!</definedName>
    <definedName name="A" localSheetId="23">#REF!</definedName>
    <definedName name="A" localSheetId="18">#REF!</definedName>
    <definedName name="A" localSheetId="14">#REF!</definedName>
    <definedName name="A" localSheetId="13">#REF!</definedName>
    <definedName name="A" localSheetId="6">#REF!</definedName>
    <definedName name="A" localSheetId="8">#REF!</definedName>
    <definedName name="A" localSheetId="5">#REF!</definedName>
    <definedName name="A" localSheetId="9">#REF!</definedName>
    <definedName name="A" localSheetId="7">#REF!</definedName>
    <definedName name="A" localSheetId="10">#REF!</definedName>
    <definedName name="a">#REF!</definedName>
    <definedName name="A.C.Pipe" localSheetId="22">#REF!</definedName>
    <definedName name="A.C.Pipe" localSheetId="4">#REF!</definedName>
    <definedName name="A.C.Pipe" localSheetId="3">#REF!</definedName>
    <definedName name="A.C.Pipe" localSheetId="16">#REF!</definedName>
    <definedName name="A.C.Pipe" localSheetId="11">#REF!</definedName>
    <definedName name="A.C.Pipe" localSheetId="15">#REF!</definedName>
    <definedName name="A.C.Pipe" localSheetId="12">#REF!</definedName>
    <definedName name="A.C.Pipe" localSheetId="17">#REF!</definedName>
    <definedName name="A.C.Pipe" localSheetId="23">#REF!</definedName>
    <definedName name="A.C.Pipe" localSheetId="18">#REF!</definedName>
    <definedName name="A.C.Pipe" localSheetId="14">#REF!</definedName>
    <definedName name="A.C.Pipe" localSheetId="13">#REF!</definedName>
    <definedName name="A.C.Pipe" localSheetId="6">#REF!</definedName>
    <definedName name="A.C.Pipe" localSheetId="8">#REF!</definedName>
    <definedName name="A.C.Pipe" localSheetId="9">#REF!</definedName>
    <definedName name="A.C.Pipe" localSheetId="7">#REF!</definedName>
    <definedName name="A.C.Pipe" localSheetId="10">#REF!</definedName>
    <definedName name="A.C.Pipe">#REF!</definedName>
    <definedName name="a3424\" localSheetId="23">#REF!</definedName>
    <definedName name="a3424\">#REF!</definedName>
    <definedName name="aa" localSheetId="22">#REF!</definedName>
    <definedName name="aa" localSheetId="4">#REF!</definedName>
    <definedName name="aa" localSheetId="3">#REF!</definedName>
    <definedName name="aa" localSheetId="16">#REF!</definedName>
    <definedName name="aa" localSheetId="11">#REF!</definedName>
    <definedName name="aa" localSheetId="15">#REF!</definedName>
    <definedName name="aa" localSheetId="12">#REF!</definedName>
    <definedName name="aa" localSheetId="17">#REF!</definedName>
    <definedName name="aa" localSheetId="23">#REF!</definedName>
    <definedName name="aa" localSheetId="18">#REF!</definedName>
    <definedName name="aa" localSheetId="14">#REF!</definedName>
    <definedName name="aa" localSheetId="13">#REF!</definedName>
    <definedName name="aa" localSheetId="6">#REF!</definedName>
    <definedName name="aa" localSheetId="8">#REF!</definedName>
    <definedName name="aa" localSheetId="9">#REF!</definedName>
    <definedName name="aa" localSheetId="7">#REF!</definedName>
    <definedName name="aa" localSheetId="10">#REF!</definedName>
    <definedName name="aa">#REF!</definedName>
    <definedName name="aaaaa" localSheetId="23">#REF!</definedName>
    <definedName name="aaaaa" localSheetId="13">#REF!</definedName>
    <definedName name="aaaaa" localSheetId="8">#REF!</definedName>
    <definedName name="aaaaa" localSheetId="7">#REF!</definedName>
    <definedName name="aaaaa">#REF!</definedName>
    <definedName name="aaaaaa" localSheetId="22">#REF!</definedName>
    <definedName name="aaaaaa" localSheetId="3">#REF!</definedName>
    <definedName name="aaaaaa" localSheetId="16">#REF!</definedName>
    <definedName name="aaaaaa" localSheetId="11">#REF!</definedName>
    <definedName name="aaaaaa" localSheetId="15">#REF!</definedName>
    <definedName name="aaaaaa" localSheetId="12">#REF!</definedName>
    <definedName name="aaaaaa" localSheetId="17">#REF!</definedName>
    <definedName name="aaaaaa" localSheetId="23">#REF!</definedName>
    <definedName name="aaaaaa" localSheetId="18">#REF!</definedName>
    <definedName name="aaaaaa" localSheetId="14">#REF!</definedName>
    <definedName name="aaaaaa" localSheetId="13">#REF!</definedName>
    <definedName name="aaaaaa" localSheetId="6">#REF!</definedName>
    <definedName name="aaaaaa" localSheetId="8">#REF!</definedName>
    <definedName name="aaaaaa" localSheetId="9">#REF!</definedName>
    <definedName name="aaaaaa" localSheetId="7">#REF!</definedName>
    <definedName name="aaaaaa" localSheetId="10">#REF!</definedName>
    <definedName name="aaaaaa">#REF!</definedName>
    <definedName name="AB100an905" localSheetId="22">#REF!</definedName>
    <definedName name="AB100an905" localSheetId="4">#REF!</definedName>
    <definedName name="AB100an905" localSheetId="3">#REF!</definedName>
    <definedName name="AB100an905" localSheetId="16">#REF!</definedName>
    <definedName name="AB100an905" localSheetId="11">#REF!</definedName>
    <definedName name="AB100an905" localSheetId="15">#REF!</definedName>
    <definedName name="AB100an905" localSheetId="12">#REF!</definedName>
    <definedName name="AB100an905" localSheetId="17">#REF!</definedName>
    <definedName name="AB100an905" localSheetId="23">#REF!</definedName>
    <definedName name="AB100an905" localSheetId="18">#REF!</definedName>
    <definedName name="AB100an905" localSheetId="14">#REF!</definedName>
    <definedName name="AB100an905" localSheetId="13">#REF!</definedName>
    <definedName name="AB100an905" localSheetId="6">#REF!</definedName>
    <definedName name="AB100an905" localSheetId="8">#REF!</definedName>
    <definedName name="AB100an905" localSheetId="9">#REF!</definedName>
    <definedName name="AB100an905" localSheetId="7">#REF!</definedName>
    <definedName name="AB100an905" localSheetId="10">#REF!</definedName>
    <definedName name="AB100an905">#REF!</definedName>
    <definedName name="Abs" localSheetId="22">#REF!</definedName>
    <definedName name="Abs" localSheetId="4">#REF!</definedName>
    <definedName name="Abs" localSheetId="3">#REF!</definedName>
    <definedName name="Abs" localSheetId="16">#REF!</definedName>
    <definedName name="Abs" localSheetId="11">#REF!</definedName>
    <definedName name="Abs" localSheetId="15">#REF!</definedName>
    <definedName name="Abs" localSheetId="12">#REF!</definedName>
    <definedName name="Abs" localSheetId="17">#REF!</definedName>
    <definedName name="Abs" localSheetId="23">#REF!</definedName>
    <definedName name="Abs" localSheetId="18">#REF!</definedName>
    <definedName name="Abs" localSheetId="14">#REF!</definedName>
    <definedName name="Abs" localSheetId="13">#REF!</definedName>
    <definedName name="Abs" localSheetId="6">#REF!</definedName>
    <definedName name="Abs" localSheetId="8">#REF!</definedName>
    <definedName name="Abs" localSheetId="9">#REF!</definedName>
    <definedName name="Abs" localSheetId="7">#REF!</definedName>
    <definedName name="Abs" localSheetId="10">#REF!</definedName>
    <definedName name="Abs">#REF!</definedName>
    <definedName name="abstract" localSheetId="22">#REF!</definedName>
    <definedName name="abstract" localSheetId="3">#REF!</definedName>
    <definedName name="abstract" localSheetId="16">#REF!</definedName>
    <definedName name="abstract" localSheetId="11">#REF!</definedName>
    <definedName name="abstract" localSheetId="15">#REF!</definedName>
    <definedName name="abstract" localSheetId="12">#REF!</definedName>
    <definedName name="abstract" localSheetId="17">#REF!</definedName>
    <definedName name="abstract" localSheetId="23">#REF!</definedName>
    <definedName name="abstract" localSheetId="18">#REF!</definedName>
    <definedName name="abstract" localSheetId="14">#REF!</definedName>
    <definedName name="abstract" localSheetId="13">#REF!</definedName>
    <definedName name="abstract" localSheetId="6">#REF!</definedName>
    <definedName name="abstract" localSheetId="8">#REF!</definedName>
    <definedName name="abstract" localSheetId="9">#REF!</definedName>
    <definedName name="abstract" localSheetId="7">#REF!</definedName>
    <definedName name="abstract" localSheetId="10">#REF!</definedName>
    <definedName name="abstract">#REF!</definedName>
    <definedName name="ADD.STRUTT" localSheetId="22">#REF!</definedName>
    <definedName name="ADD.STRUTT" localSheetId="4">#REF!</definedName>
    <definedName name="ADD.STRUTT" localSheetId="3">#REF!</definedName>
    <definedName name="ADD.STRUTT" localSheetId="16">#REF!</definedName>
    <definedName name="ADD.STRUTT" localSheetId="11">#REF!</definedName>
    <definedName name="ADD.STRUTT" localSheetId="15">#REF!</definedName>
    <definedName name="ADD.STRUTT" localSheetId="12">#REF!</definedName>
    <definedName name="ADD.STRUTT" localSheetId="17">#REF!</definedName>
    <definedName name="ADD.STRUTT" localSheetId="23">#REF!</definedName>
    <definedName name="ADD.STRUTT" localSheetId="18">#REF!</definedName>
    <definedName name="ADD.STRUTT" localSheetId="14">#REF!</definedName>
    <definedName name="ADD.STRUTT" localSheetId="13">#REF!</definedName>
    <definedName name="ADD.STRUTT" localSheetId="6">#REF!</definedName>
    <definedName name="ADD.STRUTT" localSheetId="8">#REF!</definedName>
    <definedName name="ADD.STRUTT" localSheetId="9">#REF!</definedName>
    <definedName name="ADD.STRUTT" localSheetId="7">#REF!</definedName>
    <definedName name="ADD.STRUTT" localSheetId="10">#REF!</definedName>
    <definedName name="ADD.STRUTT">#REF!</definedName>
    <definedName name="afsf" localSheetId="22">[4]Data!#REF!</definedName>
    <definedName name="afsf" localSheetId="3">[5]Data!#REF!</definedName>
    <definedName name="afsf" localSheetId="16">[6]Data!#REF!</definedName>
    <definedName name="afsf" localSheetId="11">[6]Data!#REF!</definedName>
    <definedName name="afsf" localSheetId="15">[6]Data!#REF!</definedName>
    <definedName name="afsf" localSheetId="12">[7]Data!#REF!</definedName>
    <definedName name="afsf" localSheetId="17">[6]Data!#REF!</definedName>
    <definedName name="afsf" localSheetId="23">[7]Data!#REF!</definedName>
    <definedName name="afsf" localSheetId="18">[6]Data!#REF!</definedName>
    <definedName name="afsf" localSheetId="14">[6]Data!#REF!</definedName>
    <definedName name="afsf" localSheetId="13">[7]Data!#REF!</definedName>
    <definedName name="afsf" localSheetId="6">[6]Data!#REF!</definedName>
    <definedName name="afsf" localSheetId="8">[8]Data!#REF!</definedName>
    <definedName name="afsf" localSheetId="9">[7]Data!#REF!</definedName>
    <definedName name="afsf" localSheetId="7">[8]Data!#REF!</definedName>
    <definedName name="afsf" localSheetId="10">[6]Data!#REF!</definedName>
    <definedName name="afsf">[5]Data!#REF!</definedName>
    <definedName name="ag" localSheetId="22">#REF!</definedName>
    <definedName name="ag" localSheetId="4">#REF!</definedName>
    <definedName name="ag" localSheetId="3">#REF!</definedName>
    <definedName name="ag" localSheetId="16">#REF!</definedName>
    <definedName name="ag" localSheetId="11">#REF!</definedName>
    <definedName name="ag" localSheetId="15">#REF!</definedName>
    <definedName name="ag" localSheetId="12">#REF!</definedName>
    <definedName name="ag" localSheetId="17">#REF!</definedName>
    <definedName name="ag" localSheetId="23">#REF!</definedName>
    <definedName name="ag" localSheetId="18">#REF!</definedName>
    <definedName name="ag" localSheetId="14">#REF!</definedName>
    <definedName name="ag" localSheetId="13">#REF!</definedName>
    <definedName name="ag" localSheetId="6">#REF!</definedName>
    <definedName name="ag" localSheetId="8">#REF!</definedName>
    <definedName name="ag" localSheetId="9">#REF!</definedName>
    <definedName name="ag" localSheetId="7">#REF!</definedName>
    <definedName name="ag" localSheetId="10">#REF!</definedName>
    <definedName name="ag">#REF!</definedName>
    <definedName name="ahfk" localSheetId="22">#REF!</definedName>
    <definedName name="ahfk" localSheetId="4">#REF!</definedName>
    <definedName name="ahfk" localSheetId="1">#REF!</definedName>
    <definedName name="ahfk" localSheetId="3">#REF!</definedName>
    <definedName name="ahfk" localSheetId="16">#REF!</definedName>
    <definedName name="ahfk" localSheetId="11">#REF!</definedName>
    <definedName name="ahfk" localSheetId="15">#REF!</definedName>
    <definedName name="ahfk" localSheetId="2">#REF!</definedName>
    <definedName name="ahfk" localSheetId="12">#REF!</definedName>
    <definedName name="ahfk" localSheetId="17">#REF!</definedName>
    <definedName name="ahfk" localSheetId="23">#REF!</definedName>
    <definedName name="ahfk" localSheetId="18">#REF!</definedName>
    <definedName name="ahfk" localSheetId="14">#REF!</definedName>
    <definedName name="ahfk" localSheetId="13">#REF!</definedName>
    <definedName name="ahfk" localSheetId="6">#REF!</definedName>
    <definedName name="ahfk" localSheetId="20">#REF!</definedName>
    <definedName name="ahfk" localSheetId="8">#REF!</definedName>
    <definedName name="ahfk" localSheetId="5">#REF!</definedName>
    <definedName name="ahfk" localSheetId="9">#REF!</definedName>
    <definedName name="ahfk" localSheetId="7">#REF!</definedName>
    <definedName name="ahfk" localSheetId="10">#REF!</definedName>
    <definedName name="ahfk">#REF!</definedName>
    <definedName name="ahh" localSheetId="23">#REF!</definedName>
    <definedName name="ahh">#REF!</definedName>
    <definedName name="alj" localSheetId="12">#REF!</definedName>
    <definedName name="alj" localSheetId="23">#REF!</definedName>
    <definedName name="alj" localSheetId="13">#REF!</definedName>
    <definedName name="alj" localSheetId="8">#REF!</definedName>
    <definedName name="alj" localSheetId="7">#REF!</definedName>
    <definedName name="alj">#REF!</definedName>
    <definedName name="anbu\" localSheetId="22">#REF!</definedName>
    <definedName name="anbu\" localSheetId="4">#REF!</definedName>
    <definedName name="anbu\" localSheetId="3">#REF!</definedName>
    <definedName name="anbu\" localSheetId="16">#REF!</definedName>
    <definedName name="anbu\" localSheetId="11">#REF!</definedName>
    <definedName name="anbu\" localSheetId="15">#REF!</definedName>
    <definedName name="anbu\" localSheetId="12">#REF!</definedName>
    <definedName name="anbu\" localSheetId="17">#REF!</definedName>
    <definedName name="anbu\" localSheetId="23">#REF!</definedName>
    <definedName name="anbu\" localSheetId="18">#REF!</definedName>
    <definedName name="anbu\" localSheetId="14">#REF!</definedName>
    <definedName name="anbu\" localSheetId="13">#REF!</definedName>
    <definedName name="anbu\" localSheetId="6">#REF!</definedName>
    <definedName name="anbu\" localSheetId="8">#REF!</definedName>
    <definedName name="anbu\" localSheetId="9">#REF!</definedName>
    <definedName name="anbu\" localSheetId="7">#REF!</definedName>
    <definedName name="anbu\" localSheetId="10">#REF!</definedName>
    <definedName name="anbu\">#REF!</definedName>
    <definedName name="asd" localSheetId="22">#REF!</definedName>
    <definedName name="asd" localSheetId="3">#REF!</definedName>
    <definedName name="asd" localSheetId="16">#REF!</definedName>
    <definedName name="asd" localSheetId="11">#REF!</definedName>
    <definedName name="asd" localSheetId="15">#REF!</definedName>
    <definedName name="asd" localSheetId="12">#REF!</definedName>
    <definedName name="asd" localSheetId="17">#REF!</definedName>
    <definedName name="asd" localSheetId="23">#REF!</definedName>
    <definedName name="asd" localSheetId="18">#REF!</definedName>
    <definedName name="asd" localSheetId="14">#REF!</definedName>
    <definedName name="asd" localSheetId="13">#REF!</definedName>
    <definedName name="asd" localSheetId="6">#REF!</definedName>
    <definedName name="asd" localSheetId="8">#REF!</definedName>
    <definedName name="asd" localSheetId="9">#REF!</definedName>
    <definedName name="asd" localSheetId="7">#REF!</definedName>
    <definedName name="asd" localSheetId="10">#REF!</definedName>
    <definedName name="asd">#REF!</definedName>
    <definedName name="asds" localSheetId="22">#REF!</definedName>
    <definedName name="asds" localSheetId="3">#REF!</definedName>
    <definedName name="asds" localSheetId="16">#REF!</definedName>
    <definedName name="asds" localSheetId="11">#REF!</definedName>
    <definedName name="asds" localSheetId="15">#REF!</definedName>
    <definedName name="asds" localSheetId="17">#REF!</definedName>
    <definedName name="asds" localSheetId="23">#REF!</definedName>
    <definedName name="asds" localSheetId="18">#REF!</definedName>
    <definedName name="asds" localSheetId="14">#REF!</definedName>
    <definedName name="asds" localSheetId="6">#REF!</definedName>
    <definedName name="asds" localSheetId="10">#REF!</definedName>
    <definedName name="asds">#REF!</definedName>
    <definedName name="asdxc" localSheetId="23">#REF!</definedName>
    <definedName name="asdxc" localSheetId="13">#REF!</definedName>
    <definedName name="asdxc" localSheetId="8">#REF!</definedName>
    <definedName name="asdxc" localSheetId="7">#REF!</definedName>
    <definedName name="asdxc">#REF!</definedName>
    <definedName name="asdxfcghj" localSheetId="23">#REF!</definedName>
    <definedName name="asdxfcghj" localSheetId="13">#REF!</definedName>
    <definedName name="asdxfcghj" localSheetId="8">#REF!</definedName>
    <definedName name="asdxfcghj" localSheetId="7">#REF!</definedName>
    <definedName name="asdxfcghj">#REF!</definedName>
    <definedName name="asq" localSheetId="22">#REF!</definedName>
    <definedName name="asq" localSheetId="4">#REF!</definedName>
    <definedName name="asq" localSheetId="3">#REF!</definedName>
    <definedName name="asq" localSheetId="16">#REF!</definedName>
    <definedName name="asq" localSheetId="11">#REF!</definedName>
    <definedName name="asq" localSheetId="15">#REF!</definedName>
    <definedName name="asq" localSheetId="12">#REF!</definedName>
    <definedName name="asq" localSheetId="17">#REF!</definedName>
    <definedName name="asq" localSheetId="23">#REF!</definedName>
    <definedName name="asq" localSheetId="18">#REF!</definedName>
    <definedName name="asq" localSheetId="14">#REF!</definedName>
    <definedName name="asq" localSheetId="13">#REF!</definedName>
    <definedName name="asq" localSheetId="6">#REF!</definedName>
    <definedName name="asq" localSheetId="8">#REF!</definedName>
    <definedName name="asq" localSheetId="9">#REF!</definedName>
    <definedName name="asq" localSheetId="7">#REF!</definedName>
    <definedName name="asq" localSheetId="10">#REF!</definedName>
    <definedName name="asq">#REF!</definedName>
    <definedName name="ass" localSheetId="23">#REF!</definedName>
    <definedName name="ass">#REF!</definedName>
    <definedName name="assd" localSheetId="23">#REF!</definedName>
    <definedName name="assd" localSheetId="13">#REF!</definedName>
    <definedName name="assd" localSheetId="8">#REF!</definedName>
    <definedName name="assd" localSheetId="7">#REF!</definedName>
    <definedName name="assd">#REF!</definedName>
    <definedName name="ASSDD" localSheetId="22">#REF!</definedName>
    <definedName name="ASSDD" localSheetId="3">#REF!</definedName>
    <definedName name="ASSDD" localSheetId="16">#REF!</definedName>
    <definedName name="ASSDD" localSheetId="11">#REF!</definedName>
    <definedName name="ASSDD" localSheetId="15">#REF!</definedName>
    <definedName name="ASSDD" localSheetId="12">#REF!</definedName>
    <definedName name="ASSDD" localSheetId="17">#REF!</definedName>
    <definedName name="ASSDD" localSheetId="23">#REF!</definedName>
    <definedName name="ASSDD" localSheetId="18">#REF!</definedName>
    <definedName name="ASSDD" localSheetId="14">#REF!</definedName>
    <definedName name="ASSDD" localSheetId="13">#REF!</definedName>
    <definedName name="ASSDD" localSheetId="6">#REF!</definedName>
    <definedName name="ASSDD" localSheetId="8">#REF!</definedName>
    <definedName name="ASSDD" localSheetId="9">#REF!</definedName>
    <definedName name="ASSDD" localSheetId="7">#REF!</definedName>
    <definedName name="ASSDD" localSheetId="10">#REF!</definedName>
    <definedName name="ASSDD">#REF!</definedName>
    <definedName name="b" localSheetId="22">#REF!</definedName>
    <definedName name="b" localSheetId="4">#REF!</definedName>
    <definedName name="b" localSheetId="3">#REF!</definedName>
    <definedName name="b" localSheetId="16">#REF!</definedName>
    <definedName name="b" localSheetId="11">#REF!</definedName>
    <definedName name="b" localSheetId="15">#REF!</definedName>
    <definedName name="b" localSheetId="12">#REF!</definedName>
    <definedName name="b" localSheetId="17">#REF!</definedName>
    <definedName name="b" localSheetId="23">#REF!</definedName>
    <definedName name="b" localSheetId="18">#REF!</definedName>
    <definedName name="b" localSheetId="14">#REF!</definedName>
    <definedName name="b" localSheetId="13">#REF!</definedName>
    <definedName name="b" localSheetId="6">#REF!</definedName>
    <definedName name="b" localSheetId="8">#REF!</definedName>
    <definedName name="b" localSheetId="9">#REF!</definedName>
    <definedName name="b" localSheetId="7">#REF!</definedName>
    <definedName name="b" localSheetId="10">#REF!</definedName>
    <definedName name="b">#REF!</definedName>
    <definedName name="B.C1.3.6_40mm" localSheetId="22">#REF!</definedName>
    <definedName name="B.C1.3.6_40mm" localSheetId="4">#REF!</definedName>
    <definedName name="B.C1.3.6_40mm" localSheetId="3">#REF!</definedName>
    <definedName name="B.C1.3.6_40mm" localSheetId="16">#REF!</definedName>
    <definedName name="B.C1.3.6_40mm" localSheetId="11">#REF!</definedName>
    <definedName name="B.C1.3.6_40mm" localSheetId="15">#REF!</definedName>
    <definedName name="B.C1.3.6_40mm" localSheetId="12">#REF!</definedName>
    <definedName name="B.C1.3.6_40mm" localSheetId="17">#REF!</definedName>
    <definedName name="B.C1.3.6_40mm" localSheetId="23">#REF!</definedName>
    <definedName name="B.C1.3.6_40mm" localSheetId="18">#REF!</definedName>
    <definedName name="B.C1.3.6_40mm" localSheetId="14">#REF!</definedName>
    <definedName name="B.C1.3.6_40mm" localSheetId="13">#REF!</definedName>
    <definedName name="B.C1.3.6_40mm" localSheetId="6">#REF!</definedName>
    <definedName name="B.C1.3.6_40mm" localSheetId="8">#REF!</definedName>
    <definedName name="B.C1.3.6_40mm" localSheetId="9">#REF!</definedName>
    <definedName name="B.C1.3.6_40mm" localSheetId="7">#REF!</definedName>
    <definedName name="B.C1.3.6_40mm" localSheetId="10">#REF!</definedName>
    <definedName name="B.C1.3.6_40mm">#REF!</definedName>
    <definedName name="B.W.1.3_2.0" localSheetId="22">#REF!</definedName>
    <definedName name="B.W.1.3_2.0" localSheetId="4">#REF!</definedName>
    <definedName name="B.W.1.3_2.0" localSheetId="3">#REF!</definedName>
    <definedName name="B.W.1.3_2.0" localSheetId="16">#REF!</definedName>
    <definedName name="B.W.1.3_2.0" localSheetId="11">#REF!</definedName>
    <definedName name="B.W.1.3_2.0" localSheetId="15">#REF!</definedName>
    <definedName name="B.W.1.3_2.0" localSheetId="12">#REF!</definedName>
    <definedName name="B.W.1.3_2.0" localSheetId="17">#REF!</definedName>
    <definedName name="B.W.1.3_2.0" localSheetId="23">#REF!</definedName>
    <definedName name="B.W.1.3_2.0" localSheetId="18">#REF!</definedName>
    <definedName name="B.W.1.3_2.0" localSheetId="14">#REF!</definedName>
    <definedName name="B.W.1.3_2.0" localSheetId="13">#REF!</definedName>
    <definedName name="B.W.1.3_2.0" localSheetId="6">#REF!</definedName>
    <definedName name="B.W.1.3_2.0" localSheetId="8">#REF!</definedName>
    <definedName name="B.W.1.3_2.0" localSheetId="9">#REF!</definedName>
    <definedName name="B.W.1.3_2.0" localSheetId="7">#REF!</definedName>
    <definedName name="B.W.1.3_2.0" localSheetId="10">#REF!</definedName>
    <definedName name="B.W.1.3_2.0">#REF!</definedName>
    <definedName name="B.W.1.3_2.25" localSheetId="22">#REF!</definedName>
    <definedName name="B.W.1.3_2.25" localSheetId="4">#REF!</definedName>
    <definedName name="B.W.1.3_2.25" localSheetId="3">#REF!</definedName>
    <definedName name="B.W.1.3_2.25" localSheetId="16">#REF!</definedName>
    <definedName name="B.W.1.3_2.25" localSheetId="11">#REF!</definedName>
    <definedName name="B.W.1.3_2.25" localSheetId="15">#REF!</definedName>
    <definedName name="B.W.1.3_2.25" localSheetId="12">#REF!</definedName>
    <definedName name="B.W.1.3_2.25" localSheetId="17">#REF!</definedName>
    <definedName name="B.W.1.3_2.25" localSheetId="23">#REF!</definedName>
    <definedName name="B.W.1.3_2.25" localSheetId="18">#REF!</definedName>
    <definedName name="B.W.1.3_2.25" localSheetId="14">#REF!</definedName>
    <definedName name="B.W.1.3_2.25" localSheetId="13">#REF!</definedName>
    <definedName name="B.W.1.3_2.25" localSheetId="6">#REF!</definedName>
    <definedName name="B.W.1.3_2.25" localSheetId="8">#REF!</definedName>
    <definedName name="B.W.1.3_2.25" localSheetId="9">#REF!</definedName>
    <definedName name="B.W.1.3_2.25" localSheetId="7">#REF!</definedName>
    <definedName name="B.W.1.3_2.25" localSheetId="10">#REF!</definedName>
    <definedName name="B.W.1.3_2.25">#REF!</definedName>
    <definedName name="B.W.1.3_2.5" localSheetId="22">#REF!</definedName>
    <definedName name="B.W.1.3_2.5" localSheetId="4">#REF!</definedName>
    <definedName name="B.W.1.3_2.5" localSheetId="3">#REF!</definedName>
    <definedName name="B.W.1.3_2.5" localSheetId="16">#REF!</definedName>
    <definedName name="B.W.1.3_2.5" localSheetId="11">#REF!</definedName>
    <definedName name="B.W.1.3_2.5" localSheetId="15">#REF!</definedName>
    <definedName name="B.W.1.3_2.5" localSheetId="12">#REF!</definedName>
    <definedName name="B.W.1.3_2.5" localSheetId="17">#REF!</definedName>
    <definedName name="B.W.1.3_2.5" localSheetId="23">#REF!</definedName>
    <definedName name="B.W.1.3_2.5" localSheetId="18">#REF!</definedName>
    <definedName name="B.W.1.3_2.5" localSheetId="14">#REF!</definedName>
    <definedName name="B.W.1.3_2.5" localSheetId="13">#REF!</definedName>
    <definedName name="B.W.1.3_2.5" localSheetId="6">#REF!</definedName>
    <definedName name="B.W.1.3_2.5" localSheetId="8">#REF!</definedName>
    <definedName name="B.W.1.3_2.5" localSheetId="9">#REF!</definedName>
    <definedName name="B.W.1.3_2.5" localSheetId="7">#REF!</definedName>
    <definedName name="B.W.1.3_2.5" localSheetId="10">#REF!</definedName>
    <definedName name="B.W.1.3_2.5">#REF!</definedName>
    <definedName name="B.W.1.3_2.75" localSheetId="22">#REF!</definedName>
    <definedName name="B.W.1.3_2.75" localSheetId="4">#REF!</definedName>
    <definedName name="B.W.1.3_2.75" localSheetId="3">#REF!</definedName>
    <definedName name="B.W.1.3_2.75" localSheetId="16">#REF!</definedName>
    <definedName name="B.W.1.3_2.75" localSheetId="11">#REF!</definedName>
    <definedName name="B.W.1.3_2.75" localSheetId="15">#REF!</definedName>
    <definedName name="B.W.1.3_2.75" localSheetId="12">#REF!</definedName>
    <definedName name="B.W.1.3_2.75" localSheetId="17">#REF!</definedName>
    <definedName name="B.W.1.3_2.75" localSheetId="23">#REF!</definedName>
    <definedName name="B.W.1.3_2.75" localSheetId="18">#REF!</definedName>
    <definedName name="B.W.1.3_2.75" localSheetId="14">#REF!</definedName>
    <definedName name="B.W.1.3_2.75" localSheetId="13">#REF!</definedName>
    <definedName name="B.W.1.3_2.75" localSheetId="6">#REF!</definedName>
    <definedName name="B.W.1.3_2.75" localSheetId="8">#REF!</definedName>
    <definedName name="B.W.1.3_2.75" localSheetId="9">#REF!</definedName>
    <definedName name="B.W.1.3_2.75" localSheetId="7">#REF!</definedName>
    <definedName name="B.W.1.3_2.75" localSheetId="10">#REF!</definedName>
    <definedName name="B.W.1.3_2.75">#REF!</definedName>
    <definedName name="B.W.1.3_3" localSheetId="22">#REF!</definedName>
    <definedName name="B.W.1.3_3" localSheetId="4">#REF!</definedName>
    <definedName name="B.W.1.3_3" localSheetId="3">#REF!</definedName>
    <definedName name="B.W.1.3_3" localSheetId="16">#REF!</definedName>
    <definedName name="B.W.1.3_3" localSheetId="11">#REF!</definedName>
    <definedName name="B.W.1.3_3" localSheetId="15">#REF!</definedName>
    <definedName name="B.W.1.3_3" localSheetId="12">#REF!</definedName>
    <definedName name="B.W.1.3_3" localSheetId="17">#REF!</definedName>
    <definedName name="B.W.1.3_3" localSheetId="23">#REF!</definedName>
    <definedName name="B.W.1.3_3" localSheetId="18">#REF!</definedName>
    <definedName name="B.W.1.3_3" localSheetId="14">#REF!</definedName>
    <definedName name="B.W.1.3_3" localSheetId="13">#REF!</definedName>
    <definedName name="B.W.1.3_3" localSheetId="6">#REF!</definedName>
    <definedName name="B.W.1.3_3" localSheetId="8">#REF!</definedName>
    <definedName name="B.W.1.3_3" localSheetId="9">#REF!</definedName>
    <definedName name="B.W.1.3_3" localSheetId="7">#REF!</definedName>
    <definedName name="B.W.1.3_3" localSheetId="10">#REF!</definedName>
    <definedName name="B.W.1.3_3">#REF!</definedName>
    <definedName name="B.W.1.5_2.0" localSheetId="22">#REF!</definedName>
    <definedName name="B.W.1.5_2.0" localSheetId="4">#REF!</definedName>
    <definedName name="B.W.1.5_2.0" localSheetId="3">#REF!</definedName>
    <definedName name="B.W.1.5_2.0" localSheetId="16">#REF!</definedName>
    <definedName name="B.W.1.5_2.0" localSheetId="11">#REF!</definedName>
    <definedName name="B.W.1.5_2.0" localSheetId="15">#REF!</definedName>
    <definedName name="B.W.1.5_2.0" localSheetId="12">#REF!</definedName>
    <definedName name="B.W.1.5_2.0" localSheetId="17">#REF!</definedName>
    <definedName name="B.W.1.5_2.0" localSheetId="23">#REF!</definedName>
    <definedName name="B.W.1.5_2.0" localSheetId="18">#REF!</definedName>
    <definedName name="B.W.1.5_2.0" localSheetId="14">#REF!</definedName>
    <definedName name="B.W.1.5_2.0" localSheetId="13">#REF!</definedName>
    <definedName name="B.W.1.5_2.0" localSheetId="6">#REF!</definedName>
    <definedName name="B.W.1.5_2.0" localSheetId="8">#REF!</definedName>
    <definedName name="B.W.1.5_2.0" localSheetId="9">#REF!</definedName>
    <definedName name="B.W.1.5_2.0" localSheetId="7">#REF!</definedName>
    <definedName name="B.W.1.5_2.0" localSheetId="10">#REF!</definedName>
    <definedName name="B.W.1.5_2.0">#REF!</definedName>
    <definedName name="B.W.1.5_2.25" localSheetId="22">#REF!</definedName>
    <definedName name="B.W.1.5_2.25" localSheetId="4">#REF!</definedName>
    <definedName name="B.W.1.5_2.25" localSheetId="3">#REF!</definedName>
    <definedName name="B.W.1.5_2.25" localSheetId="16">#REF!</definedName>
    <definedName name="B.W.1.5_2.25" localSheetId="11">#REF!</definedName>
    <definedName name="B.W.1.5_2.25" localSheetId="15">#REF!</definedName>
    <definedName name="B.W.1.5_2.25" localSheetId="12">#REF!</definedName>
    <definedName name="B.W.1.5_2.25" localSheetId="17">#REF!</definedName>
    <definedName name="B.W.1.5_2.25" localSheetId="23">#REF!</definedName>
    <definedName name="B.W.1.5_2.25" localSheetId="18">#REF!</definedName>
    <definedName name="B.W.1.5_2.25" localSheetId="14">#REF!</definedName>
    <definedName name="B.W.1.5_2.25" localSheetId="13">#REF!</definedName>
    <definedName name="B.W.1.5_2.25" localSheetId="6">#REF!</definedName>
    <definedName name="B.W.1.5_2.25" localSheetId="8">#REF!</definedName>
    <definedName name="B.W.1.5_2.25" localSheetId="9">#REF!</definedName>
    <definedName name="B.W.1.5_2.25" localSheetId="7">#REF!</definedName>
    <definedName name="B.W.1.5_2.25" localSheetId="10">#REF!</definedName>
    <definedName name="B.W.1.5_2.25">#REF!</definedName>
    <definedName name="B.W.1.5_2.5" localSheetId="22">#REF!</definedName>
    <definedName name="B.W.1.5_2.5" localSheetId="4">#REF!</definedName>
    <definedName name="B.W.1.5_2.5" localSheetId="3">#REF!</definedName>
    <definedName name="B.W.1.5_2.5" localSheetId="16">#REF!</definedName>
    <definedName name="B.W.1.5_2.5" localSheetId="11">#REF!</definedName>
    <definedName name="B.W.1.5_2.5" localSheetId="15">#REF!</definedName>
    <definedName name="B.W.1.5_2.5" localSheetId="12">#REF!</definedName>
    <definedName name="B.W.1.5_2.5" localSheetId="17">#REF!</definedName>
    <definedName name="B.W.1.5_2.5" localSheetId="23">#REF!</definedName>
    <definedName name="B.W.1.5_2.5" localSheetId="18">#REF!</definedName>
    <definedName name="B.W.1.5_2.5" localSheetId="14">#REF!</definedName>
    <definedName name="B.W.1.5_2.5" localSheetId="13">#REF!</definedName>
    <definedName name="B.W.1.5_2.5" localSheetId="6">#REF!</definedName>
    <definedName name="B.W.1.5_2.5" localSheetId="8">#REF!</definedName>
    <definedName name="B.W.1.5_2.5" localSheetId="9">#REF!</definedName>
    <definedName name="B.W.1.5_2.5" localSheetId="7">#REF!</definedName>
    <definedName name="B.W.1.5_2.5" localSheetId="10">#REF!</definedName>
    <definedName name="B.W.1.5_2.5">#REF!</definedName>
    <definedName name="B.W.1.5_2.75" localSheetId="22">#REF!</definedName>
    <definedName name="B.W.1.5_2.75" localSheetId="4">#REF!</definedName>
    <definedName name="B.W.1.5_2.75" localSheetId="3">#REF!</definedName>
    <definedName name="B.W.1.5_2.75" localSheetId="16">#REF!</definedName>
    <definedName name="B.W.1.5_2.75" localSheetId="11">#REF!</definedName>
    <definedName name="B.W.1.5_2.75" localSheetId="15">#REF!</definedName>
    <definedName name="B.W.1.5_2.75" localSheetId="12">#REF!</definedName>
    <definedName name="B.W.1.5_2.75" localSheetId="17">#REF!</definedName>
    <definedName name="B.W.1.5_2.75" localSheetId="23">#REF!</definedName>
    <definedName name="B.W.1.5_2.75" localSheetId="18">#REF!</definedName>
    <definedName name="B.W.1.5_2.75" localSheetId="14">#REF!</definedName>
    <definedName name="B.W.1.5_2.75" localSheetId="13">#REF!</definedName>
    <definedName name="B.W.1.5_2.75" localSheetId="6">#REF!</definedName>
    <definedName name="B.W.1.5_2.75" localSheetId="8">#REF!</definedName>
    <definedName name="B.W.1.5_2.75" localSheetId="9">#REF!</definedName>
    <definedName name="B.W.1.5_2.75" localSheetId="7">#REF!</definedName>
    <definedName name="B.W.1.5_2.75" localSheetId="10">#REF!</definedName>
    <definedName name="B.W.1.5_2.75">#REF!</definedName>
    <definedName name="B.W.1.5_3" localSheetId="22">#REF!</definedName>
    <definedName name="B.W.1.5_3" localSheetId="4">#REF!</definedName>
    <definedName name="B.W.1.5_3" localSheetId="3">#REF!</definedName>
    <definedName name="B.W.1.5_3" localSheetId="16">#REF!</definedName>
    <definedName name="B.W.1.5_3" localSheetId="11">#REF!</definedName>
    <definedName name="B.W.1.5_3" localSheetId="15">#REF!</definedName>
    <definedName name="B.W.1.5_3" localSheetId="12">#REF!</definedName>
    <definedName name="B.W.1.5_3" localSheetId="17">#REF!</definedName>
    <definedName name="B.W.1.5_3" localSheetId="23">#REF!</definedName>
    <definedName name="B.W.1.5_3" localSheetId="18">#REF!</definedName>
    <definedName name="B.W.1.5_3" localSheetId="14">#REF!</definedName>
    <definedName name="B.W.1.5_3" localSheetId="13">#REF!</definedName>
    <definedName name="B.W.1.5_3" localSheetId="6">#REF!</definedName>
    <definedName name="B.W.1.5_3" localSheetId="8">#REF!</definedName>
    <definedName name="B.W.1.5_3" localSheetId="9">#REF!</definedName>
    <definedName name="B.W.1.5_3" localSheetId="7">#REF!</definedName>
    <definedName name="B.W.1.5_3" localSheetId="10">#REF!</definedName>
    <definedName name="B.W.1.5_3">#REF!</definedName>
    <definedName name="B.W.1.6_2.0" localSheetId="22">#REF!</definedName>
    <definedName name="B.W.1.6_2.0" localSheetId="4">#REF!</definedName>
    <definedName name="B.W.1.6_2.0" localSheetId="3">#REF!</definedName>
    <definedName name="B.W.1.6_2.0" localSheetId="16">#REF!</definedName>
    <definedName name="B.W.1.6_2.0" localSheetId="11">#REF!</definedName>
    <definedName name="B.W.1.6_2.0" localSheetId="15">#REF!</definedName>
    <definedName name="B.W.1.6_2.0" localSheetId="12">#REF!</definedName>
    <definedName name="B.W.1.6_2.0" localSheetId="17">#REF!</definedName>
    <definedName name="B.W.1.6_2.0" localSheetId="23">#REF!</definedName>
    <definedName name="B.W.1.6_2.0" localSheetId="18">#REF!</definedName>
    <definedName name="B.W.1.6_2.0" localSheetId="14">#REF!</definedName>
    <definedName name="B.W.1.6_2.0" localSheetId="13">#REF!</definedName>
    <definedName name="B.W.1.6_2.0" localSheetId="6">#REF!</definedName>
    <definedName name="B.W.1.6_2.0" localSheetId="8">#REF!</definedName>
    <definedName name="B.W.1.6_2.0" localSheetId="9">#REF!</definedName>
    <definedName name="B.W.1.6_2.0" localSheetId="7">#REF!</definedName>
    <definedName name="B.W.1.6_2.0" localSheetId="10">#REF!</definedName>
    <definedName name="B.W.1.6_2.0">#REF!</definedName>
    <definedName name="B.W.1.6_2.25" localSheetId="22">#REF!</definedName>
    <definedName name="B.W.1.6_2.25" localSheetId="4">#REF!</definedName>
    <definedName name="B.W.1.6_2.25" localSheetId="3">#REF!</definedName>
    <definedName name="B.W.1.6_2.25" localSheetId="16">#REF!</definedName>
    <definedName name="B.W.1.6_2.25" localSheetId="11">#REF!</definedName>
    <definedName name="B.W.1.6_2.25" localSheetId="15">#REF!</definedName>
    <definedName name="B.W.1.6_2.25" localSheetId="12">#REF!</definedName>
    <definedName name="B.W.1.6_2.25" localSheetId="17">#REF!</definedName>
    <definedName name="B.W.1.6_2.25" localSheetId="23">#REF!</definedName>
    <definedName name="B.W.1.6_2.25" localSheetId="18">#REF!</definedName>
    <definedName name="B.W.1.6_2.25" localSheetId="14">#REF!</definedName>
    <definedName name="B.W.1.6_2.25" localSheetId="13">#REF!</definedName>
    <definedName name="B.W.1.6_2.25" localSheetId="6">#REF!</definedName>
    <definedName name="B.W.1.6_2.25" localSheetId="8">#REF!</definedName>
    <definedName name="B.W.1.6_2.25" localSheetId="9">#REF!</definedName>
    <definedName name="B.W.1.6_2.25" localSheetId="7">#REF!</definedName>
    <definedName name="B.W.1.6_2.25" localSheetId="10">#REF!</definedName>
    <definedName name="B.W.1.6_2.25">#REF!</definedName>
    <definedName name="B.W.1.6_2.5" localSheetId="22">#REF!</definedName>
    <definedName name="B.W.1.6_2.5" localSheetId="4">#REF!</definedName>
    <definedName name="B.W.1.6_2.5" localSheetId="3">#REF!</definedName>
    <definedName name="B.W.1.6_2.5" localSheetId="16">#REF!</definedName>
    <definedName name="B.W.1.6_2.5" localSheetId="11">#REF!</definedName>
    <definedName name="B.W.1.6_2.5" localSheetId="15">#REF!</definedName>
    <definedName name="B.W.1.6_2.5" localSheetId="12">#REF!</definedName>
    <definedName name="B.W.1.6_2.5" localSheetId="17">#REF!</definedName>
    <definedName name="B.W.1.6_2.5" localSheetId="23">#REF!</definedName>
    <definedName name="B.W.1.6_2.5" localSheetId="18">#REF!</definedName>
    <definedName name="B.W.1.6_2.5" localSheetId="14">#REF!</definedName>
    <definedName name="B.W.1.6_2.5" localSheetId="13">#REF!</definedName>
    <definedName name="B.W.1.6_2.5" localSheetId="6">#REF!</definedName>
    <definedName name="B.W.1.6_2.5" localSheetId="8">#REF!</definedName>
    <definedName name="B.W.1.6_2.5" localSheetId="9">#REF!</definedName>
    <definedName name="B.W.1.6_2.5" localSheetId="7">#REF!</definedName>
    <definedName name="B.W.1.6_2.5" localSheetId="10">#REF!</definedName>
    <definedName name="B.W.1.6_2.5">#REF!</definedName>
    <definedName name="B.W.1.6_2.75" localSheetId="22">#REF!</definedName>
    <definedName name="B.W.1.6_2.75" localSheetId="4">#REF!</definedName>
    <definedName name="B.W.1.6_2.75" localSheetId="3">#REF!</definedName>
    <definedName name="B.W.1.6_2.75" localSheetId="16">#REF!</definedName>
    <definedName name="B.W.1.6_2.75" localSheetId="11">#REF!</definedName>
    <definedName name="B.W.1.6_2.75" localSheetId="15">#REF!</definedName>
    <definedName name="B.W.1.6_2.75" localSheetId="12">#REF!</definedName>
    <definedName name="B.W.1.6_2.75" localSheetId="17">#REF!</definedName>
    <definedName name="B.W.1.6_2.75" localSheetId="23">#REF!</definedName>
    <definedName name="B.W.1.6_2.75" localSheetId="18">#REF!</definedName>
    <definedName name="B.W.1.6_2.75" localSheetId="14">#REF!</definedName>
    <definedName name="B.W.1.6_2.75" localSheetId="13">#REF!</definedName>
    <definedName name="B.W.1.6_2.75" localSheetId="6">#REF!</definedName>
    <definedName name="B.W.1.6_2.75" localSheetId="8">#REF!</definedName>
    <definedName name="B.W.1.6_2.75" localSheetId="9">#REF!</definedName>
    <definedName name="B.W.1.6_2.75" localSheetId="7">#REF!</definedName>
    <definedName name="B.W.1.6_2.75" localSheetId="10">#REF!</definedName>
    <definedName name="B.W.1.6_2.75">#REF!</definedName>
    <definedName name="B.W.1.6_3" localSheetId="22">#REF!</definedName>
    <definedName name="B.W.1.6_3" localSheetId="4">#REF!</definedName>
    <definedName name="B.W.1.6_3" localSheetId="3">#REF!</definedName>
    <definedName name="B.W.1.6_3" localSheetId="16">#REF!</definedName>
    <definedName name="B.W.1.6_3" localSheetId="11">#REF!</definedName>
    <definedName name="B.W.1.6_3" localSheetId="15">#REF!</definedName>
    <definedName name="B.W.1.6_3" localSheetId="12">#REF!</definedName>
    <definedName name="B.W.1.6_3" localSheetId="17">#REF!</definedName>
    <definedName name="B.W.1.6_3" localSheetId="23">#REF!</definedName>
    <definedName name="B.W.1.6_3" localSheetId="18">#REF!</definedName>
    <definedName name="B.W.1.6_3" localSheetId="14">#REF!</definedName>
    <definedName name="B.W.1.6_3" localSheetId="13">#REF!</definedName>
    <definedName name="B.W.1.6_3" localSheetId="6">#REF!</definedName>
    <definedName name="B.W.1.6_3" localSheetId="8">#REF!</definedName>
    <definedName name="B.W.1.6_3" localSheetId="9">#REF!</definedName>
    <definedName name="B.W.1.6_3" localSheetId="7">#REF!</definedName>
    <definedName name="B.W.1.6_3" localSheetId="10">#REF!</definedName>
    <definedName name="B.W.1.6_3">#REF!</definedName>
    <definedName name="Basementfill">[1]Spec!$B$14</definedName>
    <definedName name="be" localSheetId="22">#REF!</definedName>
    <definedName name="be" localSheetId="3">#REF!</definedName>
    <definedName name="be" localSheetId="16">#REF!</definedName>
    <definedName name="be" localSheetId="11">#REF!</definedName>
    <definedName name="be" localSheetId="15">#REF!</definedName>
    <definedName name="be" localSheetId="12">#REF!</definedName>
    <definedName name="be" localSheetId="17">#REF!</definedName>
    <definedName name="be" localSheetId="23">#REF!</definedName>
    <definedName name="be" localSheetId="18">#REF!</definedName>
    <definedName name="be" localSheetId="14">#REF!</definedName>
    <definedName name="be" localSheetId="13">#REF!</definedName>
    <definedName name="be" localSheetId="6">#REF!</definedName>
    <definedName name="be" localSheetId="8">#REF!</definedName>
    <definedName name="be" localSheetId="9">#REF!</definedName>
    <definedName name="be" localSheetId="7">#REF!</definedName>
    <definedName name="be" localSheetId="10">#REF!</definedName>
    <definedName name="be">#REF!</definedName>
    <definedName name="Beg_Bal" localSheetId="23">#REF!</definedName>
    <definedName name="Beg_Bal">#REF!</definedName>
    <definedName name="bghvnbbb" localSheetId="22">#REF!</definedName>
    <definedName name="bghvnbbb" localSheetId="3">#REF!</definedName>
    <definedName name="bghvnbbb" localSheetId="16">#REF!</definedName>
    <definedName name="bghvnbbb" localSheetId="11">#REF!</definedName>
    <definedName name="bghvnbbb" localSheetId="15">#REF!</definedName>
    <definedName name="bghvnbbb" localSheetId="12">#REF!</definedName>
    <definedName name="bghvnbbb" localSheetId="17">#REF!</definedName>
    <definedName name="bghvnbbb" localSheetId="23">#REF!</definedName>
    <definedName name="bghvnbbb" localSheetId="18">#REF!</definedName>
    <definedName name="bghvnbbb" localSheetId="14">#REF!</definedName>
    <definedName name="bghvnbbb" localSheetId="13">#REF!</definedName>
    <definedName name="bghvnbbb" localSheetId="6">#REF!</definedName>
    <definedName name="bghvnbbb" localSheetId="8">#REF!</definedName>
    <definedName name="bghvnbbb" localSheetId="9">#REF!</definedName>
    <definedName name="bghvnbbb" localSheetId="7">#REF!</definedName>
    <definedName name="bghvnbbb" localSheetId="10">#REF!</definedName>
    <definedName name="bghvnbbb">#REF!</definedName>
    <definedName name="BM" localSheetId="22">#REF!</definedName>
    <definedName name="BM" localSheetId="4">#REF!</definedName>
    <definedName name="BM" localSheetId="3">#REF!</definedName>
    <definedName name="BM" localSheetId="16">#REF!</definedName>
    <definedName name="BM" localSheetId="11">#REF!</definedName>
    <definedName name="BM" localSheetId="15">#REF!</definedName>
    <definedName name="BM" localSheetId="12">#REF!</definedName>
    <definedName name="BM" localSheetId="17">#REF!</definedName>
    <definedName name="BM" localSheetId="23">#REF!</definedName>
    <definedName name="BM" localSheetId="18">#REF!</definedName>
    <definedName name="BM" localSheetId="14">#REF!</definedName>
    <definedName name="BM" localSheetId="13">#REF!</definedName>
    <definedName name="BM" localSheetId="6">#REF!</definedName>
    <definedName name="BM" localSheetId="8">#REF!</definedName>
    <definedName name="BM" localSheetId="9">#REF!</definedName>
    <definedName name="BM" localSheetId="7">#REF!</definedName>
    <definedName name="BM" localSheetId="10">#REF!</definedName>
    <definedName name="BM">#REF!</definedName>
    <definedName name="bor" localSheetId="22">#REF!</definedName>
    <definedName name="bor" localSheetId="4">#REF!</definedName>
    <definedName name="bor" localSheetId="3">#REF!</definedName>
    <definedName name="bor" localSheetId="16">#REF!</definedName>
    <definedName name="bor" localSheetId="11">#REF!</definedName>
    <definedName name="bor" localSheetId="15">#REF!</definedName>
    <definedName name="bor" localSheetId="12">#REF!</definedName>
    <definedName name="bor" localSheetId="17">#REF!</definedName>
    <definedName name="bor" localSheetId="23">#REF!</definedName>
    <definedName name="bor" localSheetId="18">#REF!</definedName>
    <definedName name="bor" localSheetId="14">#REF!</definedName>
    <definedName name="bor" localSheetId="13">#REF!</definedName>
    <definedName name="bor" localSheetId="6">#REF!</definedName>
    <definedName name="bor" localSheetId="8">#REF!</definedName>
    <definedName name="bor" localSheetId="9">#REF!</definedName>
    <definedName name="bor" localSheetId="7">#REF!</definedName>
    <definedName name="bor" localSheetId="10">#REF!</definedName>
    <definedName name="bor">#REF!</definedName>
    <definedName name="Br.Par_2.0" localSheetId="22">#REF!</definedName>
    <definedName name="Br.Par_2.0" localSheetId="4">#REF!</definedName>
    <definedName name="Br.Par_2.0" localSheetId="3">#REF!</definedName>
    <definedName name="Br.Par_2.0" localSheetId="16">#REF!</definedName>
    <definedName name="Br.Par_2.0" localSheetId="11">#REF!</definedName>
    <definedName name="Br.Par_2.0" localSheetId="15">#REF!</definedName>
    <definedName name="Br.Par_2.0" localSheetId="12">#REF!</definedName>
    <definedName name="Br.Par_2.0" localSheetId="17">#REF!</definedName>
    <definedName name="Br.Par_2.0" localSheetId="23">#REF!</definedName>
    <definedName name="Br.Par_2.0" localSheetId="18">#REF!</definedName>
    <definedName name="Br.Par_2.0" localSheetId="14">#REF!</definedName>
    <definedName name="Br.Par_2.0" localSheetId="13">#REF!</definedName>
    <definedName name="Br.Par_2.0" localSheetId="6">#REF!</definedName>
    <definedName name="Br.Par_2.0" localSheetId="8">#REF!</definedName>
    <definedName name="Br.Par_2.0" localSheetId="9">#REF!</definedName>
    <definedName name="Br.Par_2.0" localSheetId="7">#REF!</definedName>
    <definedName name="Br.Par_2.0" localSheetId="10">#REF!</definedName>
    <definedName name="Br.Par_2.0">#REF!</definedName>
    <definedName name="Br.Par_2.25" localSheetId="22">#REF!</definedName>
    <definedName name="Br.Par_2.25" localSheetId="4">#REF!</definedName>
    <definedName name="Br.Par_2.25" localSheetId="3">#REF!</definedName>
    <definedName name="Br.Par_2.25" localSheetId="16">#REF!</definedName>
    <definedName name="Br.Par_2.25" localSheetId="11">#REF!</definedName>
    <definedName name="Br.Par_2.25" localSheetId="15">#REF!</definedName>
    <definedName name="Br.Par_2.25" localSheetId="12">#REF!</definedName>
    <definedName name="Br.Par_2.25" localSheetId="17">#REF!</definedName>
    <definedName name="Br.Par_2.25" localSheetId="23">#REF!</definedName>
    <definedName name="Br.Par_2.25" localSheetId="18">#REF!</definedName>
    <definedName name="Br.Par_2.25" localSheetId="14">#REF!</definedName>
    <definedName name="Br.Par_2.25" localSheetId="13">#REF!</definedName>
    <definedName name="Br.Par_2.25" localSheetId="6">#REF!</definedName>
    <definedName name="Br.Par_2.25" localSheetId="8">#REF!</definedName>
    <definedName name="Br.Par_2.25" localSheetId="9">#REF!</definedName>
    <definedName name="Br.Par_2.25" localSheetId="7">#REF!</definedName>
    <definedName name="Br.Par_2.25" localSheetId="10">#REF!</definedName>
    <definedName name="Br.Par_2.25">#REF!</definedName>
    <definedName name="Br.Par_2.50" localSheetId="22">#REF!</definedName>
    <definedName name="Br.Par_2.50" localSheetId="4">#REF!</definedName>
    <definedName name="Br.Par_2.50" localSheetId="3">#REF!</definedName>
    <definedName name="Br.Par_2.50" localSheetId="16">#REF!</definedName>
    <definedName name="Br.Par_2.50" localSheetId="11">#REF!</definedName>
    <definedName name="Br.Par_2.50" localSheetId="15">#REF!</definedName>
    <definedName name="Br.Par_2.50" localSheetId="12">#REF!</definedName>
    <definedName name="Br.Par_2.50" localSheetId="17">#REF!</definedName>
    <definedName name="Br.Par_2.50" localSheetId="23">#REF!</definedName>
    <definedName name="Br.Par_2.50" localSheetId="18">#REF!</definedName>
    <definedName name="Br.Par_2.50" localSheetId="14">#REF!</definedName>
    <definedName name="Br.Par_2.50" localSheetId="13">#REF!</definedName>
    <definedName name="Br.Par_2.50" localSheetId="6">#REF!</definedName>
    <definedName name="Br.Par_2.50" localSheetId="8">#REF!</definedName>
    <definedName name="Br.Par_2.50" localSheetId="9">#REF!</definedName>
    <definedName name="Br.Par_2.50" localSheetId="7">#REF!</definedName>
    <definedName name="Br.Par_2.50" localSheetId="10">#REF!</definedName>
    <definedName name="Br.Par_2.50">#REF!</definedName>
    <definedName name="Br.Par_2.75" localSheetId="22">#REF!</definedName>
    <definedName name="Br.Par_2.75" localSheetId="4">#REF!</definedName>
    <definedName name="Br.Par_2.75" localSheetId="3">#REF!</definedName>
    <definedName name="Br.Par_2.75" localSheetId="16">#REF!</definedName>
    <definedName name="Br.Par_2.75" localSheetId="11">#REF!</definedName>
    <definedName name="Br.Par_2.75" localSheetId="15">#REF!</definedName>
    <definedName name="Br.Par_2.75" localSheetId="12">#REF!</definedName>
    <definedName name="Br.Par_2.75" localSheetId="17">#REF!</definedName>
    <definedName name="Br.Par_2.75" localSheetId="23">#REF!</definedName>
    <definedName name="Br.Par_2.75" localSheetId="18">#REF!</definedName>
    <definedName name="Br.Par_2.75" localSheetId="14">#REF!</definedName>
    <definedName name="Br.Par_2.75" localSheetId="13">#REF!</definedName>
    <definedName name="Br.Par_2.75" localSheetId="6">#REF!</definedName>
    <definedName name="Br.Par_2.75" localSheetId="8">#REF!</definedName>
    <definedName name="Br.Par_2.75" localSheetId="9">#REF!</definedName>
    <definedName name="Br.Par_2.75" localSheetId="7">#REF!</definedName>
    <definedName name="Br.Par_2.75" localSheetId="10">#REF!</definedName>
    <definedName name="Br.Par_2.75">#REF!</definedName>
    <definedName name="Br.Par_3.0" localSheetId="22">#REF!</definedName>
    <definedName name="Br.Par_3.0" localSheetId="4">#REF!</definedName>
    <definedName name="Br.Par_3.0" localSheetId="3">#REF!</definedName>
    <definedName name="Br.Par_3.0" localSheetId="16">#REF!</definedName>
    <definedName name="Br.Par_3.0" localSheetId="11">#REF!</definedName>
    <definedName name="Br.Par_3.0" localSheetId="15">#REF!</definedName>
    <definedName name="Br.Par_3.0" localSheetId="12">#REF!</definedName>
    <definedName name="Br.Par_3.0" localSheetId="17">#REF!</definedName>
    <definedName name="Br.Par_3.0" localSheetId="23">#REF!</definedName>
    <definedName name="Br.Par_3.0" localSheetId="18">#REF!</definedName>
    <definedName name="Br.Par_3.0" localSheetId="14">#REF!</definedName>
    <definedName name="Br.Par_3.0" localSheetId="13">#REF!</definedName>
    <definedName name="Br.Par_3.0" localSheetId="6">#REF!</definedName>
    <definedName name="Br.Par_3.0" localSheetId="8">#REF!</definedName>
    <definedName name="Br.Par_3.0" localSheetId="9">#REF!</definedName>
    <definedName name="Br.Par_3.0" localSheetId="7">#REF!</definedName>
    <definedName name="Br.Par_3.0" localSheetId="10">#REF!</definedName>
    <definedName name="Br.Par_3.0">#REF!</definedName>
    <definedName name="Brick_work" localSheetId="22">#REF!</definedName>
    <definedName name="Brick_work" localSheetId="4">#REF!</definedName>
    <definedName name="Brick_work" localSheetId="3">#REF!</definedName>
    <definedName name="Brick_work" localSheetId="16">#REF!</definedName>
    <definedName name="Brick_work" localSheetId="11">#REF!</definedName>
    <definedName name="Brick_work" localSheetId="15">#REF!</definedName>
    <definedName name="Brick_work" localSheetId="12">#REF!</definedName>
    <definedName name="Brick_work" localSheetId="17">#REF!</definedName>
    <definedName name="Brick_work" localSheetId="23">#REF!</definedName>
    <definedName name="Brick_work" localSheetId="18">#REF!</definedName>
    <definedName name="Brick_work" localSheetId="14">#REF!</definedName>
    <definedName name="Brick_work" localSheetId="13">#REF!</definedName>
    <definedName name="Brick_work" localSheetId="6">#REF!</definedName>
    <definedName name="Brick_work" localSheetId="8">#REF!</definedName>
    <definedName name="Brick_work" localSheetId="9">#REF!</definedName>
    <definedName name="Brick_work" localSheetId="7">#REF!</definedName>
    <definedName name="Brick_work" localSheetId="10">#REF!</definedName>
    <definedName name="Brick_work">#REF!</definedName>
    <definedName name="Brick_work_11" localSheetId="22">#REF!</definedName>
    <definedName name="Brick_work_11" localSheetId="4">#REF!</definedName>
    <definedName name="Brick_work_11" localSheetId="3">#REF!</definedName>
    <definedName name="Brick_work_11" localSheetId="16">#REF!</definedName>
    <definedName name="Brick_work_11" localSheetId="11">#REF!</definedName>
    <definedName name="Brick_work_11" localSheetId="15">#REF!</definedName>
    <definedName name="Brick_work_11" localSheetId="12">#REF!</definedName>
    <definedName name="Brick_work_11" localSheetId="17">#REF!</definedName>
    <definedName name="Brick_work_11" localSheetId="23">#REF!</definedName>
    <definedName name="Brick_work_11" localSheetId="18">#REF!</definedName>
    <definedName name="Brick_work_11" localSheetId="14">#REF!</definedName>
    <definedName name="Brick_work_11" localSheetId="13">#REF!</definedName>
    <definedName name="Brick_work_11" localSheetId="6">#REF!</definedName>
    <definedName name="Brick_work_11" localSheetId="8">#REF!</definedName>
    <definedName name="Brick_work_11" localSheetId="9">#REF!</definedName>
    <definedName name="Brick_work_11" localSheetId="7">#REF!</definedName>
    <definedName name="Brick_work_11" localSheetId="10">#REF!</definedName>
    <definedName name="Brick_work_11">#REF!</definedName>
    <definedName name="Brick_work_3" localSheetId="22">#REF!</definedName>
    <definedName name="Brick_work_3" localSheetId="4">#REF!</definedName>
    <definedName name="Brick_work_3" localSheetId="3">#REF!</definedName>
    <definedName name="Brick_work_3" localSheetId="16">#REF!</definedName>
    <definedName name="Brick_work_3" localSheetId="11">#REF!</definedName>
    <definedName name="Brick_work_3" localSheetId="15">#REF!</definedName>
    <definedName name="Brick_work_3" localSheetId="12">#REF!</definedName>
    <definedName name="Brick_work_3" localSheetId="17">#REF!</definedName>
    <definedName name="Brick_work_3" localSheetId="23">#REF!</definedName>
    <definedName name="Brick_work_3" localSheetId="18">#REF!</definedName>
    <definedName name="Brick_work_3" localSheetId="14">#REF!</definedName>
    <definedName name="Brick_work_3" localSheetId="13">#REF!</definedName>
    <definedName name="Brick_work_3" localSheetId="6">#REF!</definedName>
    <definedName name="Brick_work_3" localSheetId="8">#REF!</definedName>
    <definedName name="Brick_work_3" localSheetId="9">#REF!</definedName>
    <definedName name="Brick_work_3" localSheetId="7">#REF!</definedName>
    <definedName name="Brick_work_3" localSheetId="10">#REF!</definedName>
    <definedName name="Brick_work_3">#REF!</definedName>
    <definedName name="Brick_work_6" localSheetId="22">#REF!</definedName>
    <definedName name="Brick_work_6" localSheetId="4">#REF!</definedName>
    <definedName name="Brick_work_6" localSheetId="3">#REF!</definedName>
    <definedName name="Brick_work_6" localSheetId="16">#REF!</definedName>
    <definedName name="Brick_work_6" localSheetId="11">#REF!</definedName>
    <definedName name="Brick_work_6" localSheetId="15">#REF!</definedName>
    <definedName name="Brick_work_6" localSheetId="12">#REF!</definedName>
    <definedName name="Brick_work_6" localSheetId="17">#REF!</definedName>
    <definedName name="Brick_work_6" localSheetId="23">#REF!</definedName>
    <definedName name="Brick_work_6" localSheetId="18">#REF!</definedName>
    <definedName name="Brick_work_6" localSheetId="14">#REF!</definedName>
    <definedName name="Brick_work_6" localSheetId="13">#REF!</definedName>
    <definedName name="Brick_work_6" localSheetId="6">#REF!</definedName>
    <definedName name="Brick_work_6" localSheetId="8">#REF!</definedName>
    <definedName name="Brick_work_6" localSheetId="9">#REF!</definedName>
    <definedName name="Brick_work_6" localSheetId="7">#REF!</definedName>
    <definedName name="Brick_work_6" localSheetId="10">#REF!</definedName>
    <definedName name="Brick_work_6">#REF!</definedName>
    <definedName name="Bricks" localSheetId="22">[4]Data!#REF!</definedName>
    <definedName name="Bricks" localSheetId="3">[5]Data!#REF!</definedName>
    <definedName name="Bricks" localSheetId="16">[6]Data!#REF!</definedName>
    <definedName name="Bricks" localSheetId="11">[6]Data!#REF!</definedName>
    <definedName name="Bricks" localSheetId="15">[6]Data!#REF!</definedName>
    <definedName name="Bricks" localSheetId="12">[7]Data!#REF!</definedName>
    <definedName name="Bricks" localSheetId="17">[6]Data!#REF!</definedName>
    <definedName name="Bricks" localSheetId="23">[7]Data!#REF!</definedName>
    <definedName name="Bricks" localSheetId="18">[6]Data!#REF!</definedName>
    <definedName name="Bricks" localSheetId="14">[6]Data!#REF!</definedName>
    <definedName name="Bricks" localSheetId="13">[7]Data!#REF!</definedName>
    <definedName name="Bricks" localSheetId="6">[6]Data!#REF!</definedName>
    <definedName name="Bricks" localSheetId="8">[8]Data!#REF!</definedName>
    <definedName name="Bricks" localSheetId="9">[7]Data!#REF!</definedName>
    <definedName name="Bricks" localSheetId="7">[8]Data!#REF!</definedName>
    <definedName name="Bricks" localSheetId="10">[6]Data!#REF!</definedName>
    <definedName name="Bricks">[5]Data!#REF!</definedName>
    <definedName name="Bricks_11" localSheetId="22">#REF!</definedName>
    <definedName name="Bricks_11" localSheetId="4">#REF!</definedName>
    <definedName name="Bricks_11" localSheetId="3">#REF!</definedName>
    <definedName name="Bricks_11" localSheetId="16">#REF!</definedName>
    <definedName name="Bricks_11" localSheetId="11">#REF!</definedName>
    <definedName name="Bricks_11" localSheetId="15">#REF!</definedName>
    <definedName name="Bricks_11" localSheetId="12">#REF!</definedName>
    <definedName name="Bricks_11" localSheetId="17">#REF!</definedName>
    <definedName name="Bricks_11" localSheetId="23">#REF!</definedName>
    <definedName name="Bricks_11" localSheetId="18">#REF!</definedName>
    <definedName name="Bricks_11" localSheetId="14">#REF!</definedName>
    <definedName name="Bricks_11" localSheetId="13">#REF!</definedName>
    <definedName name="Bricks_11" localSheetId="6">#REF!</definedName>
    <definedName name="Bricks_11" localSheetId="8">#REF!</definedName>
    <definedName name="Bricks_11" localSheetId="9">#REF!</definedName>
    <definedName name="Bricks_11" localSheetId="7">#REF!</definedName>
    <definedName name="Bricks_11" localSheetId="10">#REF!</definedName>
    <definedName name="Bricks_11">#REF!</definedName>
    <definedName name="Bricks_3" localSheetId="22">#REF!</definedName>
    <definedName name="Bricks_3" localSheetId="4">#REF!</definedName>
    <definedName name="Bricks_3" localSheetId="3">#REF!</definedName>
    <definedName name="Bricks_3" localSheetId="16">#REF!</definedName>
    <definedName name="Bricks_3" localSheetId="11">#REF!</definedName>
    <definedName name="Bricks_3" localSheetId="15">#REF!</definedName>
    <definedName name="Bricks_3" localSheetId="12">#REF!</definedName>
    <definedName name="Bricks_3" localSheetId="17">#REF!</definedName>
    <definedName name="Bricks_3" localSheetId="23">#REF!</definedName>
    <definedName name="Bricks_3" localSheetId="18">#REF!</definedName>
    <definedName name="Bricks_3" localSheetId="14">#REF!</definedName>
    <definedName name="Bricks_3" localSheetId="13">#REF!</definedName>
    <definedName name="Bricks_3" localSheetId="6">#REF!</definedName>
    <definedName name="Bricks_3" localSheetId="8">#REF!</definedName>
    <definedName name="Bricks_3" localSheetId="9">#REF!</definedName>
    <definedName name="Bricks_3" localSheetId="7">#REF!</definedName>
    <definedName name="Bricks_3" localSheetId="10">#REF!</definedName>
    <definedName name="Bricks_3">#REF!</definedName>
    <definedName name="Bricks_6" localSheetId="22">#REF!</definedName>
    <definedName name="Bricks_6" localSheetId="4">#REF!</definedName>
    <definedName name="Bricks_6" localSheetId="3">#REF!</definedName>
    <definedName name="Bricks_6" localSheetId="16">#REF!</definedName>
    <definedName name="Bricks_6" localSheetId="11">#REF!</definedName>
    <definedName name="Bricks_6" localSheetId="15">#REF!</definedName>
    <definedName name="Bricks_6" localSheetId="12">#REF!</definedName>
    <definedName name="Bricks_6" localSheetId="17">#REF!</definedName>
    <definedName name="Bricks_6" localSheetId="23">#REF!</definedName>
    <definedName name="Bricks_6" localSheetId="18">#REF!</definedName>
    <definedName name="Bricks_6" localSheetId="14">#REF!</definedName>
    <definedName name="Bricks_6" localSheetId="13">#REF!</definedName>
    <definedName name="Bricks_6" localSheetId="6">#REF!</definedName>
    <definedName name="Bricks_6" localSheetId="8">#REF!</definedName>
    <definedName name="Bricks_6" localSheetId="9">#REF!</definedName>
    <definedName name="Bricks_6" localSheetId="7">#REF!</definedName>
    <definedName name="Bricks_6" localSheetId="10">#REF!</definedName>
    <definedName name="Bricks_6">#REF!</definedName>
    <definedName name="Bricks_7" localSheetId="22">[4]Data!#REF!</definedName>
    <definedName name="Bricks_7" localSheetId="3">[5]Data!#REF!</definedName>
    <definedName name="Bricks_7" localSheetId="16">[6]Data!#REF!</definedName>
    <definedName name="Bricks_7" localSheetId="11">[6]Data!#REF!</definedName>
    <definedName name="Bricks_7" localSheetId="15">[6]Data!#REF!</definedName>
    <definedName name="Bricks_7" localSheetId="12">[7]Data!#REF!</definedName>
    <definedName name="Bricks_7" localSheetId="17">[6]Data!#REF!</definedName>
    <definedName name="Bricks_7" localSheetId="23">[7]Data!#REF!</definedName>
    <definedName name="Bricks_7" localSheetId="18">[6]Data!#REF!</definedName>
    <definedName name="Bricks_7" localSheetId="14">[6]Data!#REF!</definedName>
    <definedName name="Bricks_7" localSheetId="13">[7]Data!#REF!</definedName>
    <definedName name="Bricks_7" localSheetId="6">[6]Data!#REF!</definedName>
    <definedName name="Bricks_7" localSheetId="8">[8]Data!#REF!</definedName>
    <definedName name="Bricks_7" localSheetId="9">[7]Data!#REF!</definedName>
    <definedName name="Bricks_7" localSheetId="7">[8]Data!#REF!</definedName>
    <definedName name="Bricks_7" localSheetId="10">[6]Data!#REF!</definedName>
    <definedName name="Bricks_7">[5]Data!#REF!</definedName>
    <definedName name="Bricks_8" localSheetId="22">[4]Data!#REF!</definedName>
    <definedName name="Bricks_8" localSheetId="3">[5]Data!#REF!</definedName>
    <definedName name="Bricks_8" localSheetId="16">[6]Data!#REF!</definedName>
    <definedName name="Bricks_8" localSheetId="11">[6]Data!#REF!</definedName>
    <definedName name="Bricks_8" localSheetId="15">[6]Data!#REF!</definedName>
    <definedName name="Bricks_8" localSheetId="12">[7]Data!#REF!</definedName>
    <definedName name="Bricks_8" localSheetId="17">[6]Data!#REF!</definedName>
    <definedName name="Bricks_8" localSheetId="23">[7]Data!#REF!</definedName>
    <definedName name="Bricks_8" localSheetId="18">[6]Data!#REF!</definedName>
    <definedName name="Bricks_8" localSheetId="14">[6]Data!#REF!</definedName>
    <definedName name="Bricks_8" localSheetId="13">[7]Data!#REF!</definedName>
    <definedName name="Bricks_8" localSheetId="6">[6]Data!#REF!</definedName>
    <definedName name="Bricks_8" localSheetId="8">[8]Data!#REF!</definedName>
    <definedName name="Bricks_8" localSheetId="9">[7]Data!#REF!</definedName>
    <definedName name="Bricks_8" localSheetId="7">[8]Data!#REF!</definedName>
    <definedName name="Bricks_8" localSheetId="10">[6]Data!#REF!</definedName>
    <definedName name="Bricks_8">[5]Data!#REF!</definedName>
    <definedName name="bui" localSheetId="22">#REF!</definedName>
    <definedName name="bui" localSheetId="4">#REF!</definedName>
    <definedName name="bui" localSheetId="3">#REF!</definedName>
    <definedName name="bui" localSheetId="16">#REF!</definedName>
    <definedName name="bui" localSheetId="11">#REF!</definedName>
    <definedName name="bui" localSheetId="15">#REF!</definedName>
    <definedName name="bui" localSheetId="12">#REF!</definedName>
    <definedName name="bui" localSheetId="17">#REF!</definedName>
    <definedName name="bui" localSheetId="23">#REF!</definedName>
    <definedName name="bui" localSheetId="18">#REF!</definedName>
    <definedName name="bui" localSheetId="14">#REF!</definedName>
    <definedName name="bui" localSheetId="13">#REF!</definedName>
    <definedName name="bui" localSheetId="6">#REF!</definedName>
    <definedName name="bui" localSheetId="8">#REF!</definedName>
    <definedName name="bui" localSheetId="9">#REF!</definedName>
    <definedName name="bui" localSheetId="7">#REF!</definedName>
    <definedName name="bui" localSheetId="10">#REF!</definedName>
    <definedName name="bui">#REF!</definedName>
    <definedName name="building" localSheetId="22">#REF!</definedName>
    <definedName name="building" localSheetId="3">#REF!</definedName>
    <definedName name="building" localSheetId="16">#REF!</definedName>
    <definedName name="building" localSheetId="11">#REF!</definedName>
    <definedName name="building" localSheetId="15">#REF!</definedName>
    <definedName name="building" localSheetId="17">#REF!</definedName>
    <definedName name="building" localSheetId="23">#REF!</definedName>
    <definedName name="building" localSheetId="18">#REF!</definedName>
    <definedName name="building" localSheetId="14">#REF!</definedName>
    <definedName name="building" localSheetId="6">#REF!</definedName>
    <definedName name="building" localSheetId="10">#REF!</definedName>
    <definedName name="building">#REF!</definedName>
    <definedName name="Buildingevelopment." localSheetId="22">#REF!</definedName>
    <definedName name="Buildingevelopment." localSheetId="4">#REF!</definedName>
    <definedName name="Buildingevelopment." localSheetId="3">#REF!</definedName>
    <definedName name="Buildingevelopment." localSheetId="16">#REF!</definedName>
    <definedName name="Buildingevelopment." localSheetId="11">#REF!</definedName>
    <definedName name="Buildingevelopment." localSheetId="15">#REF!</definedName>
    <definedName name="Buildingevelopment." localSheetId="12">#REF!</definedName>
    <definedName name="Buildingevelopment." localSheetId="17">#REF!</definedName>
    <definedName name="Buildingevelopment." localSheetId="23">#REF!</definedName>
    <definedName name="Buildingevelopment." localSheetId="18">#REF!</definedName>
    <definedName name="Buildingevelopment." localSheetId="14">#REF!</definedName>
    <definedName name="Buildingevelopment." localSheetId="13">#REF!</definedName>
    <definedName name="Buildingevelopment." localSheetId="6">#REF!</definedName>
    <definedName name="Buildingevelopment." localSheetId="8">#REF!</definedName>
    <definedName name="Buildingevelopment." localSheetId="9">#REF!</definedName>
    <definedName name="Buildingevelopment." localSheetId="7">#REF!</definedName>
    <definedName name="Buildingevelopment." localSheetId="10">#REF!</definedName>
    <definedName name="Buildingevelopment.">#REF!</definedName>
    <definedName name="BW">[1]Spec!$B$9</definedName>
    <definedName name="c.data" localSheetId="22">#REF!</definedName>
    <definedName name="c.data" localSheetId="4">#REF!</definedName>
    <definedName name="c.data" localSheetId="3">#REF!</definedName>
    <definedName name="c.data" localSheetId="16">#REF!</definedName>
    <definedName name="c.data" localSheetId="11">#REF!</definedName>
    <definedName name="c.data" localSheetId="15">#REF!</definedName>
    <definedName name="c.data" localSheetId="12">#REF!</definedName>
    <definedName name="c.data" localSheetId="17">#REF!</definedName>
    <definedName name="c.data" localSheetId="23">#REF!</definedName>
    <definedName name="c.data" localSheetId="18">#REF!</definedName>
    <definedName name="c.data" localSheetId="14">#REF!</definedName>
    <definedName name="c.data" localSheetId="13">#REF!</definedName>
    <definedName name="c.data" localSheetId="6">#REF!</definedName>
    <definedName name="c.data" localSheetId="8">#REF!</definedName>
    <definedName name="c.data" localSheetId="9">#REF!</definedName>
    <definedName name="c.data" localSheetId="7">#REF!</definedName>
    <definedName name="c.data" localSheetId="10">#REF!</definedName>
    <definedName name="c.data">#REF!</definedName>
    <definedName name="C.M.1.1" localSheetId="22">#REF!</definedName>
    <definedName name="C.M.1.1" localSheetId="4">#REF!</definedName>
    <definedName name="C.M.1.1" localSheetId="3">#REF!</definedName>
    <definedName name="C.M.1.1" localSheetId="16">#REF!</definedName>
    <definedName name="C.M.1.1" localSheetId="11">#REF!</definedName>
    <definedName name="C.M.1.1" localSheetId="15">#REF!</definedName>
    <definedName name="C.M.1.1" localSheetId="12">#REF!</definedName>
    <definedName name="C.M.1.1" localSheetId="17">#REF!</definedName>
    <definedName name="C.M.1.1" localSheetId="23">#REF!</definedName>
    <definedName name="C.M.1.1" localSheetId="18">#REF!</definedName>
    <definedName name="C.M.1.1" localSheetId="14">#REF!</definedName>
    <definedName name="C.M.1.1" localSheetId="13">#REF!</definedName>
    <definedName name="C.M.1.1" localSheetId="6">#REF!</definedName>
    <definedName name="C.M.1.1" localSheetId="8">#REF!</definedName>
    <definedName name="C.M.1.1" localSheetId="9">#REF!</definedName>
    <definedName name="C.M.1.1" localSheetId="7">#REF!</definedName>
    <definedName name="C.M.1.1" localSheetId="10">#REF!</definedName>
    <definedName name="C.M.1.1">#REF!</definedName>
    <definedName name="C.M.1.1.5" localSheetId="22">#REF!</definedName>
    <definedName name="C.M.1.1.5" localSheetId="4">#REF!</definedName>
    <definedName name="C.M.1.1.5" localSheetId="3">#REF!</definedName>
    <definedName name="C.M.1.1.5" localSheetId="16">#REF!</definedName>
    <definedName name="C.M.1.1.5" localSheetId="11">#REF!</definedName>
    <definedName name="C.M.1.1.5" localSheetId="15">#REF!</definedName>
    <definedName name="C.M.1.1.5" localSheetId="12">#REF!</definedName>
    <definedName name="C.M.1.1.5" localSheetId="17">#REF!</definedName>
    <definedName name="C.M.1.1.5" localSheetId="23">#REF!</definedName>
    <definedName name="C.M.1.1.5" localSheetId="18">#REF!</definedName>
    <definedName name="C.M.1.1.5" localSheetId="14">#REF!</definedName>
    <definedName name="C.M.1.1.5" localSheetId="13">#REF!</definedName>
    <definedName name="C.M.1.1.5" localSheetId="6">#REF!</definedName>
    <definedName name="C.M.1.1.5" localSheetId="8">#REF!</definedName>
    <definedName name="C.M.1.1.5" localSheetId="9">#REF!</definedName>
    <definedName name="C.M.1.1.5" localSheetId="7">#REF!</definedName>
    <definedName name="C.M.1.1.5" localSheetId="10">#REF!</definedName>
    <definedName name="C.M.1.1.5">#REF!</definedName>
    <definedName name="c641." localSheetId="22">#REF!</definedName>
    <definedName name="c641." localSheetId="4">#REF!</definedName>
    <definedName name="c641." localSheetId="3">#REF!</definedName>
    <definedName name="c641." localSheetId="16">#REF!</definedName>
    <definedName name="c641." localSheetId="11">#REF!</definedName>
    <definedName name="c641." localSheetId="15">#REF!</definedName>
    <definedName name="c641." localSheetId="12">#REF!</definedName>
    <definedName name="c641." localSheetId="17">#REF!</definedName>
    <definedName name="c641." localSheetId="23">#REF!</definedName>
    <definedName name="c641." localSheetId="18">#REF!</definedName>
    <definedName name="c641." localSheetId="14">#REF!</definedName>
    <definedName name="c641." localSheetId="13">#REF!</definedName>
    <definedName name="c641." localSheetId="6">#REF!</definedName>
    <definedName name="c641." localSheetId="8">#REF!</definedName>
    <definedName name="c641." localSheetId="5">#REF!</definedName>
    <definedName name="c641." localSheetId="9">#REF!</definedName>
    <definedName name="c641." localSheetId="7">#REF!</definedName>
    <definedName name="c641." localSheetId="10">#REF!</definedName>
    <definedName name="c641.">#REF!</definedName>
    <definedName name="cc" localSheetId="22">#REF!</definedName>
    <definedName name="cc" localSheetId="3">#REF!</definedName>
    <definedName name="cc" localSheetId="16">#REF!</definedName>
    <definedName name="cc" localSheetId="11">#REF!</definedName>
    <definedName name="cc" localSheetId="15">#REF!</definedName>
    <definedName name="cc" localSheetId="12">#REF!</definedName>
    <definedName name="cc" localSheetId="17">#REF!</definedName>
    <definedName name="cc" localSheetId="23">#REF!</definedName>
    <definedName name="cc" localSheetId="18">#REF!</definedName>
    <definedName name="cc" localSheetId="14">#REF!</definedName>
    <definedName name="cc" localSheetId="13">#REF!</definedName>
    <definedName name="cc" localSheetId="6">#REF!</definedName>
    <definedName name="cc" localSheetId="8">#REF!</definedName>
    <definedName name="cc" localSheetId="9">#REF!</definedName>
    <definedName name="cc" localSheetId="7">#REF!</definedName>
    <definedName name="cc" localSheetId="10">#REF!</definedName>
    <definedName name="cc">#REF!</definedName>
    <definedName name="ccc" localSheetId="22">#REF!</definedName>
    <definedName name="ccc" localSheetId="3">#REF!</definedName>
    <definedName name="ccc" localSheetId="16">#REF!</definedName>
    <definedName name="ccc" localSheetId="11">#REF!</definedName>
    <definedName name="ccc" localSheetId="15">#REF!</definedName>
    <definedName name="ccc" localSheetId="12">#REF!</definedName>
    <definedName name="ccc" localSheetId="17">#REF!</definedName>
    <definedName name="ccc" localSheetId="23">#REF!</definedName>
    <definedName name="ccc" localSheetId="18">#REF!</definedName>
    <definedName name="ccc" localSheetId="14">#REF!</definedName>
    <definedName name="ccc" localSheetId="13">#REF!</definedName>
    <definedName name="ccc" localSheetId="6">#REF!</definedName>
    <definedName name="ccc" localSheetId="8">#REF!</definedName>
    <definedName name="ccc" localSheetId="9">#REF!</definedName>
    <definedName name="ccc" localSheetId="7">#REF!</definedName>
    <definedName name="ccc" localSheetId="10">#REF!</definedName>
    <definedName name="ccc">#REF!</definedName>
    <definedName name="cdscds" localSheetId="22">#REF!</definedName>
    <definedName name="cdscds" localSheetId="3">#REF!</definedName>
    <definedName name="cdscds" localSheetId="16">#REF!</definedName>
    <definedName name="cdscds" localSheetId="11">#REF!</definedName>
    <definedName name="cdscds" localSheetId="15">#REF!</definedName>
    <definedName name="cdscds" localSheetId="12">#REF!</definedName>
    <definedName name="cdscds" localSheetId="17">#REF!</definedName>
    <definedName name="cdscds" localSheetId="23">#REF!</definedName>
    <definedName name="cdscds" localSheetId="18">#REF!</definedName>
    <definedName name="cdscds" localSheetId="14">#REF!</definedName>
    <definedName name="cdscds" localSheetId="13">#REF!</definedName>
    <definedName name="cdscds" localSheetId="6">#REF!</definedName>
    <definedName name="cdscds" localSheetId="8">#REF!</definedName>
    <definedName name="cdscds" localSheetId="9">#REF!</definedName>
    <definedName name="cdscds" localSheetId="7">#REF!</definedName>
    <definedName name="cdscds" localSheetId="10">#REF!</definedName>
    <definedName name="cdscds">#REF!</definedName>
    <definedName name="Ceilingplast">[1]Spec!$B$21</definedName>
    <definedName name="Cement_mortar" localSheetId="22">#REF!</definedName>
    <definedName name="Cement_mortar" localSheetId="4">#REF!</definedName>
    <definedName name="Cement_mortar" localSheetId="3">#REF!</definedName>
    <definedName name="Cement_mortar" localSheetId="16">#REF!</definedName>
    <definedName name="Cement_mortar" localSheetId="11">#REF!</definedName>
    <definedName name="Cement_mortar" localSheetId="15">#REF!</definedName>
    <definedName name="Cement_mortar" localSheetId="12">#REF!</definedName>
    <definedName name="Cement_mortar" localSheetId="17">#REF!</definedName>
    <definedName name="Cement_mortar" localSheetId="23">#REF!</definedName>
    <definedName name="Cement_mortar" localSheetId="18">#REF!</definedName>
    <definedName name="Cement_mortar" localSheetId="14">#REF!</definedName>
    <definedName name="Cement_mortar" localSheetId="13">#REF!</definedName>
    <definedName name="Cement_mortar" localSheetId="6">#REF!</definedName>
    <definedName name="Cement_mortar" localSheetId="8">#REF!</definedName>
    <definedName name="Cement_mortar" localSheetId="9">#REF!</definedName>
    <definedName name="Cement_mortar" localSheetId="7">#REF!</definedName>
    <definedName name="Cement_mortar" localSheetId="10">#REF!</definedName>
    <definedName name="Cement_mortar">#REF!</definedName>
    <definedName name="Cement_mortar_11" localSheetId="22">#REF!</definedName>
    <definedName name="Cement_mortar_11" localSheetId="4">#REF!</definedName>
    <definedName name="Cement_mortar_11" localSheetId="3">#REF!</definedName>
    <definedName name="Cement_mortar_11" localSheetId="16">#REF!</definedName>
    <definedName name="Cement_mortar_11" localSheetId="11">#REF!</definedName>
    <definedName name="Cement_mortar_11" localSheetId="15">#REF!</definedName>
    <definedName name="Cement_mortar_11" localSheetId="12">#REF!</definedName>
    <definedName name="Cement_mortar_11" localSheetId="17">#REF!</definedName>
    <definedName name="Cement_mortar_11" localSheetId="23">#REF!</definedName>
    <definedName name="Cement_mortar_11" localSheetId="18">#REF!</definedName>
    <definedName name="Cement_mortar_11" localSheetId="14">#REF!</definedName>
    <definedName name="Cement_mortar_11" localSheetId="13">#REF!</definedName>
    <definedName name="Cement_mortar_11" localSheetId="6">#REF!</definedName>
    <definedName name="Cement_mortar_11" localSheetId="8">#REF!</definedName>
    <definedName name="Cement_mortar_11" localSheetId="9">#REF!</definedName>
    <definedName name="Cement_mortar_11" localSheetId="7">#REF!</definedName>
    <definedName name="Cement_mortar_11" localSheetId="10">#REF!</definedName>
    <definedName name="Cement_mortar_11">#REF!</definedName>
    <definedName name="Cement_mortar_3" localSheetId="22">#REF!</definedName>
    <definedName name="Cement_mortar_3" localSheetId="4">#REF!</definedName>
    <definedName name="Cement_mortar_3" localSheetId="3">#REF!</definedName>
    <definedName name="Cement_mortar_3" localSheetId="16">#REF!</definedName>
    <definedName name="Cement_mortar_3" localSheetId="11">#REF!</definedName>
    <definedName name="Cement_mortar_3" localSheetId="15">#REF!</definedName>
    <definedName name="Cement_mortar_3" localSheetId="12">#REF!</definedName>
    <definedName name="Cement_mortar_3" localSheetId="17">#REF!</definedName>
    <definedName name="Cement_mortar_3" localSheetId="23">#REF!</definedName>
    <definedName name="Cement_mortar_3" localSheetId="18">#REF!</definedName>
    <definedName name="Cement_mortar_3" localSheetId="14">#REF!</definedName>
    <definedName name="Cement_mortar_3" localSheetId="13">#REF!</definedName>
    <definedName name="Cement_mortar_3" localSheetId="6">#REF!</definedName>
    <definedName name="Cement_mortar_3" localSheetId="8">#REF!</definedName>
    <definedName name="Cement_mortar_3" localSheetId="9">#REF!</definedName>
    <definedName name="Cement_mortar_3" localSheetId="7">#REF!</definedName>
    <definedName name="Cement_mortar_3" localSheetId="10">#REF!</definedName>
    <definedName name="Cement_mortar_3">#REF!</definedName>
    <definedName name="Cement_mortar_6" localSheetId="22">#REF!</definedName>
    <definedName name="Cement_mortar_6" localSheetId="4">#REF!</definedName>
    <definedName name="Cement_mortar_6" localSheetId="3">#REF!</definedName>
    <definedName name="Cement_mortar_6" localSheetId="16">#REF!</definedName>
    <definedName name="Cement_mortar_6" localSheetId="11">#REF!</definedName>
    <definedName name="Cement_mortar_6" localSheetId="15">#REF!</definedName>
    <definedName name="Cement_mortar_6" localSheetId="12">#REF!</definedName>
    <definedName name="Cement_mortar_6" localSheetId="17">#REF!</definedName>
    <definedName name="Cement_mortar_6" localSheetId="23">#REF!</definedName>
    <definedName name="Cement_mortar_6" localSheetId="18">#REF!</definedName>
    <definedName name="Cement_mortar_6" localSheetId="14">#REF!</definedName>
    <definedName name="Cement_mortar_6" localSheetId="13">#REF!</definedName>
    <definedName name="Cement_mortar_6" localSheetId="6">#REF!</definedName>
    <definedName name="Cement_mortar_6" localSheetId="8">#REF!</definedName>
    <definedName name="Cement_mortar_6" localSheetId="9">#REF!</definedName>
    <definedName name="Cement_mortar_6" localSheetId="7">#REF!</definedName>
    <definedName name="Cement_mortar_6" localSheetId="10">#REF!</definedName>
    <definedName name="Cement_mortar_6">#REF!</definedName>
    <definedName name="Cement_Paint" localSheetId="22">#REF!</definedName>
    <definedName name="Cement_Paint" localSheetId="4">#REF!</definedName>
    <definedName name="Cement_Paint" localSheetId="3">#REF!</definedName>
    <definedName name="Cement_Paint" localSheetId="16">#REF!</definedName>
    <definedName name="Cement_Paint" localSheetId="11">#REF!</definedName>
    <definedName name="Cement_Paint" localSheetId="15">#REF!</definedName>
    <definedName name="Cement_Paint" localSheetId="12">#REF!</definedName>
    <definedName name="Cement_Paint" localSheetId="17">#REF!</definedName>
    <definedName name="Cement_Paint" localSheetId="23">#REF!</definedName>
    <definedName name="Cement_Paint" localSheetId="18">#REF!</definedName>
    <definedName name="Cement_Paint" localSheetId="14">#REF!</definedName>
    <definedName name="Cement_Paint" localSheetId="13">#REF!</definedName>
    <definedName name="Cement_Paint" localSheetId="6">#REF!</definedName>
    <definedName name="Cement_Paint" localSheetId="8">#REF!</definedName>
    <definedName name="Cement_Paint" localSheetId="9">#REF!</definedName>
    <definedName name="Cement_Paint" localSheetId="7">#REF!</definedName>
    <definedName name="Cement_Paint" localSheetId="10">#REF!</definedName>
    <definedName name="Cement_Paint">#REF!</definedName>
    <definedName name="CENTERING" localSheetId="22">#REF!</definedName>
    <definedName name="CENTERING" localSheetId="4">#REF!</definedName>
    <definedName name="CENTERING" localSheetId="3">#REF!</definedName>
    <definedName name="CENTERING" localSheetId="16">#REF!</definedName>
    <definedName name="CENTERING" localSheetId="11">#REF!</definedName>
    <definedName name="CENTERING" localSheetId="15">#REF!</definedName>
    <definedName name="CENTERING" localSheetId="12">#REF!</definedName>
    <definedName name="CENTERING" localSheetId="17">#REF!</definedName>
    <definedName name="CENTERING" localSheetId="23">#REF!</definedName>
    <definedName name="CENTERING" localSheetId="18">#REF!</definedName>
    <definedName name="CENTERING" localSheetId="14">#REF!</definedName>
    <definedName name="CENTERING" localSheetId="13">#REF!</definedName>
    <definedName name="CENTERING" localSheetId="6">#REF!</definedName>
    <definedName name="CENTERING" localSheetId="8">#REF!</definedName>
    <definedName name="CENTERING" localSheetId="9">#REF!</definedName>
    <definedName name="CENTERING" localSheetId="7">#REF!</definedName>
    <definedName name="CENTERING" localSheetId="10">#REF!</definedName>
    <definedName name="CENTERING">#REF!</definedName>
    <definedName name="ceramic">[1]Spec!$B$17</definedName>
    <definedName name="Civil_Data" localSheetId="22">#REF!</definedName>
    <definedName name="Civil_Data" localSheetId="4">#REF!</definedName>
    <definedName name="Civil_Data" localSheetId="3">#REF!</definedName>
    <definedName name="Civil_Data" localSheetId="16">#REF!</definedName>
    <definedName name="Civil_Data" localSheetId="11">#REF!</definedName>
    <definedName name="Civil_Data" localSheetId="15">#REF!</definedName>
    <definedName name="Civil_Data" localSheetId="12">#REF!</definedName>
    <definedName name="Civil_Data" localSheetId="17">#REF!</definedName>
    <definedName name="Civil_Data" localSheetId="23">#REF!</definedName>
    <definedName name="Civil_Data" localSheetId="18">#REF!</definedName>
    <definedName name="Civil_Data" localSheetId="14">#REF!</definedName>
    <definedName name="Civil_Data" localSheetId="13">#REF!</definedName>
    <definedName name="Civil_Data" localSheetId="6">#REF!</definedName>
    <definedName name="Civil_Data" localSheetId="8">#REF!</definedName>
    <definedName name="Civil_Data" localSheetId="9">#REF!</definedName>
    <definedName name="Civil_Data" localSheetId="7">#REF!</definedName>
    <definedName name="Civil_Data" localSheetId="10">#REF!</definedName>
    <definedName name="Civil_Data">#REF!</definedName>
    <definedName name="Conc14">[1]Spec!$B$6</definedName>
    <definedName name="Concrete" localSheetId="22">#REF!</definedName>
    <definedName name="Concrete" localSheetId="4">#REF!</definedName>
    <definedName name="Concrete" localSheetId="3">#REF!</definedName>
    <definedName name="Concrete" localSheetId="16">#REF!</definedName>
    <definedName name="Concrete" localSheetId="11">#REF!</definedName>
    <definedName name="Concrete" localSheetId="15">#REF!</definedName>
    <definedName name="Concrete" localSheetId="12">#REF!</definedName>
    <definedName name="Concrete" localSheetId="17">#REF!</definedName>
    <definedName name="Concrete" localSheetId="23">#REF!</definedName>
    <definedName name="Concrete" localSheetId="18">#REF!</definedName>
    <definedName name="Concrete" localSheetId="14">#REF!</definedName>
    <definedName name="Concrete" localSheetId="13">#REF!</definedName>
    <definedName name="Concrete" localSheetId="6">#REF!</definedName>
    <definedName name="Concrete" localSheetId="8">#REF!</definedName>
    <definedName name="Concrete" localSheetId="9">#REF!</definedName>
    <definedName name="Concrete" localSheetId="7">#REF!</definedName>
    <definedName name="Concrete" localSheetId="10">#REF!</definedName>
    <definedName name="Concrete">#REF!</definedName>
    <definedName name="Concrete_11" localSheetId="22">#REF!</definedName>
    <definedName name="Concrete_11" localSheetId="4">#REF!</definedName>
    <definedName name="Concrete_11" localSheetId="3">#REF!</definedName>
    <definedName name="Concrete_11" localSheetId="16">#REF!</definedName>
    <definedName name="Concrete_11" localSheetId="11">#REF!</definedName>
    <definedName name="Concrete_11" localSheetId="15">#REF!</definedName>
    <definedName name="Concrete_11" localSheetId="12">#REF!</definedName>
    <definedName name="Concrete_11" localSheetId="17">#REF!</definedName>
    <definedName name="Concrete_11" localSheetId="23">#REF!</definedName>
    <definedName name="Concrete_11" localSheetId="18">#REF!</definedName>
    <definedName name="Concrete_11" localSheetId="14">#REF!</definedName>
    <definedName name="Concrete_11" localSheetId="13">#REF!</definedName>
    <definedName name="Concrete_11" localSheetId="6">#REF!</definedName>
    <definedName name="Concrete_11" localSheetId="8">#REF!</definedName>
    <definedName name="Concrete_11" localSheetId="9">#REF!</definedName>
    <definedName name="Concrete_11" localSheetId="7">#REF!</definedName>
    <definedName name="Concrete_11" localSheetId="10">#REF!</definedName>
    <definedName name="Concrete_11">#REF!</definedName>
    <definedName name="Concrete_3" localSheetId="22">#REF!</definedName>
    <definedName name="Concrete_3" localSheetId="4">#REF!</definedName>
    <definedName name="Concrete_3" localSheetId="3">#REF!</definedName>
    <definedName name="Concrete_3" localSheetId="16">#REF!</definedName>
    <definedName name="Concrete_3" localSheetId="11">#REF!</definedName>
    <definedName name="Concrete_3" localSheetId="15">#REF!</definedName>
    <definedName name="Concrete_3" localSheetId="12">#REF!</definedName>
    <definedName name="Concrete_3" localSheetId="17">#REF!</definedName>
    <definedName name="Concrete_3" localSheetId="23">#REF!</definedName>
    <definedName name="Concrete_3" localSheetId="18">#REF!</definedName>
    <definedName name="Concrete_3" localSheetId="14">#REF!</definedName>
    <definedName name="Concrete_3" localSheetId="13">#REF!</definedName>
    <definedName name="Concrete_3" localSheetId="6">#REF!</definedName>
    <definedName name="Concrete_3" localSheetId="8">#REF!</definedName>
    <definedName name="Concrete_3" localSheetId="9">#REF!</definedName>
    <definedName name="Concrete_3" localSheetId="7">#REF!</definedName>
    <definedName name="Concrete_3" localSheetId="10">#REF!</definedName>
    <definedName name="Concrete_3">#REF!</definedName>
    <definedName name="Concrete_6" localSheetId="22">#REF!</definedName>
    <definedName name="Concrete_6" localSheetId="4">#REF!</definedName>
    <definedName name="Concrete_6" localSheetId="3">#REF!</definedName>
    <definedName name="Concrete_6" localSheetId="16">#REF!</definedName>
    <definedName name="Concrete_6" localSheetId="11">#REF!</definedName>
    <definedName name="Concrete_6" localSheetId="15">#REF!</definedName>
    <definedName name="Concrete_6" localSheetId="12">#REF!</definedName>
    <definedName name="Concrete_6" localSheetId="17">#REF!</definedName>
    <definedName name="Concrete_6" localSheetId="23">#REF!</definedName>
    <definedName name="Concrete_6" localSheetId="18">#REF!</definedName>
    <definedName name="Concrete_6" localSheetId="14">#REF!</definedName>
    <definedName name="Concrete_6" localSheetId="13">#REF!</definedName>
    <definedName name="Concrete_6" localSheetId="6">#REF!</definedName>
    <definedName name="Concrete_6" localSheetId="8">#REF!</definedName>
    <definedName name="Concrete_6" localSheetId="9">#REF!</definedName>
    <definedName name="Concrete_6" localSheetId="7">#REF!</definedName>
    <definedName name="Concrete_6" localSheetId="10">#REF!</definedName>
    <definedName name="Concrete_6">#REF!</definedName>
    <definedName name="Conveyance_chart" localSheetId="22">#REF!</definedName>
    <definedName name="Conveyance_chart" localSheetId="4">#REF!</definedName>
    <definedName name="Conveyance_chart" localSheetId="3">#REF!</definedName>
    <definedName name="Conveyance_chart" localSheetId="16">#REF!</definedName>
    <definedName name="Conveyance_chart" localSheetId="11">#REF!</definedName>
    <definedName name="Conveyance_chart" localSheetId="15">#REF!</definedName>
    <definedName name="Conveyance_chart" localSheetId="12">#REF!</definedName>
    <definedName name="Conveyance_chart" localSheetId="17">#REF!</definedName>
    <definedName name="Conveyance_chart" localSheetId="23">#REF!</definedName>
    <definedName name="Conveyance_chart" localSheetId="18">#REF!</definedName>
    <definedName name="Conveyance_chart" localSheetId="14">#REF!</definedName>
    <definedName name="Conveyance_chart" localSheetId="13">#REF!</definedName>
    <definedName name="Conveyance_chart" localSheetId="6">#REF!</definedName>
    <definedName name="Conveyance_chart" localSheetId="8">#REF!</definedName>
    <definedName name="Conveyance_chart" localSheetId="9">#REF!</definedName>
    <definedName name="Conveyance_chart" localSheetId="7">#REF!</definedName>
    <definedName name="Conveyance_chart" localSheetId="10">#REF!</definedName>
    <definedName name="Conveyance_chart">#REF!</definedName>
    <definedName name="Conveyance_chart_11" localSheetId="22">#REF!</definedName>
    <definedName name="Conveyance_chart_11" localSheetId="4">#REF!</definedName>
    <definedName name="Conveyance_chart_11" localSheetId="3">#REF!</definedName>
    <definedName name="Conveyance_chart_11" localSheetId="16">#REF!</definedName>
    <definedName name="Conveyance_chart_11" localSheetId="11">#REF!</definedName>
    <definedName name="Conveyance_chart_11" localSheetId="15">#REF!</definedName>
    <definedName name="Conveyance_chart_11" localSheetId="12">#REF!</definedName>
    <definedName name="Conveyance_chart_11" localSheetId="17">#REF!</definedName>
    <definedName name="Conveyance_chart_11" localSheetId="23">#REF!</definedName>
    <definedName name="Conveyance_chart_11" localSheetId="18">#REF!</definedName>
    <definedName name="Conveyance_chart_11" localSheetId="14">#REF!</definedName>
    <definedName name="Conveyance_chart_11" localSheetId="13">#REF!</definedName>
    <definedName name="Conveyance_chart_11" localSheetId="6">#REF!</definedName>
    <definedName name="Conveyance_chart_11" localSheetId="8">#REF!</definedName>
    <definedName name="Conveyance_chart_11" localSheetId="9">#REF!</definedName>
    <definedName name="Conveyance_chart_11" localSheetId="7">#REF!</definedName>
    <definedName name="Conveyance_chart_11" localSheetId="10">#REF!</definedName>
    <definedName name="Conveyance_chart_11">#REF!</definedName>
    <definedName name="Conveyance_chart_3" localSheetId="22">#REF!</definedName>
    <definedName name="Conveyance_chart_3" localSheetId="4">#REF!</definedName>
    <definedName name="Conveyance_chart_3" localSheetId="3">#REF!</definedName>
    <definedName name="Conveyance_chart_3" localSheetId="16">#REF!</definedName>
    <definedName name="Conveyance_chart_3" localSheetId="11">#REF!</definedName>
    <definedName name="Conveyance_chart_3" localSheetId="15">#REF!</definedName>
    <definedName name="Conveyance_chart_3" localSheetId="12">#REF!</definedName>
    <definedName name="Conveyance_chart_3" localSheetId="17">#REF!</definedName>
    <definedName name="Conveyance_chart_3" localSheetId="23">#REF!</definedName>
    <definedName name="Conveyance_chart_3" localSheetId="18">#REF!</definedName>
    <definedName name="Conveyance_chart_3" localSheetId="14">#REF!</definedName>
    <definedName name="Conveyance_chart_3" localSheetId="13">#REF!</definedName>
    <definedName name="Conveyance_chart_3" localSheetId="6">#REF!</definedName>
    <definedName name="Conveyance_chart_3" localSheetId="8">#REF!</definedName>
    <definedName name="Conveyance_chart_3" localSheetId="9">#REF!</definedName>
    <definedName name="Conveyance_chart_3" localSheetId="7">#REF!</definedName>
    <definedName name="Conveyance_chart_3" localSheetId="10">#REF!</definedName>
    <definedName name="Conveyance_chart_3">#REF!</definedName>
    <definedName name="Conveyance_chart_6" localSheetId="22">#REF!</definedName>
    <definedName name="Conveyance_chart_6" localSheetId="4">#REF!</definedName>
    <definedName name="Conveyance_chart_6" localSheetId="3">#REF!</definedName>
    <definedName name="Conveyance_chart_6" localSheetId="16">#REF!</definedName>
    <definedName name="Conveyance_chart_6" localSheetId="11">#REF!</definedName>
    <definedName name="Conveyance_chart_6" localSheetId="15">#REF!</definedName>
    <definedName name="Conveyance_chart_6" localSheetId="12">#REF!</definedName>
    <definedName name="Conveyance_chart_6" localSheetId="17">#REF!</definedName>
    <definedName name="Conveyance_chart_6" localSheetId="23">#REF!</definedName>
    <definedName name="Conveyance_chart_6" localSheetId="18">#REF!</definedName>
    <definedName name="Conveyance_chart_6" localSheetId="14">#REF!</definedName>
    <definedName name="Conveyance_chart_6" localSheetId="13">#REF!</definedName>
    <definedName name="Conveyance_chart_6" localSheetId="6">#REF!</definedName>
    <definedName name="Conveyance_chart_6" localSheetId="8">#REF!</definedName>
    <definedName name="Conveyance_chart_6" localSheetId="9">#REF!</definedName>
    <definedName name="Conveyance_chart_6" localSheetId="7">#REF!</definedName>
    <definedName name="Conveyance_chart_6" localSheetId="10">#REF!</definedName>
    <definedName name="Conveyance_chart_6">#REF!</definedName>
    <definedName name="CUDDAPAH_40" localSheetId="22">#REF!</definedName>
    <definedName name="CUDDAPAH_40" localSheetId="4">#REF!</definedName>
    <definedName name="CUDDAPAH_40" localSheetId="3">#REF!</definedName>
    <definedName name="CUDDAPAH_40" localSheetId="16">#REF!</definedName>
    <definedName name="CUDDAPAH_40" localSheetId="11">#REF!</definedName>
    <definedName name="CUDDAPAH_40" localSheetId="15">#REF!</definedName>
    <definedName name="CUDDAPAH_40" localSheetId="12">#REF!</definedName>
    <definedName name="CUDDAPAH_40" localSheetId="17">#REF!</definedName>
    <definedName name="CUDDAPAH_40" localSheetId="23">#REF!</definedName>
    <definedName name="CUDDAPAH_40" localSheetId="18">#REF!</definedName>
    <definedName name="CUDDAPAH_40" localSheetId="14">#REF!</definedName>
    <definedName name="CUDDAPAH_40" localSheetId="13">#REF!</definedName>
    <definedName name="CUDDAPAH_40" localSheetId="6">#REF!</definedName>
    <definedName name="CUDDAPAH_40" localSheetId="8">#REF!</definedName>
    <definedName name="CUDDAPAH_40" localSheetId="9">#REF!</definedName>
    <definedName name="CUDDAPAH_40" localSheetId="7">#REF!</definedName>
    <definedName name="CUDDAPAH_40" localSheetId="10">#REF!</definedName>
    <definedName name="CUDDAPAH_40">#REF!</definedName>
    <definedName name="CW">[1]Spec!$B$23</definedName>
    <definedName name="DADOO_CL.GLZ" localSheetId="22">#REF!</definedName>
    <definedName name="DADOO_CL.GLZ" localSheetId="4">#REF!</definedName>
    <definedName name="DADOO_CL.GLZ" localSheetId="3">#REF!</definedName>
    <definedName name="DADOO_CL.GLZ" localSheetId="16">#REF!</definedName>
    <definedName name="DADOO_CL.GLZ" localSheetId="11">#REF!</definedName>
    <definedName name="DADOO_CL.GLZ" localSheetId="15">#REF!</definedName>
    <definedName name="DADOO_CL.GLZ" localSheetId="12">#REF!</definedName>
    <definedName name="DADOO_CL.GLZ" localSheetId="17">#REF!</definedName>
    <definedName name="DADOO_CL.GLZ" localSheetId="23">#REF!</definedName>
    <definedName name="DADOO_CL.GLZ" localSheetId="18">#REF!</definedName>
    <definedName name="DADOO_CL.GLZ" localSheetId="14">#REF!</definedName>
    <definedName name="DADOO_CL.GLZ" localSheetId="13">#REF!</definedName>
    <definedName name="DADOO_CL.GLZ" localSheetId="6">#REF!</definedName>
    <definedName name="DADOO_CL.GLZ" localSheetId="8">#REF!</definedName>
    <definedName name="DADOO_CL.GLZ" localSheetId="9">#REF!</definedName>
    <definedName name="DADOO_CL.GLZ" localSheetId="7">#REF!</definedName>
    <definedName name="DADOO_CL.GLZ" localSheetId="10">#REF!</definedName>
    <definedName name="DADOO_CL.GLZ">#REF!</definedName>
    <definedName name="DADOO_MOSIC" localSheetId="22">#REF!</definedName>
    <definedName name="DADOO_MOSIC" localSheetId="4">#REF!</definedName>
    <definedName name="DADOO_MOSIC" localSheetId="3">#REF!</definedName>
    <definedName name="DADOO_MOSIC" localSheetId="16">#REF!</definedName>
    <definedName name="DADOO_MOSIC" localSheetId="11">#REF!</definedName>
    <definedName name="DADOO_MOSIC" localSheetId="15">#REF!</definedName>
    <definedName name="DADOO_MOSIC" localSheetId="12">#REF!</definedName>
    <definedName name="DADOO_MOSIC" localSheetId="17">#REF!</definedName>
    <definedName name="DADOO_MOSIC" localSheetId="23">#REF!</definedName>
    <definedName name="DADOO_MOSIC" localSheetId="18">#REF!</definedName>
    <definedName name="DADOO_MOSIC" localSheetId="14">#REF!</definedName>
    <definedName name="DADOO_MOSIC" localSheetId="13">#REF!</definedName>
    <definedName name="DADOO_MOSIC" localSheetId="6">#REF!</definedName>
    <definedName name="DADOO_MOSIC" localSheetId="8">#REF!</definedName>
    <definedName name="DADOO_MOSIC" localSheetId="9">#REF!</definedName>
    <definedName name="DADOO_MOSIC" localSheetId="7">#REF!</definedName>
    <definedName name="DADOO_MOSIC" localSheetId="10">#REF!</definedName>
    <definedName name="DADOO_MOSIC">#REF!</definedName>
    <definedName name="DADOO_WT.GLZ" localSheetId="22">#REF!</definedName>
    <definedName name="DADOO_WT.GLZ" localSheetId="4">#REF!</definedName>
    <definedName name="DADOO_WT.GLZ" localSheetId="3">#REF!</definedName>
    <definedName name="DADOO_WT.GLZ" localSheetId="16">#REF!</definedName>
    <definedName name="DADOO_WT.GLZ" localSheetId="11">#REF!</definedName>
    <definedName name="DADOO_WT.GLZ" localSheetId="15">#REF!</definedName>
    <definedName name="DADOO_WT.GLZ" localSheetId="12">#REF!</definedName>
    <definedName name="DADOO_WT.GLZ" localSheetId="17">#REF!</definedName>
    <definedName name="DADOO_WT.GLZ" localSheetId="23">#REF!</definedName>
    <definedName name="DADOO_WT.GLZ" localSheetId="18">#REF!</definedName>
    <definedName name="DADOO_WT.GLZ" localSheetId="14">#REF!</definedName>
    <definedName name="DADOO_WT.GLZ" localSheetId="13">#REF!</definedName>
    <definedName name="DADOO_WT.GLZ" localSheetId="6">#REF!</definedName>
    <definedName name="DADOO_WT.GLZ" localSheetId="8">#REF!</definedName>
    <definedName name="DADOO_WT.GLZ" localSheetId="9">#REF!</definedName>
    <definedName name="DADOO_WT.GLZ" localSheetId="7">#REF!</definedName>
    <definedName name="DADOO_WT.GLZ" localSheetId="10">#REF!</definedName>
    <definedName name="DADOO_WT.GLZ">#REF!</definedName>
    <definedName name="dasdffhghkjvz" localSheetId="23">#REF!</definedName>
    <definedName name="dasdffhghkjvz" localSheetId="13">#REF!</definedName>
    <definedName name="dasdffhghkjvz" localSheetId="8">#REF!</definedName>
    <definedName name="dasdffhghkjvz" localSheetId="7">#REF!</definedName>
    <definedName name="dasdffhghkjvz">#REF!</definedName>
    <definedName name="Data" localSheetId="23">#REF!</definedName>
    <definedName name="Data">#REF!</definedName>
    <definedName name="Data_civil" localSheetId="22">#REF!</definedName>
    <definedName name="Data_civil" localSheetId="4">#REF!</definedName>
    <definedName name="Data_civil" localSheetId="3">#REF!</definedName>
    <definedName name="Data_civil" localSheetId="16">#REF!</definedName>
    <definedName name="Data_civil" localSheetId="11">#REF!</definedName>
    <definedName name="Data_civil" localSheetId="15">#REF!</definedName>
    <definedName name="Data_civil" localSheetId="12">#REF!</definedName>
    <definedName name="Data_civil" localSheetId="17">#REF!</definedName>
    <definedName name="Data_civil" localSheetId="23">#REF!</definedName>
    <definedName name="Data_civil" localSheetId="18">#REF!</definedName>
    <definedName name="Data_civil" localSheetId="14">#REF!</definedName>
    <definedName name="Data_civil" localSheetId="13">#REF!</definedName>
    <definedName name="Data_civil" localSheetId="6">#REF!</definedName>
    <definedName name="Data_civil" localSheetId="8">#REF!</definedName>
    <definedName name="Data_civil" localSheetId="9">#REF!</definedName>
    <definedName name="Data_civil" localSheetId="7">#REF!</definedName>
    <definedName name="Data_civil" localSheetId="10">#REF!</definedName>
    <definedName name="Data_civil">#REF!</definedName>
    <definedName name="Data_civil_11" localSheetId="22">#REF!</definedName>
    <definedName name="Data_civil_11" localSheetId="4">#REF!</definedName>
    <definedName name="Data_civil_11" localSheetId="3">#REF!</definedName>
    <definedName name="Data_civil_11" localSheetId="16">#REF!</definedName>
    <definedName name="Data_civil_11" localSheetId="11">#REF!</definedName>
    <definedName name="Data_civil_11" localSheetId="15">#REF!</definedName>
    <definedName name="Data_civil_11" localSheetId="12">#REF!</definedName>
    <definedName name="Data_civil_11" localSheetId="17">#REF!</definedName>
    <definedName name="Data_civil_11" localSheetId="23">#REF!</definedName>
    <definedName name="Data_civil_11" localSheetId="18">#REF!</definedName>
    <definedName name="Data_civil_11" localSheetId="14">#REF!</definedName>
    <definedName name="Data_civil_11" localSheetId="13">#REF!</definedName>
    <definedName name="Data_civil_11" localSheetId="6">#REF!</definedName>
    <definedName name="Data_civil_11" localSheetId="8">#REF!</definedName>
    <definedName name="Data_civil_11" localSheetId="9">#REF!</definedName>
    <definedName name="Data_civil_11" localSheetId="7">#REF!</definedName>
    <definedName name="Data_civil_11" localSheetId="10">#REF!</definedName>
    <definedName name="Data_civil_11">#REF!</definedName>
    <definedName name="Data_civil_3" localSheetId="22">#REF!</definedName>
    <definedName name="Data_civil_3" localSheetId="4">#REF!</definedName>
    <definedName name="Data_civil_3" localSheetId="3">#REF!</definedName>
    <definedName name="Data_civil_3" localSheetId="16">#REF!</definedName>
    <definedName name="Data_civil_3" localSheetId="11">#REF!</definedName>
    <definedName name="Data_civil_3" localSheetId="15">#REF!</definedName>
    <definedName name="Data_civil_3" localSheetId="12">#REF!</definedName>
    <definedName name="Data_civil_3" localSheetId="17">#REF!</definedName>
    <definedName name="Data_civil_3" localSheetId="23">#REF!</definedName>
    <definedName name="Data_civil_3" localSheetId="18">#REF!</definedName>
    <definedName name="Data_civil_3" localSheetId="14">#REF!</definedName>
    <definedName name="Data_civil_3" localSheetId="13">#REF!</definedName>
    <definedName name="Data_civil_3" localSheetId="6">#REF!</definedName>
    <definedName name="Data_civil_3" localSheetId="8">#REF!</definedName>
    <definedName name="Data_civil_3" localSheetId="9">#REF!</definedName>
    <definedName name="Data_civil_3" localSheetId="7">#REF!</definedName>
    <definedName name="Data_civil_3" localSheetId="10">#REF!</definedName>
    <definedName name="Data_civil_3">#REF!</definedName>
    <definedName name="Data_civil_6" localSheetId="22">#REF!</definedName>
    <definedName name="Data_civil_6" localSheetId="4">#REF!</definedName>
    <definedName name="Data_civil_6" localSheetId="3">#REF!</definedName>
    <definedName name="Data_civil_6" localSheetId="16">#REF!</definedName>
    <definedName name="Data_civil_6" localSheetId="11">#REF!</definedName>
    <definedName name="Data_civil_6" localSheetId="15">#REF!</definedName>
    <definedName name="Data_civil_6" localSheetId="12">#REF!</definedName>
    <definedName name="Data_civil_6" localSheetId="17">#REF!</definedName>
    <definedName name="Data_civil_6" localSheetId="23">#REF!</definedName>
    <definedName name="Data_civil_6" localSheetId="18">#REF!</definedName>
    <definedName name="Data_civil_6" localSheetId="14">#REF!</definedName>
    <definedName name="Data_civil_6" localSheetId="13">#REF!</definedName>
    <definedName name="Data_civil_6" localSheetId="6">#REF!</definedName>
    <definedName name="Data_civil_6" localSheetId="8">#REF!</definedName>
    <definedName name="Data_civil_6" localSheetId="9">#REF!</definedName>
    <definedName name="Data_civil_6" localSheetId="7">#REF!</definedName>
    <definedName name="Data_civil_6" localSheetId="10">#REF!</definedName>
    <definedName name="Data_civil_6">#REF!</definedName>
    <definedName name="Data_electrical" localSheetId="22">#REF!</definedName>
    <definedName name="Data_electrical" localSheetId="4">#REF!</definedName>
    <definedName name="Data_electrical" localSheetId="3">#REF!</definedName>
    <definedName name="Data_electrical" localSheetId="16">#REF!</definedName>
    <definedName name="Data_electrical" localSheetId="11">#REF!</definedName>
    <definedName name="Data_electrical" localSheetId="15">#REF!</definedName>
    <definedName name="Data_electrical" localSheetId="12">#REF!</definedName>
    <definedName name="Data_electrical" localSheetId="17">#REF!</definedName>
    <definedName name="Data_electrical" localSheetId="23">#REF!</definedName>
    <definedName name="Data_electrical" localSheetId="18">#REF!</definedName>
    <definedName name="Data_electrical" localSheetId="14">#REF!</definedName>
    <definedName name="Data_electrical" localSheetId="13">#REF!</definedName>
    <definedName name="Data_electrical" localSheetId="6">#REF!</definedName>
    <definedName name="Data_electrical" localSheetId="8">#REF!</definedName>
    <definedName name="Data_electrical" localSheetId="9">#REF!</definedName>
    <definedName name="Data_electrical" localSheetId="7">#REF!</definedName>
    <definedName name="Data_electrical" localSheetId="10">#REF!</definedName>
    <definedName name="Data_electrical">#REF!</definedName>
    <definedName name="Data_electrical_11" localSheetId="22">#REF!</definedName>
    <definedName name="Data_electrical_11" localSheetId="4">#REF!</definedName>
    <definedName name="Data_electrical_11" localSheetId="3">#REF!</definedName>
    <definedName name="Data_electrical_11" localSheetId="16">#REF!</definedName>
    <definedName name="Data_electrical_11" localSheetId="11">#REF!</definedName>
    <definedName name="Data_electrical_11" localSheetId="15">#REF!</definedName>
    <definedName name="Data_electrical_11" localSheetId="12">#REF!</definedName>
    <definedName name="Data_electrical_11" localSheetId="17">#REF!</definedName>
    <definedName name="Data_electrical_11" localSheetId="23">#REF!</definedName>
    <definedName name="Data_electrical_11" localSheetId="18">#REF!</definedName>
    <definedName name="Data_electrical_11" localSheetId="14">#REF!</definedName>
    <definedName name="Data_electrical_11" localSheetId="13">#REF!</definedName>
    <definedName name="Data_electrical_11" localSheetId="6">#REF!</definedName>
    <definedName name="Data_electrical_11" localSheetId="8">#REF!</definedName>
    <definedName name="Data_electrical_11" localSheetId="9">#REF!</definedName>
    <definedName name="Data_electrical_11" localSheetId="7">#REF!</definedName>
    <definedName name="Data_electrical_11" localSheetId="10">#REF!</definedName>
    <definedName name="Data_electrical_11">#REF!</definedName>
    <definedName name="Data_electrical_3" localSheetId="22">#REF!</definedName>
    <definedName name="Data_electrical_3" localSheetId="4">#REF!</definedName>
    <definedName name="Data_electrical_3" localSheetId="3">#REF!</definedName>
    <definedName name="Data_electrical_3" localSheetId="16">#REF!</definedName>
    <definedName name="Data_electrical_3" localSheetId="11">#REF!</definedName>
    <definedName name="Data_electrical_3" localSheetId="15">#REF!</definedName>
    <definedName name="Data_electrical_3" localSheetId="12">#REF!</definedName>
    <definedName name="Data_electrical_3" localSheetId="17">#REF!</definedName>
    <definedName name="Data_electrical_3" localSheetId="23">#REF!</definedName>
    <definedName name="Data_electrical_3" localSheetId="18">#REF!</definedName>
    <definedName name="Data_electrical_3" localSheetId="14">#REF!</definedName>
    <definedName name="Data_electrical_3" localSheetId="13">#REF!</definedName>
    <definedName name="Data_electrical_3" localSheetId="6">#REF!</definedName>
    <definedName name="Data_electrical_3" localSheetId="8">#REF!</definedName>
    <definedName name="Data_electrical_3" localSheetId="9">#REF!</definedName>
    <definedName name="Data_electrical_3" localSheetId="7">#REF!</definedName>
    <definedName name="Data_electrical_3" localSheetId="10">#REF!</definedName>
    <definedName name="Data_electrical_3">#REF!</definedName>
    <definedName name="Data_electrical_6" localSheetId="22">#REF!</definedName>
    <definedName name="Data_electrical_6" localSheetId="4">#REF!</definedName>
    <definedName name="Data_electrical_6" localSheetId="3">#REF!</definedName>
    <definedName name="Data_electrical_6" localSheetId="16">#REF!</definedName>
    <definedName name="Data_electrical_6" localSheetId="11">#REF!</definedName>
    <definedName name="Data_electrical_6" localSheetId="15">#REF!</definedName>
    <definedName name="Data_electrical_6" localSheetId="12">#REF!</definedName>
    <definedName name="Data_electrical_6" localSheetId="17">#REF!</definedName>
    <definedName name="Data_electrical_6" localSheetId="23">#REF!</definedName>
    <definedName name="Data_electrical_6" localSheetId="18">#REF!</definedName>
    <definedName name="Data_electrical_6" localSheetId="14">#REF!</definedName>
    <definedName name="Data_electrical_6" localSheetId="13">#REF!</definedName>
    <definedName name="Data_electrical_6" localSheetId="6">#REF!</definedName>
    <definedName name="Data_electrical_6" localSheetId="8">#REF!</definedName>
    <definedName name="Data_electrical_6" localSheetId="9">#REF!</definedName>
    <definedName name="Data_electrical_6" localSheetId="7">#REF!</definedName>
    <definedName name="Data_electrical_6" localSheetId="10">#REF!</definedName>
    <definedName name="Data_electrical_6">#REF!</definedName>
    <definedName name="Data_for_Civil_work" localSheetId="22">#REF!</definedName>
    <definedName name="Data_for_Civil_work" localSheetId="4">#REF!</definedName>
    <definedName name="Data_for_Civil_work" localSheetId="3">#REF!</definedName>
    <definedName name="Data_for_Civil_work" localSheetId="16">#REF!</definedName>
    <definedName name="Data_for_Civil_work" localSheetId="11">#REF!</definedName>
    <definedName name="Data_for_Civil_work" localSheetId="15">#REF!</definedName>
    <definedName name="Data_for_Civil_work" localSheetId="12">#REF!</definedName>
    <definedName name="Data_for_Civil_work" localSheetId="17">#REF!</definedName>
    <definedName name="Data_for_Civil_work" localSheetId="23">#REF!</definedName>
    <definedName name="Data_for_Civil_work" localSheetId="18">#REF!</definedName>
    <definedName name="Data_for_Civil_work" localSheetId="14">#REF!</definedName>
    <definedName name="Data_for_Civil_work" localSheetId="13">#REF!</definedName>
    <definedName name="Data_for_Civil_work" localSheetId="6">#REF!</definedName>
    <definedName name="Data_for_Civil_work" localSheetId="8">#REF!</definedName>
    <definedName name="Data_for_Civil_work" localSheetId="9">#REF!</definedName>
    <definedName name="Data_for_Civil_work" localSheetId="7">#REF!</definedName>
    <definedName name="Data_for_Civil_work" localSheetId="10">#REF!</definedName>
    <definedName name="Data_for_Civil_work">#REF!</definedName>
    <definedName name="Data_for_Road_Work" localSheetId="22">#REF!</definedName>
    <definedName name="Data_for_Road_Work" localSheetId="4">#REF!</definedName>
    <definedName name="Data_for_Road_Work" localSheetId="3">#REF!</definedName>
    <definedName name="Data_for_Road_Work" localSheetId="16">#REF!</definedName>
    <definedName name="Data_for_Road_Work" localSheetId="11">#REF!</definedName>
    <definedName name="Data_for_Road_Work" localSheetId="15">#REF!</definedName>
    <definedName name="Data_for_Road_Work" localSheetId="12">#REF!</definedName>
    <definedName name="Data_for_Road_Work" localSheetId="17">#REF!</definedName>
    <definedName name="Data_for_Road_Work" localSheetId="23">#REF!</definedName>
    <definedName name="Data_for_Road_Work" localSheetId="18">#REF!</definedName>
    <definedName name="Data_for_Road_Work" localSheetId="14">#REF!</definedName>
    <definedName name="Data_for_Road_Work" localSheetId="13">#REF!</definedName>
    <definedName name="Data_for_Road_Work" localSheetId="6">#REF!</definedName>
    <definedName name="Data_for_Road_Work" localSheetId="8">#REF!</definedName>
    <definedName name="Data_for_Road_Work" localSheetId="9">#REF!</definedName>
    <definedName name="Data_for_Road_Work" localSheetId="7">#REF!</definedName>
    <definedName name="Data_for_Road_Work" localSheetId="10">#REF!</definedName>
    <definedName name="Data_for_Road_Work">#REF!</definedName>
    <definedName name="Data_road" localSheetId="22">#REF!</definedName>
    <definedName name="Data_road" localSheetId="4">#REF!</definedName>
    <definedName name="Data_road" localSheetId="3">#REF!</definedName>
    <definedName name="Data_road" localSheetId="16">#REF!</definedName>
    <definedName name="Data_road" localSheetId="11">#REF!</definedName>
    <definedName name="Data_road" localSheetId="15">#REF!</definedName>
    <definedName name="Data_road" localSheetId="12">#REF!</definedName>
    <definedName name="Data_road" localSheetId="17">#REF!</definedName>
    <definedName name="Data_road" localSheetId="23">#REF!</definedName>
    <definedName name="Data_road" localSheetId="18">#REF!</definedName>
    <definedName name="Data_road" localSheetId="14">#REF!</definedName>
    <definedName name="Data_road" localSheetId="13">#REF!</definedName>
    <definedName name="Data_road" localSheetId="6">#REF!</definedName>
    <definedName name="Data_road" localSheetId="8">#REF!</definedName>
    <definedName name="Data_road" localSheetId="9">#REF!</definedName>
    <definedName name="Data_road" localSheetId="7">#REF!</definedName>
    <definedName name="Data_road" localSheetId="10">#REF!</definedName>
    <definedName name="Data_road">#REF!</definedName>
    <definedName name="Data_road_11" localSheetId="22">#REF!</definedName>
    <definedName name="Data_road_11" localSheetId="4">#REF!</definedName>
    <definedName name="Data_road_11" localSheetId="3">#REF!</definedName>
    <definedName name="Data_road_11" localSheetId="16">#REF!</definedName>
    <definedName name="Data_road_11" localSheetId="11">#REF!</definedName>
    <definedName name="Data_road_11" localSheetId="15">#REF!</definedName>
    <definedName name="Data_road_11" localSheetId="12">#REF!</definedName>
    <definedName name="Data_road_11" localSheetId="17">#REF!</definedName>
    <definedName name="Data_road_11" localSheetId="23">#REF!</definedName>
    <definedName name="Data_road_11" localSheetId="18">#REF!</definedName>
    <definedName name="Data_road_11" localSheetId="14">#REF!</definedName>
    <definedName name="Data_road_11" localSheetId="13">#REF!</definedName>
    <definedName name="Data_road_11" localSheetId="6">#REF!</definedName>
    <definedName name="Data_road_11" localSheetId="8">#REF!</definedName>
    <definedName name="Data_road_11" localSheetId="9">#REF!</definedName>
    <definedName name="Data_road_11" localSheetId="7">#REF!</definedName>
    <definedName name="Data_road_11" localSheetId="10">#REF!</definedName>
    <definedName name="Data_road_11">#REF!</definedName>
    <definedName name="Data_road_3" localSheetId="22">#REF!</definedName>
    <definedName name="Data_road_3" localSheetId="4">#REF!</definedName>
    <definedName name="Data_road_3" localSheetId="3">#REF!</definedName>
    <definedName name="Data_road_3" localSheetId="16">#REF!</definedName>
    <definedName name="Data_road_3" localSheetId="11">#REF!</definedName>
    <definedName name="Data_road_3" localSheetId="15">#REF!</definedName>
    <definedName name="Data_road_3" localSheetId="12">#REF!</definedName>
    <definedName name="Data_road_3" localSheetId="17">#REF!</definedName>
    <definedName name="Data_road_3" localSheetId="23">#REF!</definedName>
    <definedName name="Data_road_3" localSheetId="18">#REF!</definedName>
    <definedName name="Data_road_3" localSheetId="14">#REF!</definedName>
    <definedName name="Data_road_3" localSheetId="13">#REF!</definedName>
    <definedName name="Data_road_3" localSheetId="6">#REF!</definedName>
    <definedName name="Data_road_3" localSheetId="8">#REF!</definedName>
    <definedName name="Data_road_3" localSheetId="9">#REF!</definedName>
    <definedName name="Data_road_3" localSheetId="7">#REF!</definedName>
    <definedName name="Data_road_3" localSheetId="10">#REF!</definedName>
    <definedName name="Data_road_3">#REF!</definedName>
    <definedName name="Data_road_6" localSheetId="22">#REF!</definedName>
    <definedName name="Data_road_6" localSheetId="4">#REF!</definedName>
    <definedName name="Data_road_6" localSheetId="3">#REF!</definedName>
    <definedName name="Data_road_6" localSheetId="16">#REF!</definedName>
    <definedName name="Data_road_6" localSheetId="11">#REF!</definedName>
    <definedName name="Data_road_6" localSheetId="15">#REF!</definedName>
    <definedName name="Data_road_6" localSheetId="12">#REF!</definedName>
    <definedName name="Data_road_6" localSheetId="17">#REF!</definedName>
    <definedName name="Data_road_6" localSheetId="23">#REF!</definedName>
    <definedName name="Data_road_6" localSheetId="18">#REF!</definedName>
    <definedName name="Data_road_6" localSheetId="14">#REF!</definedName>
    <definedName name="Data_road_6" localSheetId="13">#REF!</definedName>
    <definedName name="Data_road_6" localSheetId="6">#REF!</definedName>
    <definedName name="Data_road_6" localSheetId="8">#REF!</definedName>
    <definedName name="Data_road_6" localSheetId="9">#REF!</definedName>
    <definedName name="Data_road_6" localSheetId="7">#REF!</definedName>
    <definedName name="Data_road_6" localSheetId="10">#REF!</definedName>
    <definedName name="Data_road_6">#REF!</definedName>
    <definedName name="Data_sanitary" localSheetId="22">#REF!</definedName>
    <definedName name="Data_sanitary" localSheetId="4">#REF!</definedName>
    <definedName name="Data_sanitary" localSheetId="3">#REF!</definedName>
    <definedName name="Data_sanitary" localSheetId="16">#REF!</definedName>
    <definedName name="Data_sanitary" localSheetId="11">#REF!</definedName>
    <definedName name="Data_sanitary" localSheetId="15">#REF!</definedName>
    <definedName name="Data_sanitary" localSheetId="12">#REF!</definedName>
    <definedName name="Data_sanitary" localSheetId="17">#REF!</definedName>
    <definedName name="Data_sanitary" localSheetId="23">#REF!</definedName>
    <definedName name="Data_sanitary" localSheetId="18">#REF!</definedName>
    <definedName name="Data_sanitary" localSheetId="14">#REF!</definedName>
    <definedName name="Data_sanitary" localSheetId="13">#REF!</definedName>
    <definedName name="Data_sanitary" localSheetId="6">#REF!</definedName>
    <definedName name="Data_sanitary" localSheetId="8">#REF!</definedName>
    <definedName name="Data_sanitary" localSheetId="9">#REF!</definedName>
    <definedName name="Data_sanitary" localSheetId="7">#REF!</definedName>
    <definedName name="Data_sanitary" localSheetId="10">#REF!</definedName>
    <definedName name="Data_sanitary">#REF!</definedName>
    <definedName name="Data_sanitary_11" localSheetId="22">#REF!</definedName>
    <definedName name="Data_sanitary_11" localSheetId="4">#REF!</definedName>
    <definedName name="Data_sanitary_11" localSheetId="3">#REF!</definedName>
    <definedName name="Data_sanitary_11" localSheetId="16">#REF!</definedName>
    <definedName name="Data_sanitary_11" localSheetId="11">#REF!</definedName>
    <definedName name="Data_sanitary_11" localSheetId="15">#REF!</definedName>
    <definedName name="Data_sanitary_11" localSheetId="12">#REF!</definedName>
    <definedName name="Data_sanitary_11" localSheetId="17">#REF!</definedName>
    <definedName name="Data_sanitary_11" localSheetId="23">#REF!</definedName>
    <definedName name="Data_sanitary_11" localSheetId="18">#REF!</definedName>
    <definedName name="Data_sanitary_11" localSheetId="14">#REF!</definedName>
    <definedName name="Data_sanitary_11" localSheetId="13">#REF!</definedName>
    <definedName name="Data_sanitary_11" localSheetId="6">#REF!</definedName>
    <definedName name="Data_sanitary_11" localSheetId="8">#REF!</definedName>
    <definedName name="Data_sanitary_11" localSheetId="9">#REF!</definedName>
    <definedName name="Data_sanitary_11" localSheetId="7">#REF!</definedName>
    <definedName name="Data_sanitary_11" localSheetId="10">#REF!</definedName>
    <definedName name="Data_sanitary_11">#REF!</definedName>
    <definedName name="Data_sanitary_3" localSheetId="22">#REF!</definedName>
    <definedName name="Data_sanitary_3" localSheetId="4">#REF!</definedName>
    <definedName name="Data_sanitary_3" localSheetId="3">#REF!</definedName>
    <definedName name="Data_sanitary_3" localSheetId="16">#REF!</definedName>
    <definedName name="Data_sanitary_3" localSheetId="11">#REF!</definedName>
    <definedName name="Data_sanitary_3" localSheetId="15">#REF!</definedName>
    <definedName name="Data_sanitary_3" localSheetId="12">#REF!</definedName>
    <definedName name="Data_sanitary_3" localSheetId="17">#REF!</definedName>
    <definedName name="Data_sanitary_3" localSheetId="23">#REF!</definedName>
    <definedName name="Data_sanitary_3" localSheetId="18">#REF!</definedName>
    <definedName name="Data_sanitary_3" localSheetId="14">#REF!</definedName>
    <definedName name="Data_sanitary_3" localSheetId="13">#REF!</definedName>
    <definedName name="Data_sanitary_3" localSheetId="6">#REF!</definedName>
    <definedName name="Data_sanitary_3" localSheetId="8">#REF!</definedName>
    <definedName name="Data_sanitary_3" localSheetId="9">#REF!</definedName>
    <definedName name="Data_sanitary_3" localSheetId="7">#REF!</definedName>
    <definedName name="Data_sanitary_3" localSheetId="10">#REF!</definedName>
    <definedName name="Data_sanitary_3">#REF!</definedName>
    <definedName name="Data_sanitary_6" localSheetId="22">#REF!</definedName>
    <definedName name="Data_sanitary_6" localSheetId="4">#REF!</definedName>
    <definedName name="Data_sanitary_6" localSheetId="3">#REF!</definedName>
    <definedName name="Data_sanitary_6" localSheetId="16">#REF!</definedName>
    <definedName name="Data_sanitary_6" localSheetId="11">#REF!</definedName>
    <definedName name="Data_sanitary_6" localSheetId="15">#REF!</definedName>
    <definedName name="Data_sanitary_6" localSheetId="12">#REF!</definedName>
    <definedName name="Data_sanitary_6" localSheetId="17">#REF!</definedName>
    <definedName name="Data_sanitary_6" localSheetId="23">#REF!</definedName>
    <definedName name="Data_sanitary_6" localSheetId="18">#REF!</definedName>
    <definedName name="Data_sanitary_6" localSheetId="14">#REF!</definedName>
    <definedName name="Data_sanitary_6" localSheetId="13">#REF!</definedName>
    <definedName name="Data_sanitary_6" localSheetId="6">#REF!</definedName>
    <definedName name="Data_sanitary_6" localSheetId="8">#REF!</definedName>
    <definedName name="Data_sanitary_6" localSheetId="9">#REF!</definedName>
    <definedName name="Data_sanitary_6" localSheetId="7">#REF!</definedName>
    <definedName name="Data_sanitary_6" localSheetId="10">#REF!</definedName>
    <definedName name="Data_sanitary_6">#REF!</definedName>
    <definedName name="DATA3" localSheetId="22">#REF!</definedName>
    <definedName name="DATA3" localSheetId="4">#REF!</definedName>
    <definedName name="DATA3" localSheetId="3">#REF!</definedName>
    <definedName name="DATA3" localSheetId="16">#REF!</definedName>
    <definedName name="DATA3" localSheetId="11">#REF!</definedName>
    <definedName name="DATA3" localSheetId="15">#REF!</definedName>
    <definedName name="DATA3" localSheetId="12">#REF!</definedName>
    <definedName name="DATA3" localSheetId="17">#REF!</definedName>
    <definedName name="DATA3" localSheetId="23">#REF!</definedName>
    <definedName name="DATA3" localSheetId="18">#REF!</definedName>
    <definedName name="DATA3" localSheetId="14">#REF!</definedName>
    <definedName name="DATA3" localSheetId="13">#REF!</definedName>
    <definedName name="DATA3" localSheetId="6">#REF!</definedName>
    <definedName name="DATA3" localSheetId="8">#REF!</definedName>
    <definedName name="DATA3" localSheetId="9">#REF!</definedName>
    <definedName name="DATA3" localSheetId="7">#REF!</definedName>
    <definedName name="DATA3" localSheetId="10">#REF!</definedName>
    <definedName name="DATA3">#REF!</definedName>
    <definedName name="datas" localSheetId="22">#REF!</definedName>
    <definedName name="datas" localSheetId="3">#REF!</definedName>
    <definedName name="datas" localSheetId="16">#REF!</definedName>
    <definedName name="datas" localSheetId="11">#REF!</definedName>
    <definedName name="datas" localSheetId="15">#REF!</definedName>
    <definedName name="datas" localSheetId="12">#REF!</definedName>
    <definedName name="datas" localSheetId="17">#REF!</definedName>
    <definedName name="datas" localSheetId="23">#REF!</definedName>
    <definedName name="datas" localSheetId="18">#REF!</definedName>
    <definedName name="datas" localSheetId="14">#REF!</definedName>
    <definedName name="datas" localSheetId="13">#REF!</definedName>
    <definedName name="datas" localSheetId="6">#REF!</definedName>
    <definedName name="datas" localSheetId="8">#REF!</definedName>
    <definedName name="datas" localSheetId="9">#REF!</definedName>
    <definedName name="datas" localSheetId="7">#REF!</definedName>
    <definedName name="datas" localSheetId="10">#REF!</definedName>
    <definedName name="datas">#REF!</definedName>
    <definedName name="dd" localSheetId="23">#REF!</definedName>
    <definedName name="dd">#REF!</definedName>
    <definedName name="ddds" localSheetId="22">#REF!</definedName>
    <definedName name="ddds" localSheetId="3">#REF!</definedName>
    <definedName name="ddds" localSheetId="16">#REF!</definedName>
    <definedName name="ddds" localSheetId="11">#REF!</definedName>
    <definedName name="ddds" localSheetId="15">#REF!</definedName>
    <definedName name="ddds" localSheetId="12">#REF!</definedName>
    <definedName name="ddds" localSheetId="17">#REF!</definedName>
    <definedName name="ddds" localSheetId="23">#REF!</definedName>
    <definedName name="ddds" localSheetId="18">#REF!</definedName>
    <definedName name="ddds" localSheetId="14">#REF!</definedName>
    <definedName name="ddds" localSheetId="13">#REF!</definedName>
    <definedName name="ddds" localSheetId="6">#REF!</definedName>
    <definedName name="ddds" localSheetId="8">#REF!</definedName>
    <definedName name="ddds" localSheetId="9">#REF!</definedName>
    <definedName name="ddds" localSheetId="7">#REF!</definedName>
    <definedName name="ddds" localSheetId="10">#REF!</definedName>
    <definedName name="ddds">#REF!</definedName>
    <definedName name="DEEE" localSheetId="22">#REF!</definedName>
    <definedName name="DEEE" localSheetId="16">#REF!</definedName>
    <definedName name="DEEE" localSheetId="11">#REF!</definedName>
    <definedName name="DEEE" localSheetId="15">#REF!</definedName>
    <definedName name="DEEE" localSheetId="12">#REF!</definedName>
    <definedName name="DEEE" localSheetId="17">#REF!</definedName>
    <definedName name="DEEE" localSheetId="23">#REF!</definedName>
    <definedName name="DEEE" localSheetId="18">#REF!</definedName>
    <definedName name="DEEE" localSheetId="14">#REF!</definedName>
    <definedName name="DEEE" localSheetId="13">#REF!</definedName>
    <definedName name="DEEE" localSheetId="6">#REF!</definedName>
    <definedName name="DEEE" localSheetId="8">#REF!</definedName>
    <definedName name="DEEE" localSheetId="9">#REF!</definedName>
    <definedName name="DEEE" localSheetId="7">#REF!</definedName>
    <definedName name="DEEE" localSheetId="10">#REF!</definedName>
    <definedName name="DEEE">#REF!</definedName>
    <definedName name="der" localSheetId="22">#REF!</definedName>
    <definedName name="der" localSheetId="4">#REF!</definedName>
    <definedName name="der" localSheetId="3">#REF!</definedName>
    <definedName name="der" localSheetId="16">#REF!</definedName>
    <definedName name="der" localSheetId="11">#REF!</definedName>
    <definedName name="der" localSheetId="15">#REF!</definedName>
    <definedName name="der" localSheetId="12">#REF!</definedName>
    <definedName name="der" localSheetId="17">#REF!</definedName>
    <definedName name="der" localSheetId="23">#REF!</definedName>
    <definedName name="der" localSheetId="18">#REF!</definedName>
    <definedName name="der" localSheetId="14">#REF!</definedName>
    <definedName name="der" localSheetId="13">#REF!</definedName>
    <definedName name="der" localSheetId="6">#REF!</definedName>
    <definedName name="der" localSheetId="8">#REF!</definedName>
    <definedName name="der" localSheetId="9">#REF!</definedName>
    <definedName name="der" localSheetId="7">#REF!</definedName>
    <definedName name="der" localSheetId="10">#REF!</definedName>
    <definedName name="der">#REF!</definedName>
    <definedName name="detail1" localSheetId="22">#REF!</definedName>
    <definedName name="detail1" localSheetId="3">#REF!</definedName>
    <definedName name="detail1" localSheetId="16">#REF!</definedName>
    <definedName name="detail1" localSheetId="11">#REF!</definedName>
    <definedName name="detail1" localSheetId="15">#REF!</definedName>
    <definedName name="detail1" localSheetId="12">#REF!</definedName>
    <definedName name="detail1" localSheetId="17">#REF!</definedName>
    <definedName name="detail1" localSheetId="23">#REF!</definedName>
    <definedName name="detail1" localSheetId="18">#REF!</definedName>
    <definedName name="detail1" localSheetId="14">#REF!</definedName>
    <definedName name="detail1" localSheetId="13">#REF!</definedName>
    <definedName name="detail1" localSheetId="6">#REF!</definedName>
    <definedName name="detail1" localSheetId="8">#REF!</definedName>
    <definedName name="detail1" localSheetId="9">#REF!</definedName>
    <definedName name="detail1" localSheetId="7">#REF!</definedName>
    <definedName name="detail1" localSheetId="10">#REF!</definedName>
    <definedName name="detail1">#REF!</definedName>
    <definedName name="details" localSheetId="22">#REF!</definedName>
    <definedName name="details" localSheetId="3">#REF!</definedName>
    <definedName name="details" localSheetId="16">#REF!</definedName>
    <definedName name="details" localSheetId="11">#REF!</definedName>
    <definedName name="details" localSheetId="15">#REF!</definedName>
    <definedName name="details" localSheetId="12">#REF!</definedName>
    <definedName name="details" localSheetId="17">#REF!</definedName>
    <definedName name="details" localSheetId="23">#REF!</definedName>
    <definedName name="details" localSheetId="18">#REF!</definedName>
    <definedName name="details" localSheetId="14">#REF!</definedName>
    <definedName name="details" localSheetId="13">#REF!</definedName>
    <definedName name="details" localSheetId="6">#REF!</definedName>
    <definedName name="details" localSheetId="8">#REF!</definedName>
    <definedName name="details" localSheetId="9">#REF!</definedName>
    <definedName name="details" localSheetId="7">#REF!</definedName>
    <definedName name="details" localSheetId="10">#REF!</definedName>
    <definedName name="details">#REF!</definedName>
    <definedName name="detpada" localSheetId="23">#REF!</definedName>
    <definedName name="detpada">#REF!</definedName>
    <definedName name="Dev_Name" localSheetId="22">#REF!</definedName>
    <definedName name="Dev_Name" localSheetId="4">#REF!</definedName>
    <definedName name="Dev_Name" localSheetId="3">#REF!</definedName>
    <definedName name="Dev_Name" localSheetId="16">#REF!</definedName>
    <definedName name="Dev_Name" localSheetId="11">#REF!</definedName>
    <definedName name="Dev_Name" localSheetId="15">#REF!</definedName>
    <definedName name="Dev_Name" localSheetId="12">#REF!</definedName>
    <definedName name="Dev_Name" localSheetId="17">#REF!</definedName>
    <definedName name="Dev_Name" localSheetId="23">#REF!</definedName>
    <definedName name="Dev_Name" localSheetId="18">#REF!</definedName>
    <definedName name="Dev_Name" localSheetId="14">#REF!</definedName>
    <definedName name="Dev_Name" localSheetId="13">#REF!</definedName>
    <definedName name="Dev_Name" localSheetId="6">#REF!</definedName>
    <definedName name="Dev_Name" localSheetId="8">#REF!</definedName>
    <definedName name="Dev_Name" localSheetId="9">#REF!</definedName>
    <definedName name="Dev_Name" localSheetId="7">#REF!</definedName>
    <definedName name="Dev_Name" localSheetId="10">#REF!</definedName>
    <definedName name="Dev_Name">#REF!</definedName>
    <definedName name="Dev_Road_Name" localSheetId="22">#REF!,#REF!</definedName>
    <definedName name="Dev_Road_Name" localSheetId="4">#REF!,#REF!</definedName>
    <definedName name="Dev_Road_Name" localSheetId="3">#REF!,#REF!</definedName>
    <definedName name="Dev_Road_Name" localSheetId="16">#REF!,#REF!</definedName>
    <definedName name="Dev_Road_Name" localSheetId="11">#REF!,#REF!</definedName>
    <definedName name="Dev_Road_Name" localSheetId="15">#REF!,#REF!</definedName>
    <definedName name="Dev_Road_Name" localSheetId="12">#REF!,#REF!</definedName>
    <definedName name="Dev_Road_Name" localSheetId="17">#REF!,#REF!</definedName>
    <definedName name="Dev_Road_Name" localSheetId="23">#REF!,#REF!</definedName>
    <definedName name="Dev_Road_Name" localSheetId="18">#REF!,#REF!</definedName>
    <definedName name="Dev_Road_Name" localSheetId="14">#REF!,#REF!</definedName>
    <definedName name="Dev_Road_Name" localSheetId="13">#REF!,#REF!</definedName>
    <definedName name="Dev_Road_Name" localSheetId="6">#REF!,#REF!</definedName>
    <definedName name="Dev_Road_Name" localSheetId="8">#REF!,#REF!</definedName>
    <definedName name="Dev_Road_Name" localSheetId="9">#REF!,#REF!</definedName>
    <definedName name="Dev_Road_Name" localSheetId="7">#REF!,#REF!</definedName>
    <definedName name="Dev_Road_Name" localSheetId="10">#REF!,#REF!</definedName>
    <definedName name="Dev_Road_Name">#REF!,#REF!</definedName>
    <definedName name="df" localSheetId="22">#REF!</definedName>
    <definedName name="df" localSheetId="4">#REF!</definedName>
    <definedName name="df" localSheetId="3">#REF!</definedName>
    <definedName name="df" localSheetId="16">#REF!</definedName>
    <definedName name="df" localSheetId="11">#REF!</definedName>
    <definedName name="df" localSheetId="15">#REF!</definedName>
    <definedName name="df" localSheetId="12">#REF!</definedName>
    <definedName name="df" localSheetId="17">#REF!</definedName>
    <definedName name="df" localSheetId="23">#REF!</definedName>
    <definedName name="df" localSheetId="18">#REF!</definedName>
    <definedName name="df" localSheetId="14">#REF!</definedName>
    <definedName name="df" localSheetId="13">#REF!</definedName>
    <definedName name="df" localSheetId="6">#REF!</definedName>
    <definedName name="df" localSheetId="8">#REF!</definedName>
    <definedName name="df" localSheetId="5">#REF!</definedName>
    <definedName name="df" localSheetId="9">#REF!</definedName>
    <definedName name="df" localSheetId="7">#REF!</definedName>
    <definedName name="df" localSheetId="10">#REF!</definedName>
    <definedName name="df">#REF!</definedName>
    <definedName name="dfe" localSheetId="22">#REF!</definedName>
    <definedName name="dfe" localSheetId="4">#REF!</definedName>
    <definedName name="dfe" localSheetId="3">#REF!</definedName>
    <definedName name="dfe" localSheetId="16">#REF!</definedName>
    <definedName name="dfe" localSheetId="11">#REF!</definedName>
    <definedName name="dfe" localSheetId="15">#REF!</definedName>
    <definedName name="dfe" localSheetId="12">#REF!</definedName>
    <definedName name="dfe" localSheetId="17">#REF!</definedName>
    <definedName name="dfe" localSheetId="23">#REF!</definedName>
    <definedName name="dfe" localSheetId="18">#REF!</definedName>
    <definedName name="dfe" localSheetId="14">#REF!</definedName>
    <definedName name="dfe" localSheetId="13">#REF!</definedName>
    <definedName name="dfe" localSheetId="6">#REF!</definedName>
    <definedName name="dfe" localSheetId="8">#REF!</definedName>
    <definedName name="dfe" localSheetId="9">#REF!</definedName>
    <definedName name="dfe" localSheetId="7">#REF!</definedName>
    <definedName name="dfe" localSheetId="10">#REF!</definedName>
    <definedName name="dfe">#REF!</definedName>
    <definedName name="Distember" localSheetId="22">#REF!</definedName>
    <definedName name="Distember" localSheetId="4">#REF!</definedName>
    <definedName name="Distember" localSheetId="3">#REF!</definedName>
    <definedName name="Distember" localSheetId="16">#REF!</definedName>
    <definedName name="Distember" localSheetId="11">#REF!</definedName>
    <definedName name="Distember" localSheetId="15">#REF!</definedName>
    <definedName name="Distember" localSheetId="12">#REF!</definedName>
    <definedName name="Distember" localSheetId="17">#REF!</definedName>
    <definedName name="Distember" localSheetId="23">#REF!</definedName>
    <definedName name="Distember" localSheetId="18">#REF!</definedName>
    <definedName name="Distember" localSheetId="14">#REF!</definedName>
    <definedName name="Distember" localSheetId="13">#REF!</definedName>
    <definedName name="Distember" localSheetId="6">#REF!</definedName>
    <definedName name="Distember" localSheetId="8">#REF!</definedName>
    <definedName name="Distember" localSheetId="9">#REF!</definedName>
    <definedName name="Distember" localSheetId="7">#REF!</definedName>
    <definedName name="Distember" localSheetId="10">#REF!</definedName>
    <definedName name="Distember">#REF!</definedName>
    <definedName name="Door" localSheetId="22">[4]Data!#REF!</definedName>
    <definedName name="Door" localSheetId="3">[5]Data!#REF!</definedName>
    <definedName name="Door" localSheetId="16">[6]Data!#REF!</definedName>
    <definedName name="Door" localSheetId="11">[6]Data!#REF!</definedName>
    <definedName name="Door" localSheetId="15">[6]Data!#REF!</definedName>
    <definedName name="Door" localSheetId="12">[7]Data!#REF!</definedName>
    <definedName name="Door" localSheetId="17">[6]Data!#REF!</definedName>
    <definedName name="Door" localSheetId="23">[7]Data!#REF!</definedName>
    <definedName name="Door" localSheetId="18">[6]Data!#REF!</definedName>
    <definedName name="Door" localSheetId="14">[6]Data!#REF!</definedName>
    <definedName name="Door" localSheetId="13">[7]Data!#REF!</definedName>
    <definedName name="Door" localSheetId="6">[6]Data!#REF!</definedName>
    <definedName name="Door" localSheetId="8">[8]Data!#REF!</definedName>
    <definedName name="Door" localSheetId="9">[7]Data!#REF!</definedName>
    <definedName name="Door" localSheetId="7">[8]Data!#REF!</definedName>
    <definedName name="Door" localSheetId="10">[6]Data!#REF!</definedName>
    <definedName name="Door">[5]Data!#REF!</definedName>
    <definedName name="Door_11" localSheetId="22">#REF!</definedName>
    <definedName name="Door_11" localSheetId="4">#REF!</definedName>
    <definedName name="Door_11" localSheetId="3">#REF!</definedName>
    <definedName name="Door_11" localSheetId="16">#REF!</definedName>
    <definedName name="Door_11" localSheetId="11">#REF!</definedName>
    <definedName name="Door_11" localSheetId="15">#REF!</definedName>
    <definedName name="Door_11" localSheetId="12">#REF!</definedName>
    <definedName name="Door_11" localSheetId="17">#REF!</definedName>
    <definedName name="Door_11" localSheetId="23">#REF!</definedName>
    <definedName name="Door_11" localSheetId="18">#REF!</definedName>
    <definedName name="Door_11" localSheetId="14">#REF!</definedName>
    <definedName name="Door_11" localSheetId="13">#REF!</definedName>
    <definedName name="Door_11" localSheetId="6">#REF!</definedName>
    <definedName name="Door_11" localSheetId="8">#REF!</definedName>
    <definedName name="Door_11" localSheetId="9">#REF!</definedName>
    <definedName name="Door_11" localSheetId="7">#REF!</definedName>
    <definedName name="Door_11" localSheetId="10">#REF!</definedName>
    <definedName name="Door_11">#REF!</definedName>
    <definedName name="Door_3" localSheetId="22">#REF!</definedName>
    <definedName name="Door_3" localSheetId="4">#REF!</definedName>
    <definedName name="Door_3" localSheetId="3">#REF!</definedName>
    <definedName name="Door_3" localSheetId="16">#REF!</definedName>
    <definedName name="Door_3" localSheetId="11">#REF!</definedName>
    <definedName name="Door_3" localSheetId="15">#REF!</definedName>
    <definedName name="Door_3" localSheetId="12">#REF!</definedName>
    <definedName name="Door_3" localSheetId="17">#REF!</definedName>
    <definedName name="Door_3" localSheetId="23">#REF!</definedName>
    <definedName name="Door_3" localSheetId="18">#REF!</definedName>
    <definedName name="Door_3" localSheetId="14">#REF!</definedName>
    <definedName name="Door_3" localSheetId="13">#REF!</definedName>
    <definedName name="Door_3" localSheetId="6">#REF!</definedName>
    <definedName name="Door_3" localSheetId="8">#REF!</definedName>
    <definedName name="Door_3" localSheetId="9">#REF!</definedName>
    <definedName name="Door_3" localSheetId="7">#REF!</definedName>
    <definedName name="Door_3" localSheetId="10">#REF!</definedName>
    <definedName name="Door_3">#REF!</definedName>
    <definedName name="Door_6" localSheetId="22">#REF!</definedName>
    <definedName name="Door_6" localSheetId="4">#REF!</definedName>
    <definedName name="Door_6" localSheetId="3">#REF!</definedName>
    <definedName name="Door_6" localSheetId="16">#REF!</definedName>
    <definedName name="Door_6" localSheetId="11">#REF!</definedName>
    <definedName name="Door_6" localSheetId="15">#REF!</definedName>
    <definedName name="Door_6" localSheetId="12">#REF!</definedName>
    <definedName name="Door_6" localSheetId="17">#REF!</definedName>
    <definedName name="Door_6" localSheetId="23">#REF!</definedName>
    <definedName name="Door_6" localSheetId="18">#REF!</definedName>
    <definedName name="Door_6" localSheetId="14">#REF!</definedName>
    <definedName name="Door_6" localSheetId="13">#REF!</definedName>
    <definedName name="Door_6" localSheetId="6">#REF!</definedName>
    <definedName name="Door_6" localSheetId="8">#REF!</definedName>
    <definedName name="Door_6" localSheetId="9">#REF!</definedName>
    <definedName name="Door_6" localSheetId="7">#REF!</definedName>
    <definedName name="Door_6" localSheetId="10">#REF!</definedName>
    <definedName name="Door_6">#REF!</definedName>
    <definedName name="Door_7" localSheetId="22">[4]Data!#REF!</definedName>
    <definedName name="Door_7" localSheetId="3">[5]Data!#REF!</definedName>
    <definedName name="Door_7" localSheetId="16">[6]Data!#REF!</definedName>
    <definedName name="Door_7" localSheetId="11">[6]Data!#REF!</definedName>
    <definedName name="Door_7" localSheetId="15">[6]Data!#REF!</definedName>
    <definedName name="Door_7" localSheetId="12">[7]Data!#REF!</definedName>
    <definedName name="Door_7" localSheetId="17">[6]Data!#REF!</definedName>
    <definedName name="Door_7" localSheetId="23">[7]Data!#REF!</definedName>
    <definedName name="Door_7" localSheetId="18">[6]Data!#REF!</definedName>
    <definedName name="Door_7" localSheetId="14">[6]Data!#REF!</definedName>
    <definedName name="Door_7" localSheetId="13">[7]Data!#REF!</definedName>
    <definedName name="Door_7" localSheetId="6">[6]Data!#REF!</definedName>
    <definedName name="Door_7" localSheetId="8">[8]Data!#REF!</definedName>
    <definedName name="Door_7" localSheetId="9">[7]Data!#REF!</definedName>
    <definedName name="Door_7" localSheetId="7">[8]Data!#REF!</definedName>
    <definedName name="Door_7" localSheetId="10">[6]Data!#REF!</definedName>
    <definedName name="Door_7">[5]Data!#REF!</definedName>
    <definedName name="Door_8" localSheetId="22">[4]Data!#REF!</definedName>
    <definedName name="Door_8" localSheetId="3">[5]Data!#REF!</definedName>
    <definedName name="Door_8" localSheetId="16">[6]Data!#REF!</definedName>
    <definedName name="Door_8" localSheetId="11">[6]Data!#REF!</definedName>
    <definedName name="Door_8" localSheetId="15">[6]Data!#REF!</definedName>
    <definedName name="Door_8" localSheetId="12">[7]Data!#REF!</definedName>
    <definedName name="Door_8" localSheetId="17">[6]Data!#REF!</definedName>
    <definedName name="Door_8" localSheetId="23">[7]Data!#REF!</definedName>
    <definedName name="Door_8" localSheetId="18">[6]Data!#REF!</definedName>
    <definedName name="Door_8" localSheetId="14">[6]Data!#REF!</definedName>
    <definedName name="Door_8" localSheetId="13">[7]Data!#REF!</definedName>
    <definedName name="Door_8" localSheetId="6">[6]Data!#REF!</definedName>
    <definedName name="Door_8" localSheetId="8">[8]Data!#REF!</definedName>
    <definedName name="Door_8" localSheetId="9">[7]Data!#REF!</definedName>
    <definedName name="Door_8" localSheetId="7">[8]Data!#REF!</definedName>
    <definedName name="Door_8" localSheetId="10">[6]Data!#REF!</definedName>
    <definedName name="Door_8">[5]Data!#REF!</definedName>
    <definedName name="Door_Window" localSheetId="22">#REF!</definedName>
    <definedName name="Door_Window" localSheetId="4">#REF!</definedName>
    <definedName name="Door_Window" localSheetId="3">#REF!</definedName>
    <definedName name="Door_Window" localSheetId="16">#REF!</definedName>
    <definedName name="Door_Window" localSheetId="11">#REF!</definedName>
    <definedName name="Door_Window" localSheetId="15">#REF!</definedName>
    <definedName name="Door_Window" localSheetId="12">#REF!</definedName>
    <definedName name="Door_Window" localSheetId="17">#REF!</definedName>
    <definedName name="Door_Window" localSheetId="23">#REF!</definedName>
    <definedName name="Door_Window" localSheetId="18">#REF!</definedName>
    <definedName name="Door_Window" localSheetId="14">#REF!</definedName>
    <definedName name="Door_Window" localSheetId="13">#REF!</definedName>
    <definedName name="Door_Window" localSheetId="6">#REF!</definedName>
    <definedName name="Door_Window" localSheetId="8">#REF!</definedName>
    <definedName name="Door_Window" localSheetId="9">#REF!</definedName>
    <definedName name="Door_Window" localSheetId="7">#REF!</definedName>
    <definedName name="Door_Window" localSheetId="10">#REF!</definedName>
    <definedName name="Door_Window">#REF!</definedName>
    <definedName name="Door_Window_11" localSheetId="22">#REF!</definedName>
    <definedName name="Door_Window_11" localSheetId="4">#REF!</definedName>
    <definedName name="Door_Window_11" localSheetId="3">#REF!</definedName>
    <definedName name="Door_Window_11" localSheetId="16">#REF!</definedName>
    <definedName name="Door_Window_11" localSheetId="11">#REF!</definedName>
    <definedName name="Door_Window_11" localSheetId="15">#REF!</definedName>
    <definedName name="Door_Window_11" localSheetId="12">#REF!</definedName>
    <definedName name="Door_Window_11" localSheetId="17">#REF!</definedName>
    <definedName name="Door_Window_11" localSheetId="23">#REF!</definedName>
    <definedName name="Door_Window_11" localSheetId="18">#REF!</definedName>
    <definedName name="Door_Window_11" localSheetId="14">#REF!</definedName>
    <definedName name="Door_Window_11" localSheetId="13">#REF!</definedName>
    <definedName name="Door_Window_11" localSheetId="6">#REF!</definedName>
    <definedName name="Door_Window_11" localSheetId="8">#REF!</definedName>
    <definedName name="Door_Window_11" localSheetId="9">#REF!</definedName>
    <definedName name="Door_Window_11" localSheetId="7">#REF!</definedName>
    <definedName name="Door_Window_11" localSheetId="10">#REF!</definedName>
    <definedName name="Door_Window_11">#REF!</definedName>
    <definedName name="Door_Window_3" localSheetId="22">#REF!</definedName>
    <definedName name="Door_Window_3" localSheetId="4">#REF!</definedName>
    <definedName name="Door_Window_3" localSheetId="3">#REF!</definedName>
    <definedName name="Door_Window_3" localSheetId="16">#REF!</definedName>
    <definedName name="Door_Window_3" localSheetId="11">#REF!</definedName>
    <definedName name="Door_Window_3" localSheetId="15">#REF!</definedName>
    <definedName name="Door_Window_3" localSheetId="12">#REF!</definedName>
    <definedName name="Door_Window_3" localSheetId="17">#REF!</definedName>
    <definedName name="Door_Window_3" localSheetId="23">#REF!</definedName>
    <definedName name="Door_Window_3" localSheetId="18">#REF!</definedName>
    <definedName name="Door_Window_3" localSheetId="14">#REF!</definedName>
    <definedName name="Door_Window_3" localSheetId="13">#REF!</definedName>
    <definedName name="Door_Window_3" localSheetId="6">#REF!</definedName>
    <definedName name="Door_Window_3" localSheetId="8">#REF!</definedName>
    <definedName name="Door_Window_3" localSheetId="9">#REF!</definedName>
    <definedName name="Door_Window_3" localSheetId="7">#REF!</definedName>
    <definedName name="Door_Window_3" localSheetId="10">#REF!</definedName>
    <definedName name="Door_Window_3">#REF!</definedName>
    <definedName name="Door_Window_6" localSheetId="22">#REF!</definedName>
    <definedName name="Door_Window_6" localSheetId="4">#REF!</definedName>
    <definedName name="Door_Window_6" localSheetId="3">#REF!</definedName>
    <definedName name="Door_Window_6" localSheetId="16">#REF!</definedName>
    <definedName name="Door_Window_6" localSheetId="11">#REF!</definedName>
    <definedName name="Door_Window_6" localSheetId="15">#REF!</definedName>
    <definedName name="Door_Window_6" localSheetId="12">#REF!</definedName>
    <definedName name="Door_Window_6" localSheetId="17">#REF!</definedName>
    <definedName name="Door_Window_6" localSheetId="23">#REF!</definedName>
    <definedName name="Door_Window_6" localSheetId="18">#REF!</definedName>
    <definedName name="Door_Window_6" localSheetId="14">#REF!</definedName>
    <definedName name="Door_Window_6" localSheetId="13">#REF!</definedName>
    <definedName name="Door_Window_6" localSheetId="6">#REF!</definedName>
    <definedName name="Door_Window_6" localSheetId="8">#REF!</definedName>
    <definedName name="Door_Window_6" localSheetId="9">#REF!</definedName>
    <definedName name="Door_Window_6" localSheetId="7">#REF!</definedName>
    <definedName name="Door_Window_6" localSheetId="10">#REF!</definedName>
    <definedName name="Door_Window_6">#REF!</definedName>
    <definedName name="dsfadsfadfasdfas" localSheetId="23">#REF!</definedName>
    <definedName name="dsfadsfadfasdfas" localSheetId="13">#REF!</definedName>
    <definedName name="dsfadsfadfasdfas">#REF!</definedName>
    <definedName name="dsfd" localSheetId="22">#REF!</definedName>
    <definedName name="dsfd" localSheetId="3">#REF!</definedName>
    <definedName name="dsfd" localSheetId="16">#REF!</definedName>
    <definedName name="dsfd" localSheetId="11">#REF!</definedName>
    <definedName name="dsfd" localSheetId="15">#REF!</definedName>
    <definedName name="dsfd" localSheetId="12">#REF!</definedName>
    <definedName name="dsfd" localSheetId="17">#REF!</definedName>
    <definedName name="dsfd" localSheetId="23">#REF!</definedName>
    <definedName name="dsfd" localSheetId="18">#REF!</definedName>
    <definedName name="dsfd" localSheetId="14">#REF!</definedName>
    <definedName name="dsfd" localSheetId="13">#REF!</definedName>
    <definedName name="dsfd" localSheetId="6">#REF!</definedName>
    <definedName name="dsfd" localSheetId="8">#REF!</definedName>
    <definedName name="dsfd" localSheetId="9">#REF!</definedName>
    <definedName name="dsfd" localSheetId="7">#REF!</definedName>
    <definedName name="dsfd" localSheetId="10">#REF!</definedName>
    <definedName name="dsfd">#REF!</definedName>
    <definedName name="dsm" localSheetId="22">#REF!</definedName>
    <definedName name="dsm" localSheetId="3">#REF!</definedName>
    <definedName name="dsm" localSheetId="16">#REF!</definedName>
    <definedName name="dsm" localSheetId="11">#REF!</definedName>
    <definedName name="dsm" localSheetId="15">#REF!</definedName>
    <definedName name="dsm" localSheetId="12">#REF!</definedName>
    <definedName name="dsm" localSheetId="17">#REF!</definedName>
    <definedName name="dsm" localSheetId="23">#REF!</definedName>
    <definedName name="dsm" localSheetId="18">#REF!</definedName>
    <definedName name="dsm" localSheetId="14">#REF!</definedName>
    <definedName name="dsm" localSheetId="13">#REF!</definedName>
    <definedName name="dsm" localSheetId="6">#REF!</definedName>
    <definedName name="dsm" localSheetId="8">#REF!</definedName>
    <definedName name="dsm" localSheetId="9">#REF!</definedName>
    <definedName name="dsm" localSheetId="7">#REF!</definedName>
    <definedName name="dsm" localSheetId="10">#REF!</definedName>
    <definedName name="dsm">#REF!</definedName>
    <definedName name="E" localSheetId="22">#REF!</definedName>
    <definedName name="E" localSheetId="4">#REF!</definedName>
    <definedName name="E" localSheetId="3">#REF!</definedName>
    <definedName name="E" localSheetId="16">#REF!</definedName>
    <definedName name="E" localSheetId="11">#REF!</definedName>
    <definedName name="E" localSheetId="15">#REF!</definedName>
    <definedName name="e" localSheetId="12">#REF!</definedName>
    <definedName name="E" localSheetId="17">#REF!</definedName>
    <definedName name="E" localSheetId="23">#REF!</definedName>
    <definedName name="E" localSheetId="18">#REF!</definedName>
    <definedName name="E" localSheetId="14">#REF!</definedName>
    <definedName name="E" localSheetId="13">#REF!</definedName>
    <definedName name="E" localSheetId="6">#REF!</definedName>
    <definedName name="E" localSheetId="8">#REF!</definedName>
    <definedName name="E" localSheetId="9">#REF!</definedName>
    <definedName name="E" localSheetId="7">#REF!</definedName>
    <definedName name="E" localSheetId="10">#REF!</definedName>
    <definedName name="E">#REF!</definedName>
    <definedName name="EARTH_FILL" localSheetId="22">#REF!</definedName>
    <definedName name="EARTH_FILL" localSheetId="4">#REF!</definedName>
    <definedName name="EARTH_FILL" localSheetId="3">#REF!</definedName>
    <definedName name="EARTH_FILL" localSheetId="16">#REF!</definedName>
    <definedName name="EARTH_FILL" localSheetId="11">#REF!</definedName>
    <definedName name="EARTH_FILL" localSheetId="15">#REF!</definedName>
    <definedName name="EARTH_FILL" localSheetId="12">#REF!</definedName>
    <definedName name="EARTH_FILL" localSheetId="17">#REF!</definedName>
    <definedName name="EARTH_FILL" localSheetId="23">#REF!</definedName>
    <definedName name="EARTH_FILL" localSheetId="18">#REF!</definedName>
    <definedName name="EARTH_FILL" localSheetId="14">#REF!</definedName>
    <definedName name="EARTH_FILL" localSheetId="13">#REF!</definedName>
    <definedName name="EARTH_FILL" localSheetId="6">#REF!</definedName>
    <definedName name="EARTH_FILL" localSheetId="8">#REF!</definedName>
    <definedName name="EARTH_FILL" localSheetId="9">#REF!</definedName>
    <definedName name="EARTH_FILL" localSheetId="7">#REF!</definedName>
    <definedName name="EARTH_FILL" localSheetId="10">#REF!</definedName>
    <definedName name="EARTH_FILL">#REF!</definedName>
    <definedName name="Earth_work_sand" localSheetId="22">#REF!</definedName>
    <definedName name="Earth_work_sand" localSheetId="4">#REF!</definedName>
    <definedName name="Earth_work_sand" localSheetId="3">#REF!</definedName>
    <definedName name="Earth_work_sand" localSheetId="16">#REF!</definedName>
    <definedName name="Earth_work_sand" localSheetId="11">#REF!</definedName>
    <definedName name="Earth_work_sand" localSheetId="15">#REF!</definedName>
    <definedName name="Earth_work_sand" localSheetId="12">#REF!</definedName>
    <definedName name="Earth_work_sand" localSheetId="17">#REF!</definedName>
    <definedName name="Earth_work_sand" localSheetId="23">#REF!</definedName>
    <definedName name="Earth_work_sand" localSheetId="18">#REF!</definedName>
    <definedName name="Earth_work_sand" localSheetId="14">#REF!</definedName>
    <definedName name="Earth_work_sand" localSheetId="13">#REF!</definedName>
    <definedName name="Earth_work_sand" localSheetId="6">#REF!</definedName>
    <definedName name="Earth_work_sand" localSheetId="8">#REF!</definedName>
    <definedName name="Earth_work_sand" localSheetId="9">#REF!</definedName>
    <definedName name="Earth_work_sand" localSheetId="7">#REF!</definedName>
    <definedName name="Earth_work_sand" localSheetId="10">#REF!</definedName>
    <definedName name="Earth_work_sand">#REF!</definedName>
    <definedName name="Earth_work_sand_11" localSheetId="22">#REF!</definedName>
    <definedName name="Earth_work_sand_11" localSheetId="4">#REF!</definedName>
    <definedName name="Earth_work_sand_11" localSheetId="3">#REF!</definedName>
    <definedName name="Earth_work_sand_11" localSheetId="16">#REF!</definedName>
    <definedName name="Earth_work_sand_11" localSheetId="11">#REF!</definedName>
    <definedName name="Earth_work_sand_11" localSheetId="15">#REF!</definedName>
    <definedName name="Earth_work_sand_11" localSheetId="12">#REF!</definedName>
    <definedName name="Earth_work_sand_11" localSheetId="17">#REF!</definedName>
    <definedName name="Earth_work_sand_11" localSheetId="23">#REF!</definedName>
    <definedName name="Earth_work_sand_11" localSheetId="18">#REF!</definedName>
    <definedName name="Earth_work_sand_11" localSheetId="14">#REF!</definedName>
    <definedName name="Earth_work_sand_11" localSheetId="13">#REF!</definedName>
    <definedName name="Earth_work_sand_11" localSheetId="6">#REF!</definedName>
    <definedName name="Earth_work_sand_11" localSheetId="8">#REF!</definedName>
    <definedName name="Earth_work_sand_11" localSheetId="9">#REF!</definedName>
    <definedName name="Earth_work_sand_11" localSheetId="7">#REF!</definedName>
    <definedName name="Earth_work_sand_11" localSheetId="10">#REF!</definedName>
    <definedName name="Earth_work_sand_11">#REF!</definedName>
    <definedName name="Earth_work_sand_3" localSheetId="22">#REF!</definedName>
    <definedName name="Earth_work_sand_3" localSheetId="4">#REF!</definedName>
    <definedName name="Earth_work_sand_3" localSheetId="3">#REF!</definedName>
    <definedName name="Earth_work_sand_3" localSheetId="16">#REF!</definedName>
    <definedName name="Earth_work_sand_3" localSheetId="11">#REF!</definedName>
    <definedName name="Earth_work_sand_3" localSheetId="15">#REF!</definedName>
    <definedName name="Earth_work_sand_3" localSheetId="12">#REF!</definedName>
    <definedName name="Earth_work_sand_3" localSheetId="17">#REF!</definedName>
    <definedName name="Earth_work_sand_3" localSheetId="23">#REF!</definedName>
    <definedName name="Earth_work_sand_3" localSheetId="18">#REF!</definedName>
    <definedName name="Earth_work_sand_3" localSheetId="14">#REF!</definedName>
    <definedName name="Earth_work_sand_3" localSheetId="13">#REF!</definedName>
    <definedName name="Earth_work_sand_3" localSheetId="6">#REF!</definedName>
    <definedName name="Earth_work_sand_3" localSheetId="8">#REF!</definedName>
    <definedName name="Earth_work_sand_3" localSheetId="9">#REF!</definedName>
    <definedName name="Earth_work_sand_3" localSheetId="7">#REF!</definedName>
    <definedName name="Earth_work_sand_3" localSheetId="10">#REF!</definedName>
    <definedName name="Earth_work_sand_3">#REF!</definedName>
    <definedName name="Earth_work_sand_6" localSheetId="22">#REF!</definedName>
    <definedName name="Earth_work_sand_6" localSheetId="4">#REF!</definedName>
    <definedName name="Earth_work_sand_6" localSheetId="3">#REF!</definedName>
    <definedName name="Earth_work_sand_6" localSheetId="16">#REF!</definedName>
    <definedName name="Earth_work_sand_6" localSheetId="11">#REF!</definedName>
    <definedName name="Earth_work_sand_6" localSheetId="15">#REF!</definedName>
    <definedName name="Earth_work_sand_6" localSheetId="12">#REF!</definedName>
    <definedName name="Earth_work_sand_6" localSheetId="17">#REF!</definedName>
    <definedName name="Earth_work_sand_6" localSheetId="23">#REF!</definedName>
    <definedName name="Earth_work_sand_6" localSheetId="18">#REF!</definedName>
    <definedName name="Earth_work_sand_6" localSheetId="14">#REF!</definedName>
    <definedName name="Earth_work_sand_6" localSheetId="13">#REF!</definedName>
    <definedName name="Earth_work_sand_6" localSheetId="6">#REF!</definedName>
    <definedName name="Earth_work_sand_6" localSheetId="8">#REF!</definedName>
    <definedName name="Earth_work_sand_6" localSheetId="9">#REF!</definedName>
    <definedName name="Earth_work_sand_6" localSheetId="7">#REF!</definedName>
    <definedName name="Earth_work_sand_6" localSheetId="10">#REF!</definedName>
    <definedName name="Earth_work_sand_6">#REF!</definedName>
    <definedName name="ed" localSheetId="22">#REF!</definedName>
    <definedName name="ed" localSheetId="3">#REF!</definedName>
    <definedName name="ed" localSheetId="16">#REF!</definedName>
    <definedName name="ed" localSheetId="11">#REF!</definedName>
    <definedName name="ed" localSheetId="15">#REF!</definedName>
    <definedName name="ed" localSheetId="17">#REF!</definedName>
    <definedName name="ed" localSheetId="23">#REF!</definedName>
    <definedName name="ed" localSheetId="18">#REF!</definedName>
    <definedName name="ed" localSheetId="14">#REF!</definedName>
    <definedName name="ed" localSheetId="6">#REF!</definedName>
    <definedName name="ed" localSheetId="10">#REF!</definedName>
    <definedName name="ed">#REF!</definedName>
    <definedName name="edf" localSheetId="22">#REF!</definedName>
    <definedName name="edf" localSheetId="16">#REF!</definedName>
    <definedName name="edf" localSheetId="11">#REF!</definedName>
    <definedName name="edf" localSheetId="15">#REF!</definedName>
    <definedName name="edf" localSheetId="12">#REF!</definedName>
    <definedName name="edf" localSheetId="17">#REF!</definedName>
    <definedName name="edf" localSheetId="23">#REF!</definedName>
    <definedName name="edf" localSheetId="18">#REF!</definedName>
    <definedName name="edf" localSheetId="14">#REF!</definedName>
    <definedName name="edf" localSheetId="13">#REF!</definedName>
    <definedName name="edf" localSheetId="6">#REF!</definedName>
    <definedName name="edf" localSheetId="8">#REF!</definedName>
    <definedName name="edf" localSheetId="9">#REF!</definedName>
    <definedName name="edf" localSheetId="7">#REF!</definedName>
    <definedName name="edf" localSheetId="10">#REF!</definedName>
    <definedName name="edf">#REF!</definedName>
    <definedName name="electri" localSheetId="22">#REF!</definedName>
    <definedName name="electri" localSheetId="4">#REF!</definedName>
    <definedName name="electri" localSheetId="1">#REF!</definedName>
    <definedName name="electri" localSheetId="3">#REF!</definedName>
    <definedName name="electri" localSheetId="16">#REF!</definedName>
    <definedName name="electri" localSheetId="11">#REF!</definedName>
    <definedName name="electri" localSheetId="15">#REF!</definedName>
    <definedName name="electri" localSheetId="2">#REF!</definedName>
    <definedName name="electri" localSheetId="12">#REF!</definedName>
    <definedName name="electri" localSheetId="17">#REF!</definedName>
    <definedName name="electri" localSheetId="23">#REF!</definedName>
    <definedName name="electri" localSheetId="18">#REF!</definedName>
    <definedName name="electri" localSheetId="14">#REF!</definedName>
    <definedName name="electri" localSheetId="13">#REF!</definedName>
    <definedName name="electri" localSheetId="6">#REF!</definedName>
    <definedName name="electri" localSheetId="20">#REF!</definedName>
    <definedName name="electri" localSheetId="8">#REF!</definedName>
    <definedName name="electri" localSheetId="5">#REF!</definedName>
    <definedName name="electri" localSheetId="9">#REF!</definedName>
    <definedName name="electri" localSheetId="7">#REF!</definedName>
    <definedName name="electri" localSheetId="10">#REF!</definedName>
    <definedName name="electri">#REF!</definedName>
    <definedName name="End_Bal" localSheetId="23">#REF!</definedName>
    <definedName name="End_Bal">#REF!</definedName>
    <definedName name="er" localSheetId="22">#REF!</definedName>
    <definedName name="er" localSheetId="4">#REF!</definedName>
    <definedName name="er" localSheetId="3">#REF!</definedName>
    <definedName name="er" localSheetId="16">#REF!</definedName>
    <definedName name="er" localSheetId="11">#REF!</definedName>
    <definedName name="er" localSheetId="15">#REF!</definedName>
    <definedName name="er" localSheetId="12">#REF!</definedName>
    <definedName name="er" localSheetId="17">#REF!</definedName>
    <definedName name="er" localSheetId="23">#REF!</definedName>
    <definedName name="er" localSheetId="18">#REF!</definedName>
    <definedName name="er" localSheetId="14">#REF!</definedName>
    <definedName name="er" localSheetId="13">#REF!</definedName>
    <definedName name="er" localSheetId="6">#REF!</definedName>
    <definedName name="er" localSheetId="8">#REF!</definedName>
    <definedName name="er" localSheetId="5">#REF!</definedName>
    <definedName name="er" localSheetId="9">#REF!</definedName>
    <definedName name="er" localSheetId="7">#REF!</definedName>
    <definedName name="er" localSheetId="10">#REF!</definedName>
    <definedName name="er">#REF!</definedName>
    <definedName name="ert" localSheetId="22">#REF!</definedName>
    <definedName name="ert" localSheetId="4">#REF!</definedName>
    <definedName name="ert" localSheetId="3">#REF!</definedName>
    <definedName name="ert" localSheetId="16">#REF!</definedName>
    <definedName name="ert" localSheetId="11">#REF!</definedName>
    <definedName name="ert" localSheetId="15">#REF!</definedName>
    <definedName name="ert" localSheetId="12">#REF!</definedName>
    <definedName name="ert" localSheetId="17">#REF!</definedName>
    <definedName name="ert" localSheetId="23">#REF!</definedName>
    <definedName name="ert" localSheetId="18">#REF!</definedName>
    <definedName name="ert" localSheetId="14">#REF!</definedName>
    <definedName name="ert" localSheetId="13">#REF!</definedName>
    <definedName name="ert" localSheetId="6">#REF!</definedName>
    <definedName name="ert" localSheetId="8">#REF!</definedName>
    <definedName name="ert" localSheetId="9">#REF!</definedName>
    <definedName name="ert" localSheetId="7">#REF!</definedName>
    <definedName name="ert" localSheetId="10">#REF!</definedName>
    <definedName name="ert">#REF!</definedName>
    <definedName name="es" localSheetId="12">#REF!</definedName>
    <definedName name="es" localSheetId="23">#REF!</definedName>
    <definedName name="es" localSheetId="13">#REF!</definedName>
    <definedName name="es" localSheetId="8">#REF!</definedName>
    <definedName name="es" localSheetId="7">#REF!</definedName>
    <definedName name="es">#REF!</definedName>
    <definedName name="EW">[1]Spec!$B$5</definedName>
    <definedName name="EWQ" localSheetId="12">#REF!</definedName>
    <definedName name="EWQ" localSheetId="23">#REF!</definedName>
    <definedName name="EWQ" localSheetId="13">#REF!</definedName>
    <definedName name="EWQ" localSheetId="8">#REF!</definedName>
    <definedName name="EWQ" localSheetId="7">#REF!</definedName>
    <definedName name="EWQ">#REF!</definedName>
    <definedName name="ewr" localSheetId="22">[4]Data!#REF!</definedName>
    <definedName name="ewr" localSheetId="3">[5]Data!#REF!</definedName>
    <definedName name="ewr" localSheetId="16">[6]Data!#REF!</definedName>
    <definedName name="ewr" localSheetId="11">[6]Data!#REF!</definedName>
    <definedName name="ewr" localSheetId="15">[6]Data!#REF!</definedName>
    <definedName name="ewr" localSheetId="12">[7]Data!#REF!</definedName>
    <definedName name="ewr" localSheetId="17">[6]Data!#REF!</definedName>
    <definedName name="ewr" localSheetId="23">[7]Data!#REF!</definedName>
    <definedName name="ewr" localSheetId="18">[6]Data!#REF!</definedName>
    <definedName name="ewr" localSheetId="14">[6]Data!#REF!</definedName>
    <definedName name="ewr" localSheetId="13">[7]Data!#REF!</definedName>
    <definedName name="ewr" localSheetId="6">[6]Data!#REF!</definedName>
    <definedName name="ewr" localSheetId="8">[8]Data!#REF!</definedName>
    <definedName name="ewr" localSheetId="9">[7]Data!#REF!</definedName>
    <definedName name="ewr" localSheetId="7">[8]Data!#REF!</definedName>
    <definedName name="ewr" localSheetId="10">[6]Data!#REF!</definedName>
    <definedName name="ewr">[5]Data!#REF!</definedName>
    <definedName name="Excel_BuiltIn__FilterDatabase_6" localSheetId="22">[9]Abstract!#REF!</definedName>
    <definedName name="Excel_BuiltIn__FilterDatabase_6" localSheetId="3">[9]Abstract!#REF!</definedName>
    <definedName name="Excel_BuiltIn__FilterDatabase_6" localSheetId="16">[7]Abstract!#REF!</definedName>
    <definedName name="Excel_BuiltIn__FilterDatabase_6" localSheetId="11">[7]Abstract!#REF!</definedName>
    <definedName name="Excel_BuiltIn__FilterDatabase_6" localSheetId="15">[7]Abstract!#REF!</definedName>
    <definedName name="Excel_BuiltIn__FilterDatabase_6" localSheetId="17">[7]Abstract!#REF!</definedName>
    <definedName name="Excel_BuiltIn__FilterDatabase_6" localSheetId="23">[9]Abstract!#REF!</definedName>
    <definedName name="Excel_BuiltIn__FilterDatabase_6" localSheetId="18">[7]Abstract!#REF!</definedName>
    <definedName name="Excel_BuiltIn__FilterDatabase_6" localSheetId="14">[7]Abstract!#REF!</definedName>
    <definedName name="Excel_BuiltIn__FilterDatabase_6" localSheetId="6">[7]Abstract!#REF!</definedName>
    <definedName name="Excel_BuiltIn__FilterDatabase_6" localSheetId="10">[7]Abstract!#REF!</definedName>
    <definedName name="Excel_BuiltIn__FilterDatabase_6">[9]Abstract!#REF!</definedName>
    <definedName name="Excel_BuiltIn_Print_Area" localSheetId="22">#REF!</definedName>
    <definedName name="Excel_BuiltIn_Print_Area" localSheetId="4">#REF!</definedName>
    <definedName name="Excel_BuiltIn_Print_Area" localSheetId="3">#REF!</definedName>
    <definedName name="Excel_BuiltIn_Print_Area" localSheetId="16">#REF!</definedName>
    <definedName name="Excel_BuiltIn_Print_Area" localSheetId="11">#REF!</definedName>
    <definedName name="Excel_BuiltIn_Print_Area" localSheetId="15">#REF!</definedName>
    <definedName name="Excel_BuiltIn_Print_Area" localSheetId="12">#REF!</definedName>
    <definedName name="Excel_BuiltIn_Print_Area" localSheetId="17">#REF!</definedName>
    <definedName name="Excel_BuiltIn_Print_Area" localSheetId="23">#REF!</definedName>
    <definedName name="Excel_BuiltIn_Print_Area" localSheetId="18">#REF!</definedName>
    <definedName name="Excel_BuiltIn_Print_Area" localSheetId="14">#REF!</definedName>
    <definedName name="Excel_BuiltIn_Print_Area" localSheetId="13">#REF!</definedName>
    <definedName name="Excel_BuiltIn_Print_Area" localSheetId="6">#REF!</definedName>
    <definedName name="Excel_BuiltIn_Print_Area" localSheetId="8">#REF!</definedName>
    <definedName name="Excel_BuiltIn_Print_Area" localSheetId="9">#REF!</definedName>
    <definedName name="Excel_BuiltIn_Print_Area" localSheetId="7">#REF!</definedName>
    <definedName name="Excel_BuiltIn_Print_Area" localSheetId="10">#REF!</definedName>
    <definedName name="Excel_BuiltIn_Print_Area">#REF!</definedName>
    <definedName name="Excel_BuiltIn_Print_Titles" localSheetId="22">#REF!</definedName>
    <definedName name="Excel_BuiltIn_Print_Titles" localSheetId="4">#REF!</definedName>
    <definedName name="Excel_BuiltIn_Print_Titles" localSheetId="3">#REF!</definedName>
    <definedName name="Excel_BuiltIn_Print_Titles" localSheetId="16">#REF!</definedName>
    <definedName name="Excel_BuiltIn_Print_Titles" localSheetId="11">#REF!</definedName>
    <definedName name="Excel_BuiltIn_Print_Titles" localSheetId="15">#REF!</definedName>
    <definedName name="Excel_BuiltIn_Print_Titles" localSheetId="12">#REF!</definedName>
    <definedName name="Excel_BuiltIn_Print_Titles" localSheetId="17">#REF!</definedName>
    <definedName name="Excel_BuiltIn_Print_Titles" localSheetId="23">#REF!</definedName>
    <definedName name="Excel_BuiltIn_Print_Titles" localSheetId="18">#REF!</definedName>
    <definedName name="Excel_BuiltIn_Print_Titles" localSheetId="14">#REF!</definedName>
    <definedName name="Excel_BuiltIn_Print_Titles" localSheetId="13">#REF!</definedName>
    <definedName name="Excel_BuiltIn_Print_Titles" localSheetId="6">#REF!</definedName>
    <definedName name="Excel_BuiltIn_Print_Titles" localSheetId="8">#REF!</definedName>
    <definedName name="Excel_BuiltIn_Print_Titles" localSheetId="9">#REF!</definedName>
    <definedName name="Excel_BuiltIn_Print_Titles" localSheetId="7">#REF!</definedName>
    <definedName name="Excel_BuiltIn_Print_Titles" localSheetId="10">#REF!</definedName>
    <definedName name="Excel_BuiltIn_Print_Titles">#REF!</definedName>
    <definedName name="Excel_BuiltIn_Print_Titles_3" localSheetId="22">#REF!</definedName>
    <definedName name="Excel_BuiltIn_Print_Titles_3" localSheetId="4">#REF!</definedName>
    <definedName name="Excel_BuiltIn_Print_Titles_3" localSheetId="3">#REF!</definedName>
    <definedName name="Excel_BuiltIn_Print_Titles_3" localSheetId="16">#REF!</definedName>
    <definedName name="Excel_BuiltIn_Print_Titles_3" localSheetId="11">#REF!</definedName>
    <definedName name="Excel_BuiltIn_Print_Titles_3" localSheetId="15">#REF!</definedName>
    <definedName name="Excel_BuiltIn_Print_Titles_3" localSheetId="12">#REF!</definedName>
    <definedName name="Excel_BuiltIn_Print_Titles_3" localSheetId="17">#REF!</definedName>
    <definedName name="Excel_BuiltIn_Print_Titles_3" localSheetId="23">#REF!</definedName>
    <definedName name="Excel_BuiltIn_Print_Titles_3" localSheetId="18">#REF!</definedName>
    <definedName name="Excel_BuiltIn_Print_Titles_3" localSheetId="14">#REF!</definedName>
    <definedName name="Excel_BuiltIn_Print_Titles_3" localSheetId="13">#REF!</definedName>
    <definedName name="Excel_BuiltIn_Print_Titles_3" localSheetId="6">#REF!</definedName>
    <definedName name="Excel_BuiltIn_Print_Titles_3" localSheetId="8">#REF!</definedName>
    <definedName name="Excel_BuiltIn_Print_Titles_3" localSheetId="9">#REF!</definedName>
    <definedName name="Excel_BuiltIn_Print_Titles_3" localSheetId="7">#REF!</definedName>
    <definedName name="Excel_BuiltIn_Print_Titles_3" localSheetId="10">#REF!</definedName>
    <definedName name="Excel_BuiltIn_Print_Titles_3">#REF!</definedName>
    <definedName name="Excel_BuiltIn_Print_Titles_4" localSheetId="22">#REF!</definedName>
    <definedName name="Excel_BuiltIn_Print_Titles_4" localSheetId="4">#REF!</definedName>
    <definedName name="Excel_BuiltIn_Print_Titles_4" localSheetId="3">#REF!</definedName>
    <definedName name="Excel_BuiltIn_Print_Titles_4" localSheetId="16">#REF!</definedName>
    <definedName name="Excel_BuiltIn_Print_Titles_4" localSheetId="11">#REF!</definedName>
    <definedName name="Excel_BuiltIn_Print_Titles_4" localSheetId="15">#REF!</definedName>
    <definedName name="Excel_BuiltIn_Print_Titles_4" localSheetId="12">#REF!</definedName>
    <definedName name="Excel_BuiltIn_Print_Titles_4" localSheetId="17">#REF!</definedName>
    <definedName name="Excel_BuiltIn_Print_Titles_4" localSheetId="23">#REF!</definedName>
    <definedName name="Excel_BuiltIn_Print_Titles_4" localSheetId="18">#REF!</definedName>
    <definedName name="Excel_BuiltIn_Print_Titles_4" localSheetId="14">#REF!</definedName>
    <definedName name="Excel_BuiltIn_Print_Titles_4" localSheetId="13">#REF!</definedName>
    <definedName name="Excel_BuiltIn_Print_Titles_4" localSheetId="6">#REF!</definedName>
    <definedName name="Excel_BuiltIn_Print_Titles_4" localSheetId="8">#REF!</definedName>
    <definedName name="Excel_BuiltIn_Print_Titles_4" localSheetId="9">#REF!</definedName>
    <definedName name="Excel_BuiltIn_Print_Titles_4" localSheetId="7">#REF!</definedName>
    <definedName name="Excel_BuiltIn_Print_Titles_4" localSheetId="10">#REF!</definedName>
    <definedName name="Excel_BuiltIn_Print_Titles_4">#REF!</definedName>
    <definedName name="Extra_Pay" localSheetId="23">#REF!</definedName>
    <definedName name="Extra_Pay">#REF!</definedName>
    <definedName name="f" localSheetId="22">#REF!</definedName>
    <definedName name="f" localSheetId="3">#REF!</definedName>
    <definedName name="f" localSheetId="16">#REF!</definedName>
    <definedName name="f" localSheetId="11">#REF!</definedName>
    <definedName name="f" localSheetId="15">#REF!</definedName>
    <definedName name="f" localSheetId="12">#REF!</definedName>
    <definedName name="f" localSheetId="17">#REF!</definedName>
    <definedName name="f" localSheetId="23">#REF!</definedName>
    <definedName name="f" localSheetId="18">#REF!</definedName>
    <definedName name="f" localSheetId="14">#REF!</definedName>
    <definedName name="f" localSheetId="13">#REF!</definedName>
    <definedName name="f" localSheetId="6">#REF!</definedName>
    <definedName name="f" localSheetId="8">#REF!</definedName>
    <definedName name="f" localSheetId="9">#REF!</definedName>
    <definedName name="f" localSheetId="7">#REF!</definedName>
    <definedName name="f" localSheetId="10">#REF!</definedName>
    <definedName name="f">#REF!</definedName>
    <definedName name="F.E.W_ALL" localSheetId="22">#REF!</definedName>
    <definedName name="F.E.W_ALL" localSheetId="4">#REF!</definedName>
    <definedName name="F.E.W_ALL" localSheetId="3">#REF!</definedName>
    <definedName name="F.E.W_ALL" localSheetId="16">#REF!</definedName>
    <definedName name="F.E.W_ALL" localSheetId="11">#REF!</definedName>
    <definedName name="F.E.W_ALL" localSheetId="15">#REF!</definedName>
    <definedName name="F.E.W_ALL" localSheetId="12">#REF!</definedName>
    <definedName name="F.E.W_ALL" localSheetId="17">#REF!</definedName>
    <definedName name="F.E.W_ALL" localSheetId="23">#REF!</definedName>
    <definedName name="F.E.W_ALL" localSheetId="18">#REF!</definedName>
    <definedName name="F.E.W_ALL" localSheetId="14">#REF!</definedName>
    <definedName name="F.E.W_ALL" localSheetId="13">#REF!</definedName>
    <definedName name="F.E.W_ALL" localSheetId="6">#REF!</definedName>
    <definedName name="F.E.W_ALL" localSheetId="8">#REF!</definedName>
    <definedName name="F.E.W_ALL" localSheetId="9">#REF!</definedName>
    <definedName name="F.E.W_ALL" localSheetId="7">#REF!</definedName>
    <definedName name="F.E.W_ALL" localSheetId="10">#REF!</definedName>
    <definedName name="F.E.W_ALL">#REF!</definedName>
    <definedName name="F.E.W_H.S.CLAY" localSheetId="22">#REF!</definedName>
    <definedName name="F.E.W_H.S.CLAY" localSheetId="4">#REF!</definedName>
    <definedName name="F.E.W_H.S.CLAY" localSheetId="3">#REF!</definedName>
    <definedName name="F.E.W_H.S.CLAY" localSheetId="16">#REF!</definedName>
    <definedName name="F.E.W_H.S.CLAY" localSheetId="11">#REF!</definedName>
    <definedName name="F.E.W_H.S.CLAY" localSheetId="15">#REF!</definedName>
    <definedName name="F.E.W_H.S.CLAY" localSheetId="12">#REF!</definedName>
    <definedName name="F.E.W_H.S.CLAY" localSheetId="17">#REF!</definedName>
    <definedName name="F.E.W_H.S.CLAY" localSheetId="23">#REF!</definedName>
    <definedName name="F.E.W_H.S.CLAY" localSheetId="18">#REF!</definedName>
    <definedName name="F.E.W_H.S.CLAY" localSheetId="14">#REF!</definedName>
    <definedName name="F.E.W_H.S.CLAY" localSheetId="13">#REF!</definedName>
    <definedName name="F.E.W_H.S.CLAY" localSheetId="6">#REF!</definedName>
    <definedName name="F.E.W_H.S.CLAY" localSheetId="8">#REF!</definedName>
    <definedName name="F.E.W_H.S.CLAY" localSheetId="9">#REF!</definedName>
    <definedName name="F.E.W_H.S.CLAY" localSheetId="7">#REF!</definedName>
    <definedName name="F.E.W_H.S.CLAY" localSheetId="10">#REF!</definedName>
    <definedName name="F.E.W_H.S.CLAY">#REF!</definedName>
    <definedName name="F.E.W_S.D.R" localSheetId="22">#REF!</definedName>
    <definedName name="F.E.W_S.D.R" localSheetId="4">#REF!</definedName>
    <definedName name="F.E.W_S.D.R" localSheetId="3">#REF!</definedName>
    <definedName name="F.E.W_S.D.R" localSheetId="16">#REF!</definedName>
    <definedName name="F.E.W_S.D.R" localSheetId="11">#REF!</definedName>
    <definedName name="F.E.W_S.D.R" localSheetId="15">#REF!</definedName>
    <definedName name="F.E.W_S.D.R" localSheetId="12">#REF!</definedName>
    <definedName name="F.E.W_S.D.R" localSheetId="17">#REF!</definedName>
    <definedName name="F.E.W_S.D.R" localSheetId="23">#REF!</definedName>
    <definedName name="F.E.W_S.D.R" localSheetId="18">#REF!</definedName>
    <definedName name="F.E.W_S.D.R" localSheetId="14">#REF!</definedName>
    <definedName name="F.E.W_S.D.R" localSheetId="13">#REF!</definedName>
    <definedName name="F.E.W_S.D.R" localSheetId="6">#REF!</definedName>
    <definedName name="F.E.W_S.D.R" localSheetId="8">#REF!</definedName>
    <definedName name="F.E.W_S.D.R" localSheetId="9">#REF!</definedName>
    <definedName name="F.E.W_S.D.R" localSheetId="7">#REF!</definedName>
    <definedName name="F.E.W_S.D.R" localSheetId="10">#REF!</definedName>
    <definedName name="F.E.W_S.D.R">#REF!</definedName>
    <definedName name="F.E.W_SAND" localSheetId="22">#REF!</definedName>
    <definedName name="F.E.W_SAND" localSheetId="4">#REF!</definedName>
    <definedName name="F.E.W_SAND" localSheetId="3">#REF!</definedName>
    <definedName name="F.E.W_SAND" localSheetId="16">#REF!</definedName>
    <definedName name="F.E.W_SAND" localSheetId="11">#REF!</definedName>
    <definedName name="F.E.W_SAND" localSheetId="15">#REF!</definedName>
    <definedName name="F.E.W_SAND" localSheetId="12">#REF!</definedName>
    <definedName name="F.E.W_SAND" localSheetId="17">#REF!</definedName>
    <definedName name="F.E.W_SAND" localSheetId="23">#REF!</definedName>
    <definedName name="F.E.W_SAND" localSheetId="18">#REF!</definedName>
    <definedName name="F.E.W_SAND" localSheetId="14">#REF!</definedName>
    <definedName name="F.E.W_SAND" localSheetId="13">#REF!</definedName>
    <definedName name="F.E.W_SAND" localSheetId="6">#REF!</definedName>
    <definedName name="F.E.W_SAND" localSheetId="8">#REF!</definedName>
    <definedName name="F.E.W_SAND" localSheetId="9">#REF!</definedName>
    <definedName name="F.E.W_SAND" localSheetId="7">#REF!</definedName>
    <definedName name="F.E.W_SAND" localSheetId="10">#REF!</definedName>
    <definedName name="F.E.W_SAND">#REF!</definedName>
    <definedName name="ff" localSheetId="22">#REF!</definedName>
    <definedName name="ff" localSheetId="4">#REF!</definedName>
    <definedName name="ff" localSheetId="3">#REF!</definedName>
    <definedName name="ff" localSheetId="16">#REF!</definedName>
    <definedName name="ff" localSheetId="11">#REF!</definedName>
    <definedName name="ff" localSheetId="15">#REF!</definedName>
    <definedName name="ff" localSheetId="12">#REF!</definedName>
    <definedName name="ff" localSheetId="17">#REF!</definedName>
    <definedName name="ff" localSheetId="23">#REF!</definedName>
    <definedName name="ff" localSheetId="18">#REF!</definedName>
    <definedName name="ff" localSheetId="14">#REF!</definedName>
    <definedName name="ff" localSheetId="13">#REF!</definedName>
    <definedName name="ff" localSheetId="6">#REF!</definedName>
    <definedName name="ff" localSheetId="8">#REF!</definedName>
    <definedName name="ff" localSheetId="9">#REF!</definedName>
    <definedName name="ff" localSheetId="7">#REF!</definedName>
    <definedName name="ff" localSheetId="10">#REF!</definedName>
    <definedName name="ff">#REF!</definedName>
    <definedName name="ffsdhipout7yhuyfyfvtrtdc" localSheetId="22">#REF!</definedName>
    <definedName name="ffsdhipout7yhuyfyfvtrtdc" localSheetId="3">#REF!</definedName>
    <definedName name="ffsdhipout7yhuyfyfvtrtdc" localSheetId="16">#REF!</definedName>
    <definedName name="ffsdhipout7yhuyfyfvtrtdc" localSheetId="11">#REF!</definedName>
    <definedName name="ffsdhipout7yhuyfyfvtrtdc" localSheetId="15">#REF!</definedName>
    <definedName name="ffsdhipout7yhuyfyfvtrtdc" localSheetId="12">#REF!</definedName>
    <definedName name="ffsdhipout7yhuyfyfvtrtdc" localSheetId="17">#REF!</definedName>
    <definedName name="ffsdhipout7yhuyfyfvtrtdc" localSheetId="23">#REF!</definedName>
    <definedName name="ffsdhipout7yhuyfyfvtrtdc" localSheetId="18">#REF!</definedName>
    <definedName name="ffsdhipout7yhuyfyfvtrtdc" localSheetId="14">#REF!</definedName>
    <definedName name="ffsdhipout7yhuyfyfvtrtdc" localSheetId="13">#REF!</definedName>
    <definedName name="ffsdhipout7yhuyfyfvtrtdc" localSheetId="6">#REF!</definedName>
    <definedName name="ffsdhipout7yhuyfyfvtrtdc" localSheetId="8">#REF!</definedName>
    <definedName name="ffsdhipout7yhuyfyfvtrtdc" localSheetId="9">#REF!</definedName>
    <definedName name="ffsdhipout7yhuyfyfvtrtdc" localSheetId="7">#REF!</definedName>
    <definedName name="ffsdhipout7yhuyfyfvtrtdc" localSheetId="10">#REF!</definedName>
    <definedName name="ffsdhipout7yhuyfyfvtrtdc">#REF!</definedName>
    <definedName name="fg" localSheetId="12">#REF!</definedName>
    <definedName name="fg" localSheetId="23">#REF!</definedName>
    <definedName name="fg" localSheetId="13">#REF!</definedName>
    <definedName name="fg" localSheetId="8">#REF!</definedName>
    <definedName name="fg" localSheetId="7">#REF!</definedName>
    <definedName name="fg">#REF!</definedName>
    <definedName name="fgrd" localSheetId="12">#REF!</definedName>
    <definedName name="fgrd" localSheetId="23">#REF!</definedName>
    <definedName name="fgrd" localSheetId="13">#REF!</definedName>
    <definedName name="fgrd" localSheetId="8">#REF!</definedName>
    <definedName name="fgrd" localSheetId="7">#REF!</definedName>
    <definedName name="fgrd">#REF!</definedName>
    <definedName name="fgsgsg" localSheetId="22">#REF!</definedName>
    <definedName name="fgsgsg" localSheetId="4">#REF!</definedName>
    <definedName name="fgsgsg" localSheetId="1">#REF!</definedName>
    <definedName name="fgsgsg" localSheetId="3">#REF!</definedName>
    <definedName name="fgsgsg" localSheetId="16">#REF!</definedName>
    <definedName name="fgsgsg" localSheetId="11">#REF!</definedName>
    <definedName name="fgsgsg" localSheetId="15">#REF!</definedName>
    <definedName name="fgsgsg" localSheetId="2">#REF!</definedName>
    <definedName name="fgsgsg" localSheetId="12">#REF!</definedName>
    <definedName name="fgsgsg" localSheetId="17">#REF!</definedName>
    <definedName name="fgsgsg" localSheetId="23">#REF!</definedName>
    <definedName name="fgsgsg" localSheetId="18">#REF!</definedName>
    <definedName name="fgsgsg" localSheetId="14">#REF!</definedName>
    <definedName name="fgsgsg" localSheetId="13">#REF!</definedName>
    <definedName name="fgsgsg" localSheetId="6">#REF!</definedName>
    <definedName name="fgsgsg" localSheetId="8">#REF!</definedName>
    <definedName name="fgsgsg" localSheetId="5">#REF!</definedName>
    <definedName name="fgsgsg" localSheetId="9">#REF!</definedName>
    <definedName name="fgsgsg" localSheetId="7">#REF!</definedName>
    <definedName name="fgsgsg" localSheetId="10">#REF!</definedName>
    <definedName name="fgsgsg">#REF!</definedName>
    <definedName name="fhd" localSheetId="22">#REF!</definedName>
    <definedName name="fhd" localSheetId="4">#REF!</definedName>
    <definedName name="fhd" localSheetId="1">#REF!</definedName>
    <definedName name="fhd" localSheetId="3">#REF!</definedName>
    <definedName name="fhd" localSheetId="16">#REF!</definedName>
    <definedName name="fhd" localSheetId="11">#REF!</definedName>
    <definedName name="fhd" localSheetId="15">#REF!</definedName>
    <definedName name="fhd" localSheetId="2">#REF!</definedName>
    <definedName name="fhd" localSheetId="12">#REF!</definedName>
    <definedName name="fhd" localSheetId="17">#REF!</definedName>
    <definedName name="fhd" localSheetId="23">#REF!</definedName>
    <definedName name="fhd" localSheetId="18">#REF!</definedName>
    <definedName name="fhd" localSheetId="14">#REF!</definedName>
    <definedName name="fhd" localSheetId="13">#REF!</definedName>
    <definedName name="fhd" localSheetId="6">#REF!</definedName>
    <definedName name="fhd" localSheetId="20">#REF!</definedName>
    <definedName name="fhd" localSheetId="8">#REF!</definedName>
    <definedName name="fhd" localSheetId="5">#REF!</definedName>
    <definedName name="fhd" localSheetId="9">#REF!</definedName>
    <definedName name="fhd" localSheetId="7">#REF!</definedName>
    <definedName name="fhd" localSheetId="10">#REF!</definedName>
    <definedName name="fhd">#REF!</definedName>
    <definedName name="Filling" localSheetId="22">#REF!</definedName>
    <definedName name="Filling" localSheetId="4">#REF!</definedName>
    <definedName name="Filling" localSheetId="3">#REF!</definedName>
    <definedName name="Filling" localSheetId="16">#REF!</definedName>
    <definedName name="Filling" localSheetId="11">#REF!</definedName>
    <definedName name="Filling" localSheetId="15">#REF!</definedName>
    <definedName name="Filling" localSheetId="12">#REF!</definedName>
    <definedName name="Filling" localSheetId="17">#REF!</definedName>
    <definedName name="Filling" localSheetId="23">#REF!</definedName>
    <definedName name="Filling" localSheetId="18">#REF!</definedName>
    <definedName name="Filling" localSheetId="14">#REF!</definedName>
    <definedName name="Filling" localSheetId="13">#REF!</definedName>
    <definedName name="Filling" localSheetId="6">#REF!</definedName>
    <definedName name="Filling" localSheetId="8">#REF!</definedName>
    <definedName name="Filling" localSheetId="9">#REF!</definedName>
    <definedName name="Filling" localSheetId="7">#REF!</definedName>
    <definedName name="Filling" localSheetId="10">#REF!</definedName>
    <definedName name="Filling">#REF!</definedName>
    <definedName name="fjk" localSheetId="23">#REF!</definedName>
    <definedName name="fjk" localSheetId="13">#REF!</definedName>
    <definedName name="fjk" localSheetId="8">#REF!</definedName>
    <definedName name="fjk" localSheetId="7">#REF!</definedName>
    <definedName name="fjk">#REF!</definedName>
    <definedName name="fr" localSheetId="22">#REF!</definedName>
    <definedName name="fr" localSheetId="4">#REF!</definedName>
    <definedName name="fr" localSheetId="3">#REF!</definedName>
    <definedName name="fr" localSheetId="16">#REF!</definedName>
    <definedName name="fr" localSheetId="11">#REF!</definedName>
    <definedName name="fr" localSheetId="15">#REF!</definedName>
    <definedName name="fr" localSheetId="12">#REF!</definedName>
    <definedName name="fr" localSheetId="17">#REF!</definedName>
    <definedName name="fr" localSheetId="23">#REF!</definedName>
    <definedName name="fr" localSheetId="18">#REF!</definedName>
    <definedName name="fr" localSheetId="14">#REF!</definedName>
    <definedName name="fr" localSheetId="13">#REF!</definedName>
    <definedName name="fr" localSheetId="6">#REF!</definedName>
    <definedName name="fr" localSheetId="8">#REF!</definedName>
    <definedName name="fr" localSheetId="9">#REF!</definedName>
    <definedName name="fr" localSheetId="7">#REF!</definedName>
    <definedName name="fr" localSheetId="10">#REF!</definedName>
    <definedName name="fr">#REF!</definedName>
    <definedName name="frd" localSheetId="12">#REF!</definedName>
    <definedName name="frd" localSheetId="23">#REF!</definedName>
    <definedName name="frd" localSheetId="13">#REF!</definedName>
    <definedName name="frd" localSheetId="8">#REF!</definedName>
    <definedName name="frd" localSheetId="7">#REF!</definedName>
    <definedName name="frd">#REF!</definedName>
    <definedName name="frt" localSheetId="22">#REF!</definedName>
    <definedName name="frt" localSheetId="4">#REF!</definedName>
    <definedName name="frt" localSheetId="3">#REF!</definedName>
    <definedName name="frt" localSheetId="16">#REF!</definedName>
    <definedName name="frt" localSheetId="11">#REF!</definedName>
    <definedName name="frt" localSheetId="15">#REF!</definedName>
    <definedName name="frt" localSheetId="12">#REF!</definedName>
    <definedName name="frt" localSheetId="17">#REF!</definedName>
    <definedName name="frt" localSheetId="23">#REF!</definedName>
    <definedName name="frt" localSheetId="18">#REF!</definedName>
    <definedName name="frt" localSheetId="14">#REF!</definedName>
    <definedName name="frt" localSheetId="13">#REF!</definedName>
    <definedName name="frt" localSheetId="6">#REF!</definedName>
    <definedName name="frt" localSheetId="8">#REF!</definedName>
    <definedName name="frt" localSheetId="9">#REF!</definedName>
    <definedName name="frt" localSheetId="7">#REF!</definedName>
    <definedName name="frt" localSheetId="10">#REF!</definedName>
    <definedName name="frt">#REF!</definedName>
    <definedName name="FSEGADRG" localSheetId="22">#REF!</definedName>
    <definedName name="FSEGADRG" localSheetId="3">#REF!</definedName>
    <definedName name="FSEGADRG" localSheetId="16">#REF!</definedName>
    <definedName name="FSEGADRG" localSheetId="11">#REF!</definedName>
    <definedName name="FSEGADRG" localSheetId="15">#REF!</definedName>
    <definedName name="FSEGADRG" localSheetId="12">#REF!</definedName>
    <definedName name="FSEGADRG" localSheetId="17">#REF!</definedName>
    <definedName name="FSEGADRG" localSheetId="23">#REF!</definedName>
    <definedName name="FSEGADRG" localSheetId="18">#REF!</definedName>
    <definedName name="FSEGADRG" localSheetId="14">#REF!</definedName>
    <definedName name="FSEGADRG" localSheetId="13">#REF!</definedName>
    <definedName name="FSEGADRG" localSheetId="6">#REF!</definedName>
    <definedName name="FSEGADRG" localSheetId="8">#REF!</definedName>
    <definedName name="FSEGADRG" localSheetId="9">#REF!</definedName>
    <definedName name="FSEGADRG" localSheetId="7">#REF!</definedName>
    <definedName name="FSEGADRG" localSheetId="10">#REF!</definedName>
    <definedName name="FSEGADRG">#REF!</definedName>
    <definedName name="Full_Print" localSheetId="23">#REF!</definedName>
    <definedName name="Full_Print">#REF!</definedName>
    <definedName name="g" localSheetId="12">#REF!</definedName>
    <definedName name="g" localSheetId="23">#REF!</definedName>
    <definedName name="g" localSheetId="13">#REF!</definedName>
    <definedName name="g" localSheetId="8">#REF!</definedName>
    <definedName name="g" localSheetId="7">#REF!</definedName>
    <definedName name="g">#REF!</definedName>
    <definedName name="gfg" localSheetId="22">#REF!</definedName>
    <definedName name="gfg" localSheetId="3">#REF!</definedName>
    <definedName name="gfg" localSheetId="16">#REF!</definedName>
    <definedName name="gfg" localSheetId="11">#REF!</definedName>
    <definedName name="gfg" localSheetId="15">#REF!</definedName>
    <definedName name="gfg" localSheetId="12">#REF!</definedName>
    <definedName name="gfg" localSheetId="17">#REF!</definedName>
    <definedName name="gfg" localSheetId="23">#REF!</definedName>
    <definedName name="gfg" localSheetId="18">#REF!</definedName>
    <definedName name="gfg" localSheetId="14">#REF!</definedName>
    <definedName name="gfg" localSheetId="13">#REF!</definedName>
    <definedName name="gfg" localSheetId="6">#REF!</definedName>
    <definedName name="gfg" localSheetId="8">#REF!</definedName>
    <definedName name="gfg" localSheetId="9">#REF!</definedName>
    <definedName name="gfg" localSheetId="7">#REF!</definedName>
    <definedName name="gfg" localSheetId="10">#REF!</definedName>
    <definedName name="gfg">#REF!</definedName>
    <definedName name="gfrt" localSheetId="22">#REF!</definedName>
    <definedName name="gfrt" localSheetId="4">#REF!</definedName>
    <definedName name="gfrt" localSheetId="3">#REF!</definedName>
    <definedName name="gfrt" localSheetId="16">#REF!</definedName>
    <definedName name="gfrt" localSheetId="11">#REF!</definedName>
    <definedName name="gfrt" localSheetId="15">#REF!</definedName>
    <definedName name="gfrt" localSheetId="12">#REF!</definedName>
    <definedName name="gfrt" localSheetId="17">#REF!</definedName>
    <definedName name="gfrt" localSheetId="23">#REF!</definedName>
    <definedName name="gfrt" localSheetId="18">#REF!</definedName>
    <definedName name="gfrt" localSheetId="14">#REF!</definedName>
    <definedName name="gfrt" localSheetId="13">#REF!</definedName>
    <definedName name="gfrt" localSheetId="6">#REF!</definedName>
    <definedName name="gfrt" localSheetId="8">#REF!</definedName>
    <definedName name="gfrt" localSheetId="9">#REF!</definedName>
    <definedName name="gfrt" localSheetId="7">#REF!</definedName>
    <definedName name="gfrt" localSheetId="10">#REF!</definedName>
    <definedName name="gfrt">#REF!</definedName>
    <definedName name="gg.abs" localSheetId="22">#REF!</definedName>
    <definedName name="gg.abs" localSheetId="16">#REF!</definedName>
    <definedName name="gg.abs" localSheetId="11">#REF!</definedName>
    <definedName name="gg.abs" localSheetId="15">#REF!</definedName>
    <definedName name="gg.abs" localSheetId="12">#REF!</definedName>
    <definedName name="gg.abs" localSheetId="17">#REF!</definedName>
    <definedName name="gg.abs" localSheetId="23">#REF!</definedName>
    <definedName name="gg.abs" localSheetId="18">#REF!</definedName>
    <definedName name="gg.abs" localSheetId="14">#REF!</definedName>
    <definedName name="gg.abs" localSheetId="13">#REF!</definedName>
    <definedName name="gg.abs" localSheetId="6">#REF!</definedName>
    <definedName name="gg.abs" localSheetId="8">#REF!</definedName>
    <definedName name="gg.abs" localSheetId="9">#REF!</definedName>
    <definedName name="gg.abs" localSheetId="7">#REF!</definedName>
    <definedName name="gg.abs" localSheetId="10">#REF!</definedName>
    <definedName name="gg.abs">#REF!</definedName>
    <definedName name="GHJYUTYUGNVBN" localSheetId="22">#REF!</definedName>
    <definedName name="GHJYUTYUGNVBN" localSheetId="4">#REF!</definedName>
    <definedName name="GHJYUTYUGNVBN" localSheetId="3">#REF!</definedName>
    <definedName name="GHJYUTYUGNVBN" localSheetId="16">#REF!</definedName>
    <definedName name="GHJYUTYUGNVBN" localSheetId="11">#REF!</definedName>
    <definedName name="GHJYUTYUGNVBN" localSheetId="15">#REF!</definedName>
    <definedName name="GHJYUTYUGNVBN" localSheetId="12">#REF!</definedName>
    <definedName name="GHJYUTYUGNVBN" localSheetId="17">#REF!</definedName>
    <definedName name="GHJYUTYUGNVBN" localSheetId="23">#REF!</definedName>
    <definedName name="GHJYUTYUGNVBN" localSheetId="18">#REF!</definedName>
    <definedName name="GHJYUTYUGNVBN" localSheetId="14">#REF!</definedName>
    <definedName name="GHJYUTYUGNVBN" localSheetId="13">#REF!</definedName>
    <definedName name="GHJYUTYUGNVBN" localSheetId="6">#REF!</definedName>
    <definedName name="GHJYUTYUGNVBN" localSheetId="8">#REF!</definedName>
    <definedName name="GHJYUTYUGNVBN" localSheetId="9">#REF!</definedName>
    <definedName name="GHJYUTYUGNVBN" localSheetId="7">#REF!</definedName>
    <definedName name="GHJYUTYUGNVBN" localSheetId="10">#REF!</definedName>
    <definedName name="GHJYUTYUGNVBN">#REF!</definedName>
    <definedName name="GKLPIUYY" localSheetId="12">#REF!</definedName>
    <definedName name="GKLPIUYY" localSheetId="23">#REF!</definedName>
    <definedName name="GKLPIUYY" localSheetId="13">#REF!</definedName>
    <definedName name="GKLPIUYY" localSheetId="8">#REF!</definedName>
    <definedName name="GKLPIUYY" localSheetId="7">#REF!</definedName>
    <definedName name="GKLPIUYY">#REF!</definedName>
    <definedName name="GRANO" localSheetId="22">#REF!</definedName>
    <definedName name="GRANO" localSheetId="4">#REF!</definedName>
    <definedName name="GRANO" localSheetId="3">#REF!</definedName>
    <definedName name="GRANO" localSheetId="16">#REF!</definedName>
    <definedName name="GRANO" localSheetId="11">#REF!</definedName>
    <definedName name="GRANO" localSheetId="15">#REF!</definedName>
    <definedName name="GRANO" localSheetId="12">#REF!</definedName>
    <definedName name="GRANO" localSheetId="17">#REF!</definedName>
    <definedName name="GRANO" localSheetId="23">#REF!</definedName>
    <definedName name="GRANO" localSheetId="18">#REF!</definedName>
    <definedName name="GRANO" localSheetId="14">#REF!</definedName>
    <definedName name="GRANO" localSheetId="13">#REF!</definedName>
    <definedName name="GRANO" localSheetId="6">#REF!</definedName>
    <definedName name="GRANO" localSheetId="8">#REF!</definedName>
    <definedName name="GRANO" localSheetId="9">#REF!</definedName>
    <definedName name="GRANO" localSheetId="7">#REF!</definedName>
    <definedName name="GRANO" localSheetId="10">#REF!</definedName>
    <definedName name="GRANO">#REF!</definedName>
    <definedName name="gsgsg" localSheetId="22">#REF!</definedName>
    <definedName name="gsgsg" localSheetId="4">#REF!</definedName>
    <definedName name="gsgsg" localSheetId="1">#REF!</definedName>
    <definedName name="gsgsg" localSheetId="3">#REF!</definedName>
    <definedName name="gsgsg" localSheetId="16">#REF!</definedName>
    <definedName name="gsgsg" localSheetId="11">#REF!</definedName>
    <definedName name="gsgsg" localSheetId="15">#REF!</definedName>
    <definedName name="gsgsg" localSheetId="2">#REF!</definedName>
    <definedName name="gsgsg" localSheetId="12">#REF!</definedName>
    <definedName name="gsgsg" localSheetId="17">#REF!</definedName>
    <definedName name="gsgsg" localSheetId="23">#REF!</definedName>
    <definedName name="gsgsg" localSheetId="18">#REF!</definedName>
    <definedName name="gsgsg" localSheetId="14">#REF!</definedName>
    <definedName name="gsgsg" localSheetId="13">#REF!</definedName>
    <definedName name="gsgsg" localSheetId="6">#REF!</definedName>
    <definedName name="gsgsg" localSheetId="8">#REF!</definedName>
    <definedName name="gsgsg" localSheetId="5">#REF!</definedName>
    <definedName name="gsgsg" localSheetId="9">#REF!</definedName>
    <definedName name="gsgsg" localSheetId="7">#REF!</definedName>
    <definedName name="gsgsg" localSheetId="10">#REF!</definedName>
    <definedName name="gsgsg">#REF!</definedName>
    <definedName name="gt" localSheetId="22">#REF!</definedName>
    <definedName name="gt" localSheetId="4">#REF!</definedName>
    <definedName name="gt" localSheetId="3">#REF!</definedName>
    <definedName name="gt" localSheetId="16">#REF!</definedName>
    <definedName name="gt" localSheetId="11">#REF!</definedName>
    <definedName name="gt" localSheetId="15">#REF!</definedName>
    <definedName name="gt" localSheetId="12">#REF!</definedName>
    <definedName name="gt" localSheetId="17">#REF!</definedName>
    <definedName name="gt" localSheetId="23">#REF!</definedName>
    <definedName name="gt" localSheetId="18">#REF!</definedName>
    <definedName name="gt" localSheetId="14">#REF!</definedName>
    <definedName name="gt" localSheetId="13">#REF!</definedName>
    <definedName name="gt" localSheetId="6">#REF!</definedName>
    <definedName name="gt" localSheetId="8">#REF!</definedName>
    <definedName name="gt" localSheetId="9">#REF!</definedName>
    <definedName name="gt" localSheetId="7">#REF!</definedName>
    <definedName name="gt" localSheetId="10">#REF!</definedName>
    <definedName name="gt">#REF!</definedName>
    <definedName name="gtr" localSheetId="22">#REF!</definedName>
    <definedName name="gtr" localSheetId="4">#REF!</definedName>
    <definedName name="gtr" localSheetId="3">#REF!</definedName>
    <definedName name="gtr" localSheetId="16">#REF!</definedName>
    <definedName name="gtr" localSheetId="11">#REF!</definedName>
    <definedName name="gtr" localSheetId="15">#REF!</definedName>
    <definedName name="gtr" localSheetId="12">#REF!</definedName>
    <definedName name="gtr" localSheetId="17">#REF!</definedName>
    <definedName name="gtr" localSheetId="23">#REF!</definedName>
    <definedName name="gtr" localSheetId="18">#REF!</definedName>
    <definedName name="gtr" localSheetId="14">#REF!</definedName>
    <definedName name="gtr" localSheetId="13">#REF!</definedName>
    <definedName name="gtr" localSheetId="6">#REF!</definedName>
    <definedName name="gtr" localSheetId="8">#REF!</definedName>
    <definedName name="gtr" localSheetId="9">#REF!</definedName>
    <definedName name="gtr" localSheetId="7">#REF!</definedName>
    <definedName name="gtr" localSheetId="10">#REF!</definedName>
    <definedName name="gtr">#REF!</definedName>
    <definedName name="h" localSheetId="12">#REF!</definedName>
    <definedName name="h" localSheetId="23">#REF!</definedName>
    <definedName name="h" localSheetId="13">#REF!</definedName>
    <definedName name="h" localSheetId="8">#REF!</definedName>
    <definedName name="h" localSheetId="7">#REF!</definedName>
    <definedName name="h">#REF!</definedName>
    <definedName name="Header_Row" localSheetId="23">ROW(#REF!)</definedName>
    <definedName name="Header_Row">ROW(#REF!)</definedName>
    <definedName name="HGL" localSheetId="12">#REF!</definedName>
    <definedName name="HGL" localSheetId="23">#REF!</definedName>
    <definedName name="HGL" localSheetId="13">#REF!</definedName>
    <definedName name="HGL" localSheetId="8">#REF!</definedName>
    <definedName name="HGL" localSheetId="7">#REF!</definedName>
    <definedName name="HGL">#REF!</definedName>
    <definedName name="hh" localSheetId="22">#REF!</definedName>
    <definedName name="hh" localSheetId="3">#REF!</definedName>
    <definedName name="hh" localSheetId="16">#REF!</definedName>
    <definedName name="hh" localSheetId="11">#REF!</definedName>
    <definedName name="hh" localSheetId="15">#REF!</definedName>
    <definedName name="hh" localSheetId="12">#REF!</definedName>
    <definedName name="hh" localSheetId="17">#REF!</definedName>
    <definedName name="hh" localSheetId="23">#REF!</definedName>
    <definedName name="hh" localSheetId="18">#REF!</definedName>
    <definedName name="hh" localSheetId="14">#REF!</definedName>
    <definedName name="hh" localSheetId="13">#REF!</definedName>
    <definedName name="hh" localSheetId="6">#REF!</definedName>
    <definedName name="hh" localSheetId="8">#REF!</definedName>
    <definedName name="hh" localSheetId="9">#REF!</definedName>
    <definedName name="hh" localSheetId="7">#REF!</definedName>
    <definedName name="hh" localSheetId="10">#REF!</definedName>
    <definedName name="hh">#REF!</definedName>
    <definedName name="hha" localSheetId="23">#REF!</definedName>
    <definedName name="hha">#REF!</definedName>
    <definedName name="hia" localSheetId="22">#REF!</definedName>
    <definedName name="hia" localSheetId="4">#REF!</definedName>
    <definedName name="hia" localSheetId="1">#REF!</definedName>
    <definedName name="hia" localSheetId="3">#REF!</definedName>
    <definedName name="hia" localSheetId="16">#REF!</definedName>
    <definedName name="hia" localSheetId="11">#REF!</definedName>
    <definedName name="hia" localSheetId="15">#REF!</definedName>
    <definedName name="hia" localSheetId="2">#REF!</definedName>
    <definedName name="hia" localSheetId="12">#REF!</definedName>
    <definedName name="hia" localSheetId="17">#REF!</definedName>
    <definedName name="hia" localSheetId="23">#REF!</definedName>
    <definedName name="hia" localSheetId="18">#REF!</definedName>
    <definedName name="hia" localSheetId="14">#REF!</definedName>
    <definedName name="hia" localSheetId="13">#REF!</definedName>
    <definedName name="hia" localSheetId="6">#REF!</definedName>
    <definedName name="hia" localSheetId="20">#REF!</definedName>
    <definedName name="hia" localSheetId="8">#REF!</definedName>
    <definedName name="hia" localSheetId="5">#REF!</definedName>
    <definedName name="hia" localSheetId="9">#REF!</definedName>
    <definedName name="hia" localSheetId="7">#REF!</definedName>
    <definedName name="hia" localSheetId="10">#REF!</definedName>
    <definedName name="hia">#REF!</definedName>
    <definedName name="hiuytf" localSheetId="22">#REF!</definedName>
    <definedName name="hiuytf" localSheetId="3">#REF!</definedName>
    <definedName name="hiuytf" localSheetId="16">#REF!</definedName>
    <definedName name="hiuytf" localSheetId="11">#REF!</definedName>
    <definedName name="hiuytf" localSheetId="15">#REF!</definedName>
    <definedName name="hiuytf" localSheetId="12">#REF!</definedName>
    <definedName name="hiuytf" localSheetId="17">#REF!</definedName>
    <definedName name="hiuytf" localSheetId="23">#REF!</definedName>
    <definedName name="hiuytf" localSheetId="18">#REF!</definedName>
    <definedName name="hiuytf" localSheetId="14">#REF!</definedName>
    <definedName name="hiuytf" localSheetId="13">#REF!</definedName>
    <definedName name="hiuytf" localSheetId="6">#REF!</definedName>
    <definedName name="hiuytf" localSheetId="8">#REF!</definedName>
    <definedName name="hiuytf" localSheetId="9">#REF!</definedName>
    <definedName name="hiuytf" localSheetId="7">#REF!</definedName>
    <definedName name="hiuytf" localSheetId="10">#REF!</definedName>
    <definedName name="hiuytf">#REF!</definedName>
    <definedName name="hj" localSheetId="22">[4]Data!#REF!</definedName>
    <definedName name="hj" localSheetId="4">[5]Data!#REF!</definedName>
    <definedName name="hj" localSheetId="3">[5]Data!#REF!</definedName>
    <definedName name="hj" localSheetId="16">[6]Data!#REF!</definedName>
    <definedName name="hj" localSheetId="11">[6]Data!#REF!</definedName>
    <definedName name="hj" localSheetId="15">[6]Data!#REF!</definedName>
    <definedName name="hj" localSheetId="12">[7]Data!#REF!</definedName>
    <definedName name="hj" localSheetId="17">[6]Data!#REF!</definedName>
    <definedName name="hj" localSheetId="23">[7]Data!#REF!</definedName>
    <definedName name="hj" localSheetId="18">[6]Data!#REF!</definedName>
    <definedName name="hj" localSheetId="14">[6]Data!#REF!</definedName>
    <definedName name="hj" localSheetId="13">[7]Data!#REF!</definedName>
    <definedName name="hj" localSheetId="6">[6]Data!#REF!</definedName>
    <definedName name="hj" localSheetId="8">[8]Data!#REF!</definedName>
    <definedName name="hj" localSheetId="5">[5]Data!#REF!</definedName>
    <definedName name="hj" localSheetId="9">[7]Data!#REF!</definedName>
    <definedName name="hj" localSheetId="7">[8]Data!#REF!</definedName>
    <definedName name="hj" localSheetId="10">[6]Data!#REF!</definedName>
    <definedName name="hj">#REF!</definedName>
    <definedName name="HUOPLUEQ" localSheetId="12">#REF!</definedName>
    <definedName name="HUOPLUEQ" localSheetId="23">#REF!</definedName>
    <definedName name="HUOPLUEQ" localSheetId="13">#REF!</definedName>
    <definedName name="HUOPLUEQ" localSheetId="8">#REF!</definedName>
    <definedName name="HUOPLUEQ" localSheetId="7">#REF!</definedName>
    <definedName name="HUOPLUEQ">#REF!</definedName>
    <definedName name="hyu" localSheetId="22">#REF!</definedName>
    <definedName name="hyu" localSheetId="4">#REF!</definedName>
    <definedName name="hyu" localSheetId="3">#REF!</definedName>
    <definedName name="hyu" localSheetId="16">#REF!</definedName>
    <definedName name="hyu" localSheetId="11">#REF!</definedName>
    <definedName name="hyu" localSheetId="15">#REF!</definedName>
    <definedName name="hyu" localSheetId="12">#REF!</definedName>
    <definedName name="hyu" localSheetId="17">#REF!</definedName>
    <definedName name="hyu" localSheetId="23">#REF!</definedName>
    <definedName name="hyu" localSheetId="18">#REF!</definedName>
    <definedName name="hyu" localSheetId="14">#REF!</definedName>
    <definedName name="hyu" localSheetId="13">#REF!</definedName>
    <definedName name="hyu" localSheetId="6">#REF!</definedName>
    <definedName name="hyu" localSheetId="8">#REF!</definedName>
    <definedName name="hyu" localSheetId="9">#REF!</definedName>
    <definedName name="hyu" localSheetId="7">#REF!</definedName>
    <definedName name="hyu" localSheetId="10">#REF!</definedName>
    <definedName name="hyu">#REF!</definedName>
    <definedName name="i" localSheetId="23">#REF!</definedName>
    <definedName name="i">#REF!</definedName>
    <definedName name="ins" localSheetId="22">#REF!</definedName>
    <definedName name="ins" localSheetId="4">#REF!</definedName>
    <definedName name="ins" localSheetId="1">#REF!</definedName>
    <definedName name="ins" localSheetId="3">#REF!</definedName>
    <definedName name="ins" localSheetId="16">#REF!</definedName>
    <definedName name="ins" localSheetId="11">#REF!</definedName>
    <definedName name="ins" localSheetId="15">#REF!</definedName>
    <definedName name="ins" localSheetId="2">#REF!</definedName>
    <definedName name="ins" localSheetId="12">#REF!</definedName>
    <definedName name="ins" localSheetId="17">#REF!</definedName>
    <definedName name="ins" localSheetId="23">#REF!</definedName>
    <definedName name="ins" localSheetId="18">#REF!</definedName>
    <definedName name="ins" localSheetId="14">#REF!</definedName>
    <definedName name="ins" localSheetId="13">#REF!</definedName>
    <definedName name="ins" localSheetId="6">#REF!</definedName>
    <definedName name="ins" localSheetId="20">#REF!</definedName>
    <definedName name="ins" localSheetId="8">#REF!</definedName>
    <definedName name="ins" localSheetId="5">#REF!</definedName>
    <definedName name="ins" localSheetId="9">#REF!</definedName>
    <definedName name="ins" localSheetId="7">#REF!</definedName>
    <definedName name="ins" localSheetId="10">#REF!</definedName>
    <definedName name="ins">#REF!</definedName>
    <definedName name="ins_block" localSheetId="22">#REF!</definedName>
    <definedName name="ins_block" localSheetId="3">#REF!</definedName>
    <definedName name="ins_block" localSheetId="16">#REF!</definedName>
    <definedName name="ins_block" localSheetId="11">#REF!</definedName>
    <definedName name="ins_block" localSheetId="15">#REF!</definedName>
    <definedName name="ins_block" localSheetId="12">#REF!</definedName>
    <definedName name="ins_block" localSheetId="17">#REF!</definedName>
    <definedName name="ins_block" localSheetId="23">#REF!</definedName>
    <definedName name="ins_block" localSheetId="18">#REF!</definedName>
    <definedName name="ins_block" localSheetId="14">#REF!</definedName>
    <definedName name="ins_block" localSheetId="13">#REF!</definedName>
    <definedName name="ins_block" localSheetId="6">#REF!</definedName>
    <definedName name="ins_block" localSheetId="8">#REF!</definedName>
    <definedName name="ins_block" localSheetId="9">#REF!</definedName>
    <definedName name="ins_block" localSheetId="7">#REF!</definedName>
    <definedName name="ins_block" localSheetId="10">#REF!</definedName>
    <definedName name="ins_block">#REF!</definedName>
    <definedName name="ins_fjjhtt" localSheetId="22">#REF!</definedName>
    <definedName name="ins_fjjhtt" localSheetId="3">#REF!</definedName>
    <definedName name="ins_fjjhtt" localSheetId="16">#REF!</definedName>
    <definedName name="ins_fjjhtt" localSheetId="11">#REF!</definedName>
    <definedName name="ins_fjjhtt" localSheetId="15">#REF!</definedName>
    <definedName name="ins_fjjhtt" localSheetId="12">#REF!</definedName>
    <definedName name="ins_fjjhtt" localSheetId="17">#REF!</definedName>
    <definedName name="ins_fjjhtt" localSheetId="23">#REF!</definedName>
    <definedName name="ins_fjjhtt" localSheetId="18">#REF!</definedName>
    <definedName name="ins_fjjhtt" localSheetId="14">#REF!</definedName>
    <definedName name="ins_fjjhtt" localSheetId="13">#REF!</definedName>
    <definedName name="ins_fjjhtt" localSheetId="6">#REF!</definedName>
    <definedName name="ins_fjjhtt" localSheetId="8">#REF!</definedName>
    <definedName name="ins_fjjhtt" localSheetId="9">#REF!</definedName>
    <definedName name="ins_fjjhtt" localSheetId="7">#REF!</definedName>
    <definedName name="ins_fjjhtt" localSheetId="10">#REF!</definedName>
    <definedName name="ins_fjjhtt">#REF!</definedName>
    <definedName name="inss" localSheetId="22">#REF!</definedName>
    <definedName name="inss" localSheetId="3">#REF!</definedName>
    <definedName name="inss" localSheetId="16">#REF!</definedName>
    <definedName name="inss" localSheetId="11">#REF!</definedName>
    <definedName name="inss" localSheetId="15">#REF!</definedName>
    <definedName name="inss" localSheetId="12">#REF!</definedName>
    <definedName name="inss" localSheetId="17">#REF!</definedName>
    <definedName name="inss" localSheetId="23">#REF!</definedName>
    <definedName name="inss" localSheetId="18">#REF!</definedName>
    <definedName name="inss" localSheetId="14">#REF!</definedName>
    <definedName name="inss" localSheetId="13">#REF!</definedName>
    <definedName name="inss" localSheetId="6">#REF!</definedName>
    <definedName name="inss" localSheetId="8">#REF!</definedName>
    <definedName name="inss" localSheetId="9">#REF!</definedName>
    <definedName name="inss" localSheetId="7">#REF!</definedName>
    <definedName name="inss" localSheetId="10">#REF!</definedName>
    <definedName name="inss">#REF!</definedName>
    <definedName name="Int" localSheetId="23">#REF!</definedName>
    <definedName name="Int">#REF!</definedName>
    <definedName name="Interest_Rate" localSheetId="23">#REF!</definedName>
    <definedName name="Interest_Rate">#REF!</definedName>
    <definedName name="Iron_Paint" localSheetId="22">#REF!</definedName>
    <definedName name="Iron_Paint" localSheetId="4">#REF!</definedName>
    <definedName name="Iron_Paint" localSheetId="3">#REF!</definedName>
    <definedName name="Iron_Paint" localSheetId="16">#REF!</definedName>
    <definedName name="Iron_Paint" localSheetId="11">#REF!</definedName>
    <definedName name="Iron_Paint" localSheetId="15">#REF!</definedName>
    <definedName name="Iron_Paint" localSheetId="12">#REF!</definedName>
    <definedName name="Iron_Paint" localSheetId="17">#REF!</definedName>
    <definedName name="Iron_Paint" localSheetId="23">#REF!</definedName>
    <definedName name="Iron_Paint" localSheetId="18">#REF!</definedName>
    <definedName name="Iron_Paint" localSheetId="14">#REF!</definedName>
    <definedName name="Iron_Paint" localSheetId="13">#REF!</definedName>
    <definedName name="Iron_Paint" localSheetId="6">#REF!</definedName>
    <definedName name="Iron_Paint" localSheetId="8">#REF!</definedName>
    <definedName name="Iron_Paint" localSheetId="9">#REF!</definedName>
    <definedName name="Iron_Paint" localSheetId="7">#REF!</definedName>
    <definedName name="Iron_Paint" localSheetId="10">#REF!</definedName>
    <definedName name="Iron_Paint">#REF!</definedName>
    <definedName name="jh" localSheetId="22">#REF!</definedName>
    <definedName name="jh" localSheetId="4">#REF!</definedName>
    <definedName name="jh" localSheetId="3">#REF!</definedName>
    <definedName name="jh" localSheetId="16">#REF!</definedName>
    <definedName name="jh" localSheetId="11">#REF!</definedName>
    <definedName name="jh" localSheetId="15">#REF!</definedName>
    <definedName name="jh" localSheetId="12">#REF!</definedName>
    <definedName name="jh" localSheetId="17">#REF!</definedName>
    <definedName name="jh" localSheetId="23">#REF!</definedName>
    <definedName name="jh" localSheetId="18">#REF!</definedName>
    <definedName name="jh" localSheetId="14">#REF!</definedName>
    <definedName name="jh" localSheetId="13">#REF!</definedName>
    <definedName name="jh" localSheetId="6">#REF!</definedName>
    <definedName name="jh" localSheetId="8">#REF!</definedName>
    <definedName name="jh" localSheetId="9">#REF!</definedName>
    <definedName name="jh" localSheetId="7">#REF!</definedName>
    <definedName name="jh" localSheetId="10">#REF!</definedName>
    <definedName name="jh">#REF!</definedName>
    <definedName name="jj" localSheetId="22">#REF!</definedName>
    <definedName name="jj" localSheetId="4">#REF!</definedName>
    <definedName name="jj" localSheetId="3">#REF!</definedName>
    <definedName name="jj" localSheetId="16">#REF!</definedName>
    <definedName name="jj" localSheetId="11">#REF!</definedName>
    <definedName name="jj" localSheetId="15">#REF!</definedName>
    <definedName name="jj" localSheetId="12">#REF!</definedName>
    <definedName name="jj" localSheetId="17">#REF!</definedName>
    <definedName name="jj" localSheetId="23">#REF!</definedName>
    <definedName name="jj" localSheetId="18">#REF!</definedName>
    <definedName name="jj" localSheetId="14">#REF!</definedName>
    <definedName name="jj" localSheetId="13">#REF!</definedName>
    <definedName name="jj" localSheetId="6">#REF!</definedName>
    <definedName name="jj" localSheetId="8">#REF!</definedName>
    <definedName name="jj" localSheetId="9">#REF!</definedName>
    <definedName name="jj" localSheetId="7">#REF!</definedName>
    <definedName name="jj" localSheetId="10">#REF!</definedName>
    <definedName name="jj">#REF!</definedName>
    <definedName name="jjj" localSheetId="12">#REF!</definedName>
    <definedName name="jjj" localSheetId="23">#REF!</definedName>
    <definedName name="jjj" localSheetId="13">#REF!</definedName>
    <definedName name="jjj" localSheetId="8">#REF!</definedName>
    <definedName name="jjj" localSheetId="7">#REF!</definedName>
    <definedName name="jjj">#REF!</definedName>
    <definedName name="jk" localSheetId="22">#REF!</definedName>
    <definedName name="jk" localSheetId="4">#REF!</definedName>
    <definedName name="jk" localSheetId="3">#REF!</definedName>
    <definedName name="jk" localSheetId="16">#REF!</definedName>
    <definedName name="jk" localSheetId="11">#REF!</definedName>
    <definedName name="jk" localSheetId="15">#REF!</definedName>
    <definedName name="jk" localSheetId="12">#REF!</definedName>
    <definedName name="jk" localSheetId="17">#REF!</definedName>
    <definedName name="jk" localSheetId="23">#REF!</definedName>
    <definedName name="jk" localSheetId="18">#REF!</definedName>
    <definedName name="jk" localSheetId="14">#REF!</definedName>
    <definedName name="jk" localSheetId="13">#REF!</definedName>
    <definedName name="jk" localSheetId="6">#REF!</definedName>
    <definedName name="jk" localSheetId="8">#REF!</definedName>
    <definedName name="jk" localSheetId="9">#REF!</definedName>
    <definedName name="jk" localSheetId="7">#REF!</definedName>
    <definedName name="jk" localSheetId="10">#REF!</definedName>
    <definedName name="jk">#REF!</definedName>
    <definedName name="Junior_Engineer" localSheetId="22">#REF!</definedName>
    <definedName name="Junior_Engineer" localSheetId="4">#REF!</definedName>
    <definedName name="Junior_Engineer" localSheetId="3">#REF!</definedName>
    <definedName name="Junior_Engineer" localSheetId="16">#REF!</definedName>
    <definedName name="Junior_Engineer" localSheetId="11">#REF!</definedName>
    <definedName name="Junior_Engineer" localSheetId="15">#REF!</definedName>
    <definedName name="Junior_Engineer" localSheetId="12">#REF!</definedName>
    <definedName name="Junior_Engineer" localSheetId="17">#REF!</definedName>
    <definedName name="Junior_Engineer" localSheetId="23">#REF!</definedName>
    <definedName name="Junior_Engineer" localSheetId="18">#REF!</definedName>
    <definedName name="Junior_Engineer" localSheetId="14">#REF!</definedName>
    <definedName name="Junior_Engineer" localSheetId="13">#REF!</definedName>
    <definedName name="Junior_Engineer" localSheetId="6">#REF!</definedName>
    <definedName name="Junior_Engineer" localSheetId="8">#REF!</definedName>
    <definedName name="Junior_Engineer" localSheetId="9">#REF!</definedName>
    <definedName name="Junior_Engineer" localSheetId="7">#REF!</definedName>
    <definedName name="Junior_Engineer" localSheetId="10">#REF!</definedName>
    <definedName name="Junior_Engineer">#REF!</definedName>
    <definedName name="k" localSheetId="22">#REF!</definedName>
    <definedName name="k" localSheetId="3">#REF!</definedName>
    <definedName name="k" localSheetId="16">#REF!</definedName>
    <definedName name="k" localSheetId="11">#REF!</definedName>
    <definedName name="k" localSheetId="15">#REF!</definedName>
    <definedName name="k" localSheetId="12">#REF!</definedName>
    <definedName name="k" localSheetId="17">#REF!</definedName>
    <definedName name="k" localSheetId="23">#REF!</definedName>
    <definedName name="k" localSheetId="18">#REF!</definedName>
    <definedName name="k" localSheetId="14">#REF!</definedName>
    <definedName name="k" localSheetId="13">#REF!</definedName>
    <definedName name="k" localSheetId="6">#REF!</definedName>
    <definedName name="k" localSheetId="8">#REF!</definedName>
    <definedName name="k" localSheetId="9">#REF!</definedName>
    <definedName name="k" localSheetId="7">#REF!</definedName>
    <definedName name="k" localSheetId="10">#REF!</definedName>
    <definedName name="k">#REF!</definedName>
    <definedName name="k11.1" localSheetId="22">#REF!</definedName>
    <definedName name="k11.1" localSheetId="4">#REF!</definedName>
    <definedName name="k11.1" localSheetId="3">#REF!</definedName>
    <definedName name="k11.1" localSheetId="16">#REF!</definedName>
    <definedName name="k11.1" localSheetId="11">#REF!</definedName>
    <definedName name="k11.1" localSheetId="15">#REF!</definedName>
    <definedName name="k11.1" localSheetId="12">#REF!</definedName>
    <definedName name="k11.1" localSheetId="17">#REF!</definedName>
    <definedName name="k11.1" localSheetId="23">#REF!</definedName>
    <definedName name="k11.1" localSheetId="18">#REF!</definedName>
    <definedName name="k11.1" localSheetId="14">#REF!</definedName>
    <definedName name="k11.1" localSheetId="13">#REF!</definedName>
    <definedName name="k11.1" localSheetId="6">#REF!</definedName>
    <definedName name="k11.1" localSheetId="8">#REF!</definedName>
    <definedName name="k11.1" localSheetId="9">#REF!</definedName>
    <definedName name="k11.1" localSheetId="7">#REF!</definedName>
    <definedName name="k11.1" localSheetId="10">#REF!</definedName>
    <definedName name="k11.1">#REF!</definedName>
    <definedName name="k1400\" localSheetId="22">#REF!</definedName>
    <definedName name="k1400\" localSheetId="16">#REF!</definedName>
    <definedName name="k1400\" localSheetId="11">#REF!</definedName>
    <definedName name="k1400\" localSheetId="15">#REF!</definedName>
    <definedName name="k1400\" localSheetId="12">#REF!</definedName>
    <definedName name="k1400\" localSheetId="17">#REF!</definedName>
    <definedName name="k1400\" localSheetId="23">#REF!</definedName>
    <definedName name="k1400\" localSheetId="18">#REF!</definedName>
    <definedName name="k1400\" localSheetId="14">#REF!</definedName>
    <definedName name="k1400\" localSheetId="13">#REF!</definedName>
    <definedName name="k1400\" localSheetId="6">#REF!</definedName>
    <definedName name="k1400\" localSheetId="8">#REF!</definedName>
    <definedName name="k1400\" localSheetId="9">#REF!</definedName>
    <definedName name="k1400\" localSheetId="7">#REF!</definedName>
    <definedName name="k1400\" localSheetId="10">#REF!</definedName>
    <definedName name="k1400\">#REF!</definedName>
    <definedName name="k404." localSheetId="22">#REF!</definedName>
    <definedName name="k404." localSheetId="4">#REF!</definedName>
    <definedName name="k404." localSheetId="1">#REF!</definedName>
    <definedName name="k404." localSheetId="3">#REF!</definedName>
    <definedName name="k404." localSheetId="16">#REF!</definedName>
    <definedName name="k404." localSheetId="11">#REF!</definedName>
    <definedName name="k404." localSheetId="15">#REF!</definedName>
    <definedName name="k404." localSheetId="2">#REF!</definedName>
    <definedName name="k404." localSheetId="12">#REF!</definedName>
    <definedName name="k404." localSheetId="17">#REF!</definedName>
    <definedName name="k404." localSheetId="23">#REF!</definedName>
    <definedName name="k404." localSheetId="18">#REF!</definedName>
    <definedName name="k404." localSheetId="14">#REF!</definedName>
    <definedName name="k404." localSheetId="13">#REF!</definedName>
    <definedName name="k404." localSheetId="6">#REF!</definedName>
    <definedName name="k404." localSheetId="20">#REF!</definedName>
    <definedName name="k404." localSheetId="8">#REF!</definedName>
    <definedName name="k404." localSheetId="5">#REF!</definedName>
    <definedName name="k404." localSheetId="9">#REF!</definedName>
    <definedName name="k404." localSheetId="7">#REF!</definedName>
    <definedName name="k404." localSheetId="10">#REF!</definedName>
    <definedName name="k404.">#REF!</definedName>
    <definedName name="kalil" localSheetId="22">#REF!</definedName>
    <definedName name="kalil" localSheetId="4">#REF!</definedName>
    <definedName name="kalil" localSheetId="3">#REF!</definedName>
    <definedName name="kalil" localSheetId="16">#REF!</definedName>
    <definedName name="kalil" localSheetId="11">#REF!</definedName>
    <definedName name="kalil" localSheetId="15">#REF!</definedName>
    <definedName name="kalil" localSheetId="12">#REF!</definedName>
    <definedName name="kalil" localSheetId="17">#REF!</definedName>
    <definedName name="kalil" localSheetId="23">#REF!</definedName>
    <definedName name="kalil" localSheetId="18">#REF!</definedName>
    <definedName name="kalil" localSheetId="14">#REF!</definedName>
    <definedName name="kalil" localSheetId="13">#REF!</definedName>
    <definedName name="kalil" localSheetId="6">#REF!</definedName>
    <definedName name="kalil" localSheetId="8">#REF!</definedName>
    <definedName name="kalil" localSheetId="9">#REF!</definedName>
    <definedName name="kalil" localSheetId="7">#REF!</definedName>
    <definedName name="kalil" localSheetId="10">#REF!</definedName>
    <definedName name="kalil">#REF!</definedName>
    <definedName name="kasper" localSheetId="23">#REF!</definedName>
    <definedName name="kasper">#REF!</definedName>
    <definedName name="kk" localSheetId="22">#REF!</definedName>
    <definedName name="kk" localSheetId="3">#REF!</definedName>
    <definedName name="kk" localSheetId="16">#REF!</definedName>
    <definedName name="kk" localSheetId="11">#REF!</definedName>
    <definedName name="kk" localSheetId="15">#REF!</definedName>
    <definedName name="kk" localSheetId="12">#REF!</definedName>
    <definedName name="kk" localSheetId="17">#REF!</definedName>
    <definedName name="kk" localSheetId="23">#REF!</definedName>
    <definedName name="kk" localSheetId="18">#REF!</definedName>
    <definedName name="kk" localSheetId="14">#REF!</definedName>
    <definedName name="kk" localSheetId="13">#REF!</definedName>
    <definedName name="kk" localSheetId="6">#REF!</definedName>
    <definedName name="kk" localSheetId="8">#REF!</definedName>
    <definedName name="kk" localSheetId="9">#REF!</definedName>
    <definedName name="kk" localSheetId="7">#REF!</definedName>
    <definedName name="kk" localSheetId="10">#REF!</definedName>
    <definedName name="kk">#REF!</definedName>
    <definedName name="klo" localSheetId="22">#REF!</definedName>
    <definedName name="klo" localSheetId="4">#REF!</definedName>
    <definedName name="klo" localSheetId="3">#REF!</definedName>
    <definedName name="klo" localSheetId="16">#REF!</definedName>
    <definedName name="klo" localSheetId="11">#REF!</definedName>
    <definedName name="klo" localSheetId="15">#REF!</definedName>
    <definedName name="klo" localSheetId="12">#REF!</definedName>
    <definedName name="klo" localSheetId="17">#REF!</definedName>
    <definedName name="klo" localSheetId="23">#REF!</definedName>
    <definedName name="klo" localSheetId="18">#REF!</definedName>
    <definedName name="klo" localSheetId="14">#REF!</definedName>
    <definedName name="klo" localSheetId="13">#REF!</definedName>
    <definedName name="klo" localSheetId="6">#REF!</definedName>
    <definedName name="klo" localSheetId="8">#REF!</definedName>
    <definedName name="klo" localSheetId="9">#REF!</definedName>
    <definedName name="klo" localSheetId="7">#REF!</definedName>
    <definedName name="klo" localSheetId="10">#REF!</definedName>
    <definedName name="klo">#REF!</definedName>
    <definedName name="KOTA_STONE" localSheetId="22">#REF!</definedName>
    <definedName name="KOTA_STONE" localSheetId="4">#REF!</definedName>
    <definedName name="KOTA_STONE" localSheetId="3">#REF!</definedName>
    <definedName name="KOTA_STONE" localSheetId="16">#REF!</definedName>
    <definedName name="KOTA_STONE" localSheetId="11">#REF!</definedName>
    <definedName name="KOTA_STONE" localSheetId="15">#REF!</definedName>
    <definedName name="KOTA_STONE" localSheetId="12">#REF!</definedName>
    <definedName name="KOTA_STONE" localSheetId="17">#REF!</definedName>
    <definedName name="KOTA_STONE" localSheetId="23">#REF!</definedName>
    <definedName name="KOTA_STONE" localSheetId="18">#REF!</definedName>
    <definedName name="KOTA_STONE" localSheetId="14">#REF!</definedName>
    <definedName name="KOTA_STONE" localSheetId="13">#REF!</definedName>
    <definedName name="KOTA_STONE" localSheetId="6">#REF!</definedName>
    <definedName name="KOTA_STONE" localSheetId="8">#REF!</definedName>
    <definedName name="KOTA_STONE" localSheetId="9">#REF!</definedName>
    <definedName name="KOTA_STONE" localSheetId="7">#REF!</definedName>
    <definedName name="KOTA_STONE" localSheetId="10">#REF!</definedName>
    <definedName name="KOTA_STONE">#REF!</definedName>
    <definedName name="Labour_Board" localSheetId="22">#REF!</definedName>
    <definedName name="Labour_Board" localSheetId="4">#REF!</definedName>
    <definedName name="Labour_Board" localSheetId="3">#REF!</definedName>
    <definedName name="Labour_Board" localSheetId="16">#REF!</definedName>
    <definedName name="Labour_Board" localSheetId="11">#REF!</definedName>
    <definedName name="Labour_Board" localSheetId="15">#REF!</definedName>
    <definedName name="Labour_Board" localSheetId="12">#REF!</definedName>
    <definedName name="Labour_Board" localSheetId="17">#REF!</definedName>
    <definedName name="Labour_Board" localSheetId="23">#REF!</definedName>
    <definedName name="Labour_Board" localSheetId="18">#REF!</definedName>
    <definedName name="Labour_Board" localSheetId="14">#REF!</definedName>
    <definedName name="Labour_Board" localSheetId="13">#REF!</definedName>
    <definedName name="Labour_Board" localSheetId="6">#REF!</definedName>
    <definedName name="Labour_Board" localSheetId="8">#REF!</definedName>
    <definedName name="Labour_Board" localSheetId="9">#REF!</definedName>
    <definedName name="Labour_Board" localSheetId="7">#REF!</definedName>
    <definedName name="Labour_Board" localSheetId="10">#REF!</definedName>
    <definedName name="Labour_Board">#REF!</definedName>
    <definedName name="Labour_Board_11" localSheetId="22">#REF!</definedName>
    <definedName name="Labour_Board_11" localSheetId="4">#REF!</definedName>
    <definedName name="Labour_Board_11" localSheetId="3">#REF!</definedName>
    <definedName name="Labour_Board_11" localSheetId="16">#REF!</definedName>
    <definedName name="Labour_Board_11" localSheetId="11">#REF!</definedName>
    <definedName name="Labour_Board_11" localSheetId="15">#REF!</definedName>
    <definedName name="Labour_Board_11" localSheetId="12">#REF!</definedName>
    <definedName name="Labour_Board_11" localSheetId="17">#REF!</definedName>
    <definedName name="Labour_Board_11" localSheetId="23">#REF!</definedName>
    <definedName name="Labour_Board_11" localSheetId="18">#REF!</definedName>
    <definedName name="Labour_Board_11" localSheetId="14">#REF!</definedName>
    <definedName name="Labour_Board_11" localSheetId="13">#REF!</definedName>
    <definedName name="Labour_Board_11" localSheetId="6">#REF!</definedName>
    <definedName name="Labour_Board_11" localSheetId="8">#REF!</definedName>
    <definedName name="Labour_Board_11" localSheetId="9">#REF!</definedName>
    <definedName name="Labour_Board_11" localSheetId="7">#REF!</definedName>
    <definedName name="Labour_Board_11" localSheetId="10">#REF!</definedName>
    <definedName name="Labour_Board_11">#REF!</definedName>
    <definedName name="Labour_Board_3" localSheetId="22">#REF!</definedName>
    <definedName name="Labour_Board_3" localSheetId="4">#REF!</definedName>
    <definedName name="Labour_Board_3" localSheetId="3">#REF!</definedName>
    <definedName name="Labour_Board_3" localSheetId="16">#REF!</definedName>
    <definedName name="Labour_Board_3" localSheetId="11">#REF!</definedName>
    <definedName name="Labour_Board_3" localSheetId="15">#REF!</definedName>
    <definedName name="Labour_Board_3" localSheetId="12">#REF!</definedName>
    <definedName name="Labour_Board_3" localSheetId="17">#REF!</definedName>
    <definedName name="Labour_Board_3" localSheetId="23">#REF!</definedName>
    <definedName name="Labour_Board_3" localSheetId="18">#REF!</definedName>
    <definedName name="Labour_Board_3" localSheetId="14">#REF!</definedName>
    <definedName name="Labour_Board_3" localSheetId="13">#REF!</definedName>
    <definedName name="Labour_Board_3" localSheetId="6">#REF!</definedName>
    <definedName name="Labour_Board_3" localSheetId="8">#REF!</definedName>
    <definedName name="Labour_Board_3" localSheetId="9">#REF!</definedName>
    <definedName name="Labour_Board_3" localSheetId="7">#REF!</definedName>
    <definedName name="Labour_Board_3" localSheetId="10">#REF!</definedName>
    <definedName name="Labour_Board_3">#REF!</definedName>
    <definedName name="Labour_Board_6" localSheetId="22">#REF!</definedName>
    <definedName name="Labour_Board_6" localSheetId="4">#REF!</definedName>
    <definedName name="Labour_Board_6" localSheetId="3">#REF!</definedName>
    <definedName name="Labour_Board_6" localSheetId="16">#REF!</definedName>
    <definedName name="Labour_Board_6" localSheetId="11">#REF!</definedName>
    <definedName name="Labour_Board_6" localSheetId="15">#REF!</definedName>
    <definedName name="Labour_Board_6" localSheetId="12">#REF!</definedName>
    <definedName name="Labour_Board_6" localSheetId="17">#REF!</definedName>
    <definedName name="Labour_Board_6" localSheetId="23">#REF!</definedName>
    <definedName name="Labour_Board_6" localSheetId="18">#REF!</definedName>
    <definedName name="Labour_Board_6" localSheetId="14">#REF!</definedName>
    <definedName name="Labour_Board_6" localSheetId="13">#REF!</definedName>
    <definedName name="Labour_Board_6" localSheetId="6">#REF!</definedName>
    <definedName name="Labour_Board_6" localSheetId="8">#REF!</definedName>
    <definedName name="Labour_Board_6" localSheetId="9">#REF!</definedName>
    <definedName name="Labour_Board_6" localSheetId="7">#REF!</definedName>
    <definedName name="Labour_Board_6" localSheetId="10">#REF!</definedName>
    <definedName name="Labour_Board_6">#REF!</definedName>
    <definedName name="Labour_Data" localSheetId="22">#REF!</definedName>
    <definedName name="Labour_Data" localSheetId="4">#REF!</definedName>
    <definedName name="Labour_Data" localSheetId="3">#REF!</definedName>
    <definedName name="Labour_Data" localSheetId="16">#REF!</definedName>
    <definedName name="Labour_Data" localSheetId="11">#REF!</definedName>
    <definedName name="Labour_Data" localSheetId="15">#REF!</definedName>
    <definedName name="Labour_Data" localSheetId="12">#REF!</definedName>
    <definedName name="Labour_Data" localSheetId="17">#REF!</definedName>
    <definedName name="Labour_Data" localSheetId="23">#REF!</definedName>
    <definedName name="Labour_Data" localSheetId="18">#REF!</definedName>
    <definedName name="Labour_Data" localSheetId="14">#REF!</definedName>
    <definedName name="Labour_Data" localSheetId="13">#REF!</definedName>
    <definedName name="Labour_Data" localSheetId="6">#REF!</definedName>
    <definedName name="Labour_Data" localSheetId="8">#REF!</definedName>
    <definedName name="Labour_Data" localSheetId="9">#REF!</definedName>
    <definedName name="Labour_Data" localSheetId="7">#REF!</definedName>
    <definedName name="Labour_Data" localSheetId="10">#REF!</definedName>
    <definedName name="Labour_Data">#REF!</definedName>
    <definedName name="Labour_PWD" localSheetId="22">#REF!</definedName>
    <definedName name="Labour_PWD" localSheetId="4">#REF!</definedName>
    <definedName name="Labour_PWD" localSheetId="3">#REF!</definedName>
    <definedName name="Labour_PWD" localSheetId="16">#REF!</definedName>
    <definedName name="Labour_PWD" localSheetId="11">#REF!</definedName>
    <definedName name="Labour_PWD" localSheetId="15">#REF!</definedName>
    <definedName name="Labour_PWD" localSheetId="12">#REF!</definedName>
    <definedName name="Labour_PWD" localSheetId="17">#REF!</definedName>
    <definedName name="Labour_PWD" localSheetId="23">#REF!</definedName>
    <definedName name="Labour_PWD" localSheetId="18">#REF!</definedName>
    <definedName name="Labour_PWD" localSheetId="14">#REF!</definedName>
    <definedName name="Labour_PWD" localSheetId="13">#REF!</definedName>
    <definedName name="Labour_PWD" localSheetId="6">#REF!</definedName>
    <definedName name="Labour_PWD" localSheetId="8">#REF!</definedName>
    <definedName name="Labour_PWD" localSheetId="9">#REF!</definedName>
    <definedName name="Labour_PWD" localSheetId="7">#REF!</definedName>
    <definedName name="Labour_PWD" localSheetId="10">#REF!</definedName>
    <definedName name="Labour_PWD">#REF!</definedName>
    <definedName name="Labour_PWD_11" localSheetId="22">#REF!</definedName>
    <definedName name="Labour_PWD_11" localSheetId="4">#REF!</definedName>
    <definedName name="Labour_PWD_11" localSheetId="3">#REF!</definedName>
    <definedName name="Labour_PWD_11" localSheetId="16">#REF!</definedName>
    <definedName name="Labour_PWD_11" localSheetId="11">#REF!</definedName>
    <definedName name="Labour_PWD_11" localSheetId="15">#REF!</definedName>
    <definedName name="Labour_PWD_11" localSheetId="12">#REF!</definedName>
    <definedName name="Labour_PWD_11" localSheetId="17">#REF!</definedName>
    <definedName name="Labour_PWD_11" localSheetId="23">#REF!</definedName>
    <definedName name="Labour_PWD_11" localSheetId="18">#REF!</definedName>
    <definedName name="Labour_PWD_11" localSheetId="14">#REF!</definedName>
    <definedName name="Labour_PWD_11" localSheetId="13">#REF!</definedName>
    <definedName name="Labour_PWD_11" localSheetId="6">#REF!</definedName>
    <definedName name="Labour_PWD_11" localSheetId="8">#REF!</definedName>
    <definedName name="Labour_PWD_11" localSheetId="9">#REF!</definedName>
    <definedName name="Labour_PWD_11" localSheetId="7">#REF!</definedName>
    <definedName name="Labour_PWD_11" localSheetId="10">#REF!</definedName>
    <definedName name="Labour_PWD_11">#REF!</definedName>
    <definedName name="Labour_PWD_3" localSheetId="22">#REF!</definedName>
    <definedName name="Labour_PWD_3" localSheetId="4">#REF!</definedName>
    <definedName name="Labour_PWD_3" localSheetId="3">#REF!</definedName>
    <definedName name="Labour_PWD_3" localSheetId="16">#REF!</definedName>
    <definedName name="Labour_PWD_3" localSheetId="11">#REF!</definedName>
    <definedName name="Labour_PWD_3" localSheetId="15">#REF!</definedName>
    <definedName name="Labour_PWD_3" localSheetId="12">#REF!</definedName>
    <definedName name="Labour_PWD_3" localSheetId="17">#REF!</definedName>
    <definedName name="Labour_PWD_3" localSheetId="23">#REF!</definedName>
    <definedName name="Labour_PWD_3" localSheetId="18">#REF!</definedName>
    <definedName name="Labour_PWD_3" localSheetId="14">#REF!</definedName>
    <definedName name="Labour_PWD_3" localSheetId="13">#REF!</definedName>
    <definedName name="Labour_PWD_3" localSheetId="6">#REF!</definedName>
    <definedName name="Labour_PWD_3" localSheetId="8">#REF!</definedName>
    <definedName name="Labour_PWD_3" localSheetId="9">#REF!</definedName>
    <definedName name="Labour_PWD_3" localSheetId="7">#REF!</definedName>
    <definedName name="Labour_PWD_3" localSheetId="10">#REF!</definedName>
    <definedName name="Labour_PWD_3">#REF!</definedName>
    <definedName name="Labour_PWD_6" localSheetId="22">#REF!</definedName>
    <definedName name="Labour_PWD_6" localSheetId="4">#REF!</definedName>
    <definedName name="Labour_PWD_6" localSheetId="3">#REF!</definedName>
    <definedName name="Labour_PWD_6" localSheetId="16">#REF!</definedName>
    <definedName name="Labour_PWD_6" localSheetId="11">#REF!</definedName>
    <definedName name="Labour_PWD_6" localSheetId="15">#REF!</definedName>
    <definedName name="Labour_PWD_6" localSheetId="12">#REF!</definedName>
    <definedName name="Labour_PWD_6" localSheetId="17">#REF!</definedName>
    <definedName name="Labour_PWD_6" localSheetId="23">#REF!</definedName>
    <definedName name="Labour_PWD_6" localSheetId="18">#REF!</definedName>
    <definedName name="Labour_PWD_6" localSheetId="14">#REF!</definedName>
    <definedName name="Labour_PWD_6" localSheetId="13">#REF!</definedName>
    <definedName name="Labour_PWD_6" localSheetId="6">#REF!</definedName>
    <definedName name="Labour_PWD_6" localSheetId="8">#REF!</definedName>
    <definedName name="Labour_PWD_6" localSheetId="9">#REF!</definedName>
    <definedName name="Labour_PWD_6" localSheetId="7">#REF!</definedName>
    <definedName name="Labour_PWD_6" localSheetId="10">#REF!</definedName>
    <definedName name="Labour_PWD_6">#REF!</definedName>
    <definedName name="Labour_Rate" localSheetId="22">#REF!</definedName>
    <definedName name="Labour_Rate" localSheetId="4">#REF!</definedName>
    <definedName name="Labour_Rate" localSheetId="3">#REF!</definedName>
    <definedName name="Labour_Rate" localSheetId="16">#REF!</definedName>
    <definedName name="Labour_Rate" localSheetId="11">#REF!</definedName>
    <definedName name="Labour_Rate" localSheetId="15">#REF!</definedName>
    <definedName name="Labour_Rate" localSheetId="12">#REF!</definedName>
    <definedName name="Labour_Rate" localSheetId="17">#REF!</definedName>
    <definedName name="Labour_Rate" localSheetId="23">#REF!</definedName>
    <definedName name="Labour_Rate" localSheetId="18">#REF!</definedName>
    <definedName name="Labour_Rate" localSheetId="14">#REF!</definedName>
    <definedName name="Labour_Rate" localSheetId="13">#REF!</definedName>
    <definedName name="Labour_Rate" localSheetId="6">#REF!</definedName>
    <definedName name="Labour_Rate" localSheetId="8">#REF!</definedName>
    <definedName name="Labour_Rate" localSheetId="9">#REF!</definedName>
    <definedName name="Labour_Rate" localSheetId="7">#REF!</definedName>
    <definedName name="Labour_Rate" localSheetId="10">#REF!</definedName>
    <definedName name="Labour_Rate">#REF!</definedName>
    <definedName name="Labour_rate_civil" localSheetId="22">#REF!</definedName>
    <definedName name="Labour_rate_civil" localSheetId="4">#REF!</definedName>
    <definedName name="Labour_rate_civil" localSheetId="3">#REF!</definedName>
    <definedName name="Labour_rate_civil" localSheetId="16">#REF!</definedName>
    <definedName name="Labour_rate_civil" localSheetId="11">#REF!</definedName>
    <definedName name="Labour_rate_civil" localSheetId="15">#REF!</definedName>
    <definedName name="Labour_rate_civil" localSheetId="12">#REF!</definedName>
    <definedName name="Labour_rate_civil" localSheetId="17">#REF!</definedName>
    <definedName name="Labour_rate_civil" localSheetId="23">#REF!</definedName>
    <definedName name="Labour_rate_civil" localSheetId="18">#REF!</definedName>
    <definedName name="Labour_rate_civil" localSheetId="14">#REF!</definedName>
    <definedName name="Labour_rate_civil" localSheetId="13">#REF!</definedName>
    <definedName name="Labour_rate_civil" localSheetId="6">#REF!</definedName>
    <definedName name="Labour_rate_civil" localSheetId="8">#REF!</definedName>
    <definedName name="Labour_rate_civil" localSheetId="9">#REF!</definedName>
    <definedName name="Labour_rate_civil" localSheetId="7">#REF!</definedName>
    <definedName name="Labour_rate_civil" localSheetId="10">#REF!</definedName>
    <definedName name="Labour_rate_civil">#REF!</definedName>
    <definedName name="Labour_rate_civil_11" localSheetId="22">#REF!</definedName>
    <definedName name="Labour_rate_civil_11" localSheetId="4">#REF!</definedName>
    <definedName name="Labour_rate_civil_11" localSheetId="3">#REF!</definedName>
    <definedName name="Labour_rate_civil_11" localSheetId="16">#REF!</definedName>
    <definedName name="Labour_rate_civil_11" localSheetId="11">#REF!</definedName>
    <definedName name="Labour_rate_civil_11" localSheetId="15">#REF!</definedName>
    <definedName name="Labour_rate_civil_11" localSheetId="12">#REF!</definedName>
    <definedName name="Labour_rate_civil_11" localSheetId="17">#REF!</definedName>
    <definedName name="Labour_rate_civil_11" localSheetId="23">#REF!</definedName>
    <definedName name="Labour_rate_civil_11" localSheetId="18">#REF!</definedName>
    <definedName name="Labour_rate_civil_11" localSheetId="14">#REF!</definedName>
    <definedName name="Labour_rate_civil_11" localSheetId="13">#REF!</definedName>
    <definedName name="Labour_rate_civil_11" localSheetId="6">#REF!</definedName>
    <definedName name="Labour_rate_civil_11" localSheetId="8">#REF!</definedName>
    <definedName name="Labour_rate_civil_11" localSheetId="9">#REF!</definedName>
    <definedName name="Labour_rate_civil_11" localSheetId="7">#REF!</definedName>
    <definedName name="Labour_rate_civil_11" localSheetId="10">#REF!</definedName>
    <definedName name="Labour_rate_civil_11">#REF!</definedName>
    <definedName name="Labour_rate_civil_3" localSheetId="22">#REF!</definedName>
    <definedName name="Labour_rate_civil_3" localSheetId="4">#REF!</definedName>
    <definedName name="Labour_rate_civil_3" localSheetId="3">#REF!</definedName>
    <definedName name="Labour_rate_civil_3" localSheetId="16">#REF!</definedName>
    <definedName name="Labour_rate_civil_3" localSheetId="11">#REF!</definedName>
    <definedName name="Labour_rate_civil_3" localSheetId="15">#REF!</definedName>
    <definedName name="Labour_rate_civil_3" localSheetId="12">#REF!</definedName>
    <definedName name="Labour_rate_civil_3" localSheetId="17">#REF!</definedName>
    <definedName name="Labour_rate_civil_3" localSheetId="23">#REF!</definedName>
    <definedName name="Labour_rate_civil_3" localSheetId="18">#REF!</definedName>
    <definedName name="Labour_rate_civil_3" localSheetId="14">#REF!</definedName>
    <definedName name="Labour_rate_civil_3" localSheetId="13">#REF!</definedName>
    <definedName name="Labour_rate_civil_3" localSheetId="6">#REF!</definedName>
    <definedName name="Labour_rate_civil_3" localSheetId="8">#REF!</definedName>
    <definedName name="Labour_rate_civil_3" localSheetId="9">#REF!</definedName>
    <definedName name="Labour_rate_civil_3" localSheetId="7">#REF!</definedName>
    <definedName name="Labour_rate_civil_3" localSheetId="10">#REF!</definedName>
    <definedName name="Labour_rate_civil_3">#REF!</definedName>
    <definedName name="Labour_rate_civil_6" localSheetId="22">#REF!</definedName>
    <definedName name="Labour_rate_civil_6" localSheetId="4">#REF!</definedName>
    <definedName name="Labour_rate_civil_6" localSheetId="3">#REF!</definedName>
    <definedName name="Labour_rate_civil_6" localSheetId="16">#REF!</definedName>
    <definedName name="Labour_rate_civil_6" localSheetId="11">#REF!</definedName>
    <definedName name="Labour_rate_civil_6" localSheetId="15">#REF!</definedName>
    <definedName name="Labour_rate_civil_6" localSheetId="12">#REF!</definedName>
    <definedName name="Labour_rate_civil_6" localSheetId="17">#REF!</definedName>
    <definedName name="Labour_rate_civil_6" localSheetId="23">#REF!</definedName>
    <definedName name="Labour_rate_civil_6" localSheetId="18">#REF!</definedName>
    <definedName name="Labour_rate_civil_6" localSheetId="14">#REF!</definedName>
    <definedName name="Labour_rate_civil_6" localSheetId="13">#REF!</definedName>
    <definedName name="Labour_rate_civil_6" localSheetId="6">#REF!</definedName>
    <definedName name="Labour_rate_civil_6" localSheetId="8">#REF!</definedName>
    <definedName name="Labour_rate_civil_6" localSheetId="9">#REF!</definedName>
    <definedName name="Labour_rate_civil_6" localSheetId="7">#REF!</definedName>
    <definedName name="Labour_rate_civil_6" localSheetId="10">#REF!</definedName>
    <definedName name="Labour_rate_civil_6">#REF!</definedName>
    <definedName name="Labour_rate_electrical" localSheetId="22">#REF!</definedName>
    <definedName name="Labour_rate_electrical" localSheetId="4">#REF!</definedName>
    <definedName name="Labour_rate_electrical" localSheetId="3">#REF!</definedName>
    <definedName name="Labour_rate_electrical" localSheetId="16">#REF!</definedName>
    <definedName name="Labour_rate_electrical" localSheetId="11">#REF!</definedName>
    <definedName name="Labour_rate_electrical" localSheetId="15">#REF!</definedName>
    <definedName name="Labour_rate_electrical" localSheetId="12">#REF!</definedName>
    <definedName name="Labour_rate_electrical" localSheetId="17">#REF!</definedName>
    <definedName name="Labour_rate_electrical" localSheetId="23">#REF!</definedName>
    <definedName name="Labour_rate_electrical" localSheetId="18">#REF!</definedName>
    <definedName name="Labour_rate_electrical" localSheetId="14">#REF!</definedName>
    <definedName name="Labour_rate_electrical" localSheetId="13">#REF!</definedName>
    <definedName name="Labour_rate_electrical" localSheetId="6">#REF!</definedName>
    <definedName name="Labour_rate_electrical" localSheetId="8">#REF!</definedName>
    <definedName name="Labour_rate_electrical" localSheetId="9">#REF!</definedName>
    <definedName name="Labour_rate_electrical" localSheetId="7">#REF!</definedName>
    <definedName name="Labour_rate_electrical" localSheetId="10">#REF!</definedName>
    <definedName name="Labour_rate_electrical">#REF!</definedName>
    <definedName name="Labour_rate_electrical_11" localSheetId="22">#REF!</definedName>
    <definedName name="Labour_rate_electrical_11" localSheetId="4">#REF!</definedName>
    <definedName name="Labour_rate_electrical_11" localSheetId="3">#REF!</definedName>
    <definedName name="Labour_rate_electrical_11" localSheetId="16">#REF!</definedName>
    <definedName name="Labour_rate_electrical_11" localSheetId="11">#REF!</definedName>
    <definedName name="Labour_rate_electrical_11" localSheetId="15">#REF!</definedName>
    <definedName name="Labour_rate_electrical_11" localSheetId="12">#REF!</definedName>
    <definedName name="Labour_rate_electrical_11" localSheetId="17">#REF!</definedName>
    <definedName name="Labour_rate_electrical_11" localSheetId="23">#REF!</definedName>
    <definedName name="Labour_rate_electrical_11" localSheetId="18">#REF!</definedName>
    <definedName name="Labour_rate_electrical_11" localSheetId="14">#REF!</definedName>
    <definedName name="Labour_rate_electrical_11" localSheetId="13">#REF!</definedName>
    <definedName name="Labour_rate_electrical_11" localSheetId="6">#REF!</definedName>
    <definedName name="Labour_rate_electrical_11" localSheetId="8">#REF!</definedName>
    <definedName name="Labour_rate_electrical_11" localSheetId="9">#REF!</definedName>
    <definedName name="Labour_rate_electrical_11" localSheetId="7">#REF!</definedName>
    <definedName name="Labour_rate_electrical_11" localSheetId="10">#REF!</definedName>
    <definedName name="Labour_rate_electrical_11">#REF!</definedName>
    <definedName name="Labour_rate_electrical_3" localSheetId="22">#REF!</definedName>
    <definedName name="Labour_rate_electrical_3" localSheetId="4">#REF!</definedName>
    <definedName name="Labour_rate_electrical_3" localSheetId="3">#REF!</definedName>
    <definedName name="Labour_rate_electrical_3" localSheetId="16">#REF!</definedName>
    <definedName name="Labour_rate_electrical_3" localSheetId="11">#REF!</definedName>
    <definedName name="Labour_rate_electrical_3" localSheetId="15">#REF!</definedName>
    <definedName name="Labour_rate_electrical_3" localSheetId="12">#REF!</definedName>
    <definedName name="Labour_rate_electrical_3" localSheetId="17">#REF!</definedName>
    <definedName name="Labour_rate_electrical_3" localSheetId="23">#REF!</definedName>
    <definedName name="Labour_rate_electrical_3" localSheetId="18">#REF!</definedName>
    <definedName name="Labour_rate_electrical_3" localSheetId="14">#REF!</definedName>
    <definedName name="Labour_rate_electrical_3" localSheetId="13">#REF!</definedName>
    <definedName name="Labour_rate_electrical_3" localSheetId="6">#REF!</definedName>
    <definedName name="Labour_rate_electrical_3" localSheetId="8">#REF!</definedName>
    <definedName name="Labour_rate_electrical_3" localSheetId="9">#REF!</definedName>
    <definedName name="Labour_rate_electrical_3" localSheetId="7">#REF!</definedName>
    <definedName name="Labour_rate_electrical_3" localSheetId="10">#REF!</definedName>
    <definedName name="Labour_rate_electrical_3">#REF!</definedName>
    <definedName name="Labour_rate_electrical_6" localSheetId="22">#REF!</definedName>
    <definedName name="Labour_rate_electrical_6" localSheetId="4">#REF!</definedName>
    <definedName name="Labour_rate_electrical_6" localSheetId="3">#REF!</definedName>
    <definedName name="Labour_rate_electrical_6" localSheetId="16">#REF!</definedName>
    <definedName name="Labour_rate_electrical_6" localSheetId="11">#REF!</definedName>
    <definedName name="Labour_rate_electrical_6" localSheetId="15">#REF!</definedName>
    <definedName name="Labour_rate_electrical_6" localSheetId="12">#REF!</definedName>
    <definedName name="Labour_rate_electrical_6" localSheetId="17">#REF!</definedName>
    <definedName name="Labour_rate_electrical_6" localSheetId="23">#REF!</definedName>
    <definedName name="Labour_rate_electrical_6" localSheetId="18">#REF!</definedName>
    <definedName name="Labour_rate_electrical_6" localSheetId="14">#REF!</definedName>
    <definedName name="Labour_rate_electrical_6" localSheetId="13">#REF!</definedName>
    <definedName name="Labour_rate_electrical_6" localSheetId="6">#REF!</definedName>
    <definedName name="Labour_rate_electrical_6" localSheetId="8">#REF!</definedName>
    <definedName name="Labour_rate_electrical_6" localSheetId="9">#REF!</definedName>
    <definedName name="Labour_rate_electrical_6" localSheetId="7">#REF!</definedName>
    <definedName name="Labour_rate_electrical_6" localSheetId="10">#REF!</definedName>
    <definedName name="Labour_rate_electrical_6">#REF!</definedName>
    <definedName name="Labour_rate_road" localSheetId="22">#REF!</definedName>
    <definedName name="Labour_rate_road" localSheetId="4">#REF!</definedName>
    <definedName name="Labour_rate_road" localSheetId="3">#REF!</definedName>
    <definedName name="Labour_rate_road" localSheetId="16">#REF!</definedName>
    <definedName name="Labour_rate_road" localSheetId="11">#REF!</definedName>
    <definedName name="Labour_rate_road" localSheetId="15">#REF!</definedName>
    <definedName name="Labour_rate_road" localSheetId="12">#REF!</definedName>
    <definedName name="Labour_rate_road" localSheetId="17">#REF!</definedName>
    <definedName name="Labour_rate_road" localSheetId="23">#REF!</definedName>
    <definedName name="Labour_rate_road" localSheetId="18">#REF!</definedName>
    <definedName name="Labour_rate_road" localSheetId="14">#REF!</definedName>
    <definedName name="Labour_rate_road" localSheetId="13">#REF!</definedName>
    <definedName name="Labour_rate_road" localSheetId="6">#REF!</definedName>
    <definedName name="Labour_rate_road" localSheetId="8">#REF!</definedName>
    <definedName name="Labour_rate_road" localSheetId="9">#REF!</definedName>
    <definedName name="Labour_rate_road" localSheetId="7">#REF!</definedName>
    <definedName name="Labour_rate_road" localSheetId="10">#REF!</definedName>
    <definedName name="Labour_rate_road">#REF!</definedName>
    <definedName name="Labour_rate_road_11" localSheetId="22">#REF!</definedName>
    <definedName name="Labour_rate_road_11" localSheetId="4">#REF!</definedName>
    <definedName name="Labour_rate_road_11" localSheetId="3">#REF!</definedName>
    <definedName name="Labour_rate_road_11" localSheetId="16">#REF!</definedName>
    <definedName name="Labour_rate_road_11" localSheetId="11">#REF!</definedName>
    <definedName name="Labour_rate_road_11" localSheetId="15">#REF!</definedName>
    <definedName name="Labour_rate_road_11" localSheetId="12">#REF!</definedName>
    <definedName name="Labour_rate_road_11" localSheetId="17">#REF!</definedName>
    <definedName name="Labour_rate_road_11" localSheetId="23">#REF!</definedName>
    <definedName name="Labour_rate_road_11" localSheetId="18">#REF!</definedName>
    <definedName name="Labour_rate_road_11" localSheetId="14">#REF!</definedName>
    <definedName name="Labour_rate_road_11" localSheetId="13">#REF!</definedName>
    <definedName name="Labour_rate_road_11" localSheetId="6">#REF!</definedName>
    <definedName name="Labour_rate_road_11" localSheetId="8">#REF!</definedName>
    <definedName name="Labour_rate_road_11" localSheetId="9">#REF!</definedName>
    <definedName name="Labour_rate_road_11" localSheetId="7">#REF!</definedName>
    <definedName name="Labour_rate_road_11" localSheetId="10">#REF!</definedName>
    <definedName name="Labour_rate_road_11">#REF!</definedName>
    <definedName name="Labour_rate_road_3" localSheetId="22">#REF!</definedName>
    <definedName name="Labour_rate_road_3" localSheetId="4">#REF!</definedName>
    <definedName name="Labour_rate_road_3" localSheetId="3">#REF!</definedName>
    <definedName name="Labour_rate_road_3" localSheetId="16">#REF!</definedName>
    <definedName name="Labour_rate_road_3" localSheetId="11">#REF!</definedName>
    <definedName name="Labour_rate_road_3" localSheetId="15">#REF!</definedName>
    <definedName name="Labour_rate_road_3" localSheetId="12">#REF!</definedName>
    <definedName name="Labour_rate_road_3" localSheetId="17">#REF!</definedName>
    <definedName name="Labour_rate_road_3" localSheetId="23">#REF!</definedName>
    <definedName name="Labour_rate_road_3" localSheetId="18">#REF!</definedName>
    <definedName name="Labour_rate_road_3" localSheetId="14">#REF!</definedName>
    <definedName name="Labour_rate_road_3" localSheetId="13">#REF!</definedName>
    <definedName name="Labour_rate_road_3" localSheetId="6">#REF!</definedName>
    <definedName name="Labour_rate_road_3" localSheetId="8">#REF!</definedName>
    <definedName name="Labour_rate_road_3" localSheetId="9">#REF!</definedName>
    <definedName name="Labour_rate_road_3" localSheetId="7">#REF!</definedName>
    <definedName name="Labour_rate_road_3" localSheetId="10">#REF!</definedName>
    <definedName name="Labour_rate_road_3">#REF!</definedName>
    <definedName name="Labour_rate_road_6" localSheetId="22">#REF!</definedName>
    <definedName name="Labour_rate_road_6" localSheetId="4">#REF!</definedName>
    <definedName name="Labour_rate_road_6" localSheetId="3">#REF!</definedName>
    <definedName name="Labour_rate_road_6" localSheetId="16">#REF!</definedName>
    <definedName name="Labour_rate_road_6" localSheetId="11">#REF!</definedName>
    <definedName name="Labour_rate_road_6" localSheetId="15">#REF!</definedName>
    <definedName name="Labour_rate_road_6" localSheetId="12">#REF!</definedName>
    <definedName name="Labour_rate_road_6" localSheetId="17">#REF!</definedName>
    <definedName name="Labour_rate_road_6" localSheetId="23">#REF!</definedName>
    <definedName name="Labour_rate_road_6" localSheetId="18">#REF!</definedName>
    <definedName name="Labour_rate_road_6" localSheetId="14">#REF!</definedName>
    <definedName name="Labour_rate_road_6" localSheetId="13">#REF!</definedName>
    <definedName name="Labour_rate_road_6" localSheetId="6">#REF!</definedName>
    <definedName name="Labour_rate_road_6" localSheetId="8">#REF!</definedName>
    <definedName name="Labour_rate_road_6" localSheetId="9">#REF!</definedName>
    <definedName name="Labour_rate_road_6" localSheetId="7">#REF!</definedName>
    <definedName name="Labour_rate_road_6" localSheetId="10">#REF!</definedName>
    <definedName name="Labour_rate_road_6">#REF!</definedName>
    <definedName name="Labour_road" localSheetId="22">#REF!</definedName>
    <definedName name="Labour_road" localSheetId="4">#REF!</definedName>
    <definedName name="Labour_road" localSheetId="3">#REF!</definedName>
    <definedName name="Labour_road" localSheetId="16">#REF!</definedName>
    <definedName name="Labour_road" localSheetId="11">#REF!</definedName>
    <definedName name="Labour_road" localSheetId="15">#REF!</definedName>
    <definedName name="Labour_road" localSheetId="12">#REF!</definedName>
    <definedName name="Labour_road" localSheetId="17">#REF!</definedName>
    <definedName name="Labour_road" localSheetId="23">#REF!</definedName>
    <definedName name="Labour_road" localSheetId="18">#REF!</definedName>
    <definedName name="Labour_road" localSheetId="14">#REF!</definedName>
    <definedName name="Labour_road" localSheetId="13">#REF!</definedName>
    <definedName name="Labour_road" localSheetId="6">#REF!</definedName>
    <definedName name="Labour_road" localSheetId="8">#REF!</definedName>
    <definedName name="Labour_road" localSheetId="9">#REF!</definedName>
    <definedName name="Labour_road" localSheetId="7">#REF!</definedName>
    <definedName name="Labour_road" localSheetId="10">#REF!</definedName>
    <definedName name="Labour_road">#REF!</definedName>
    <definedName name="Labour_road_11" localSheetId="22">#REF!</definedName>
    <definedName name="Labour_road_11" localSheetId="4">#REF!</definedName>
    <definedName name="Labour_road_11" localSheetId="3">#REF!</definedName>
    <definedName name="Labour_road_11" localSheetId="16">#REF!</definedName>
    <definedName name="Labour_road_11" localSheetId="11">#REF!</definedName>
    <definedName name="Labour_road_11" localSheetId="15">#REF!</definedName>
    <definedName name="Labour_road_11" localSheetId="12">#REF!</definedName>
    <definedName name="Labour_road_11" localSheetId="17">#REF!</definedName>
    <definedName name="Labour_road_11" localSheetId="23">#REF!</definedName>
    <definedName name="Labour_road_11" localSheetId="18">#REF!</definedName>
    <definedName name="Labour_road_11" localSheetId="14">#REF!</definedName>
    <definedName name="Labour_road_11" localSheetId="13">#REF!</definedName>
    <definedName name="Labour_road_11" localSheetId="6">#REF!</definedName>
    <definedName name="Labour_road_11" localSheetId="8">#REF!</definedName>
    <definedName name="Labour_road_11" localSheetId="9">#REF!</definedName>
    <definedName name="Labour_road_11" localSheetId="7">#REF!</definedName>
    <definedName name="Labour_road_11" localSheetId="10">#REF!</definedName>
    <definedName name="Labour_road_11">#REF!</definedName>
    <definedName name="Labour_road_3" localSheetId="22">#REF!</definedName>
    <definedName name="Labour_road_3" localSheetId="4">#REF!</definedName>
    <definedName name="Labour_road_3" localSheetId="3">#REF!</definedName>
    <definedName name="Labour_road_3" localSheetId="16">#REF!</definedName>
    <definedName name="Labour_road_3" localSheetId="11">#REF!</definedName>
    <definedName name="Labour_road_3" localSheetId="15">#REF!</definedName>
    <definedName name="Labour_road_3" localSheetId="12">#REF!</definedName>
    <definedName name="Labour_road_3" localSheetId="17">#REF!</definedName>
    <definedName name="Labour_road_3" localSheetId="23">#REF!</definedName>
    <definedName name="Labour_road_3" localSheetId="18">#REF!</definedName>
    <definedName name="Labour_road_3" localSheetId="14">#REF!</definedName>
    <definedName name="Labour_road_3" localSheetId="13">#REF!</definedName>
    <definedName name="Labour_road_3" localSheetId="6">#REF!</definedName>
    <definedName name="Labour_road_3" localSheetId="8">#REF!</definedName>
    <definedName name="Labour_road_3" localSheetId="9">#REF!</definedName>
    <definedName name="Labour_road_3" localSheetId="7">#REF!</definedName>
    <definedName name="Labour_road_3" localSheetId="10">#REF!</definedName>
    <definedName name="Labour_road_3">#REF!</definedName>
    <definedName name="Labour_road_6" localSheetId="22">#REF!</definedName>
    <definedName name="Labour_road_6" localSheetId="4">#REF!</definedName>
    <definedName name="Labour_road_6" localSheetId="3">#REF!</definedName>
    <definedName name="Labour_road_6" localSheetId="16">#REF!</definedName>
    <definedName name="Labour_road_6" localSheetId="11">#REF!</definedName>
    <definedName name="Labour_road_6" localSheetId="15">#REF!</definedName>
    <definedName name="Labour_road_6" localSheetId="12">#REF!</definedName>
    <definedName name="Labour_road_6" localSheetId="17">#REF!</definedName>
    <definedName name="Labour_road_6" localSheetId="23">#REF!</definedName>
    <definedName name="Labour_road_6" localSheetId="18">#REF!</definedName>
    <definedName name="Labour_road_6" localSheetId="14">#REF!</definedName>
    <definedName name="Labour_road_6" localSheetId="13">#REF!</definedName>
    <definedName name="Labour_road_6" localSheetId="6">#REF!</definedName>
    <definedName name="Labour_road_6" localSheetId="8">#REF!</definedName>
    <definedName name="Labour_road_6" localSheetId="9">#REF!</definedName>
    <definedName name="Labour_road_6" localSheetId="7">#REF!</definedName>
    <definedName name="Labour_road_6" localSheetId="10">#REF!</definedName>
    <definedName name="Labour_road_6">#REF!</definedName>
    <definedName name="Lac_Polish" localSheetId="22">#REF!</definedName>
    <definedName name="Lac_Polish" localSheetId="4">#REF!</definedName>
    <definedName name="Lac_Polish" localSheetId="3">#REF!</definedName>
    <definedName name="Lac_Polish" localSheetId="16">#REF!</definedName>
    <definedName name="Lac_Polish" localSheetId="11">#REF!</definedName>
    <definedName name="Lac_Polish" localSheetId="15">#REF!</definedName>
    <definedName name="Lac_Polish" localSheetId="12">#REF!</definedName>
    <definedName name="Lac_Polish" localSheetId="17">#REF!</definedName>
    <definedName name="Lac_Polish" localSheetId="23">#REF!</definedName>
    <definedName name="Lac_Polish" localSheetId="18">#REF!</definedName>
    <definedName name="Lac_Polish" localSheetId="14">#REF!</definedName>
    <definedName name="Lac_Polish" localSheetId="13">#REF!</definedName>
    <definedName name="Lac_Polish" localSheetId="6">#REF!</definedName>
    <definedName name="Lac_Polish" localSheetId="8">#REF!</definedName>
    <definedName name="Lac_Polish" localSheetId="9">#REF!</definedName>
    <definedName name="Lac_Polish" localSheetId="7">#REF!</definedName>
    <definedName name="Lac_Polish" localSheetId="10">#REF!</definedName>
    <definedName name="Lac_Polish">#REF!</definedName>
    <definedName name="Last_Row" localSheetId="23">IF(Filling!Values_Entered,Filling!Header_Row+Filling!Number_of_Payments,Filling!Header_Row)</definedName>
    <definedName name="Last_Row">IF([0]!Values_Entered,Header_Row+[0]!Number_of_Payments,Header_Row)</definedName>
    <definedName name="lead" localSheetId="22">#REF!</definedName>
    <definedName name="lead" localSheetId="4">#REF!</definedName>
    <definedName name="lead" localSheetId="3">#REF!</definedName>
    <definedName name="lead" localSheetId="16">#REF!</definedName>
    <definedName name="lead" localSheetId="11">#REF!</definedName>
    <definedName name="lead" localSheetId="15">#REF!</definedName>
    <definedName name="lead" localSheetId="12">#REF!</definedName>
    <definedName name="lead" localSheetId="17">#REF!</definedName>
    <definedName name="lead" localSheetId="23">#REF!</definedName>
    <definedName name="lead" localSheetId="18">#REF!</definedName>
    <definedName name="lead" localSheetId="14">#REF!</definedName>
    <definedName name="lead" localSheetId="13">#REF!</definedName>
    <definedName name="lead" localSheetId="6">#REF!</definedName>
    <definedName name="lead" localSheetId="8">#REF!</definedName>
    <definedName name="lead" localSheetId="9">#REF!</definedName>
    <definedName name="lead" localSheetId="7">#REF!</definedName>
    <definedName name="lead" localSheetId="10">#REF!</definedName>
    <definedName name="lead">#REF!</definedName>
    <definedName name="Lead_statement" localSheetId="22">#REF!</definedName>
    <definedName name="Lead_statement" localSheetId="4">#REF!</definedName>
    <definedName name="Lead_statement" localSheetId="3">#REF!</definedName>
    <definedName name="Lead_statement" localSheetId="16">#REF!</definedName>
    <definedName name="Lead_statement" localSheetId="11">#REF!</definedName>
    <definedName name="Lead_statement" localSheetId="15">#REF!</definedName>
    <definedName name="Lead_statement" localSheetId="12">#REF!</definedName>
    <definedName name="Lead_statement" localSheetId="17">#REF!</definedName>
    <definedName name="Lead_statement" localSheetId="23">#REF!</definedName>
    <definedName name="Lead_statement" localSheetId="18">#REF!</definedName>
    <definedName name="Lead_statement" localSheetId="14">#REF!</definedName>
    <definedName name="Lead_statement" localSheetId="13">#REF!</definedName>
    <definedName name="Lead_statement" localSheetId="6">#REF!</definedName>
    <definedName name="Lead_statement" localSheetId="8">#REF!</definedName>
    <definedName name="Lead_statement" localSheetId="9">#REF!</definedName>
    <definedName name="Lead_statement" localSheetId="7">#REF!</definedName>
    <definedName name="Lead_statement" localSheetId="10">#REF!</definedName>
    <definedName name="Lead_statement">#REF!</definedName>
    <definedName name="Lead_statement_11" localSheetId="22">#REF!</definedName>
    <definedName name="Lead_statement_11" localSheetId="4">#REF!</definedName>
    <definedName name="Lead_statement_11" localSheetId="3">#REF!</definedName>
    <definedName name="Lead_statement_11" localSheetId="16">#REF!</definedName>
    <definedName name="Lead_statement_11" localSheetId="11">#REF!</definedName>
    <definedName name="Lead_statement_11" localSheetId="15">#REF!</definedName>
    <definedName name="Lead_statement_11" localSheetId="12">#REF!</definedName>
    <definedName name="Lead_statement_11" localSheetId="17">#REF!</definedName>
    <definedName name="Lead_statement_11" localSheetId="23">#REF!</definedName>
    <definedName name="Lead_statement_11" localSheetId="18">#REF!</definedName>
    <definedName name="Lead_statement_11" localSheetId="14">#REF!</definedName>
    <definedName name="Lead_statement_11" localSheetId="13">#REF!</definedName>
    <definedName name="Lead_statement_11" localSheetId="6">#REF!</definedName>
    <definedName name="Lead_statement_11" localSheetId="8">#REF!</definedName>
    <definedName name="Lead_statement_11" localSheetId="9">#REF!</definedName>
    <definedName name="Lead_statement_11" localSheetId="7">#REF!</definedName>
    <definedName name="Lead_statement_11" localSheetId="10">#REF!</definedName>
    <definedName name="Lead_statement_11">#REF!</definedName>
    <definedName name="Lead_statement_3" localSheetId="22">#REF!</definedName>
    <definedName name="Lead_statement_3" localSheetId="4">#REF!</definedName>
    <definedName name="Lead_statement_3" localSheetId="3">#REF!</definedName>
    <definedName name="Lead_statement_3" localSheetId="16">#REF!</definedName>
    <definedName name="Lead_statement_3" localSheetId="11">#REF!</definedName>
    <definedName name="Lead_statement_3" localSheetId="15">#REF!</definedName>
    <definedName name="Lead_statement_3" localSheetId="12">#REF!</definedName>
    <definedName name="Lead_statement_3" localSheetId="17">#REF!</definedName>
    <definedName name="Lead_statement_3" localSheetId="23">#REF!</definedName>
    <definedName name="Lead_statement_3" localSheetId="18">#REF!</definedName>
    <definedName name="Lead_statement_3" localSheetId="14">#REF!</definedName>
    <definedName name="Lead_statement_3" localSheetId="13">#REF!</definedName>
    <definedName name="Lead_statement_3" localSheetId="6">#REF!</definedName>
    <definedName name="Lead_statement_3" localSheetId="8">#REF!</definedName>
    <definedName name="Lead_statement_3" localSheetId="9">#REF!</definedName>
    <definedName name="Lead_statement_3" localSheetId="7">#REF!</definedName>
    <definedName name="Lead_statement_3" localSheetId="10">#REF!</definedName>
    <definedName name="Lead_statement_3">#REF!</definedName>
    <definedName name="Lead_statement_6" localSheetId="22">#REF!</definedName>
    <definedName name="Lead_statement_6" localSheetId="4">#REF!</definedName>
    <definedName name="Lead_statement_6" localSheetId="3">#REF!</definedName>
    <definedName name="Lead_statement_6" localSheetId="16">#REF!</definedName>
    <definedName name="Lead_statement_6" localSheetId="11">#REF!</definedName>
    <definedName name="Lead_statement_6" localSheetId="15">#REF!</definedName>
    <definedName name="Lead_statement_6" localSheetId="12">#REF!</definedName>
    <definedName name="Lead_statement_6" localSheetId="17">#REF!</definedName>
    <definedName name="Lead_statement_6" localSheetId="23">#REF!</definedName>
    <definedName name="Lead_statement_6" localSheetId="18">#REF!</definedName>
    <definedName name="Lead_statement_6" localSheetId="14">#REF!</definedName>
    <definedName name="Lead_statement_6" localSheetId="13">#REF!</definedName>
    <definedName name="Lead_statement_6" localSheetId="6">#REF!</definedName>
    <definedName name="Lead_statement_6" localSheetId="8">#REF!</definedName>
    <definedName name="Lead_statement_6" localSheetId="9">#REF!</definedName>
    <definedName name="Lead_statement_6" localSheetId="7">#REF!</definedName>
    <definedName name="Lead_statement_6" localSheetId="10">#REF!</definedName>
    <definedName name="Lead_statement_6">#REF!</definedName>
    <definedName name="llll" localSheetId="22">#REF!</definedName>
    <definedName name="llll" localSheetId="16">#REF!</definedName>
    <definedName name="llll" localSheetId="11">#REF!</definedName>
    <definedName name="llll" localSheetId="15">#REF!</definedName>
    <definedName name="llll" localSheetId="12">#REF!</definedName>
    <definedName name="llll" localSheetId="17">#REF!</definedName>
    <definedName name="llll" localSheetId="23">#REF!</definedName>
    <definedName name="llll" localSheetId="18">#REF!</definedName>
    <definedName name="llll" localSheetId="14">#REF!</definedName>
    <definedName name="llll" localSheetId="13">#REF!</definedName>
    <definedName name="llll" localSheetId="6">#REF!</definedName>
    <definedName name="llll" localSheetId="8">#REF!</definedName>
    <definedName name="llll" localSheetId="9">#REF!</definedName>
    <definedName name="llll" localSheetId="7">#REF!</definedName>
    <definedName name="llll" localSheetId="10">#REF!</definedName>
    <definedName name="llll">#REF!</definedName>
    <definedName name="Loan_Amount" localSheetId="23">#REF!</definedName>
    <definedName name="Loan_Amount">#REF!</definedName>
    <definedName name="Loan_Start" localSheetId="23">#REF!</definedName>
    <definedName name="Loan_Start">#REF!</definedName>
    <definedName name="Loan_Years" localSheetId="23">#REF!</definedName>
    <definedName name="Loan_Years">#REF!</definedName>
    <definedName name="m" localSheetId="22">#REF!</definedName>
    <definedName name="m" localSheetId="3">#REF!</definedName>
    <definedName name="m" localSheetId="16">#REF!</definedName>
    <definedName name="m" localSheetId="11">#REF!</definedName>
    <definedName name="m" localSheetId="15">#REF!</definedName>
    <definedName name="m" localSheetId="12">#REF!</definedName>
    <definedName name="m" localSheetId="17">#REF!</definedName>
    <definedName name="m" localSheetId="23">#REF!</definedName>
    <definedName name="m" localSheetId="18">#REF!</definedName>
    <definedName name="m" localSheetId="14">#REF!</definedName>
    <definedName name="m" localSheetId="13">#REF!</definedName>
    <definedName name="m" localSheetId="6">#REF!</definedName>
    <definedName name="m" localSheetId="8">#REF!</definedName>
    <definedName name="m" localSheetId="9">#REF!</definedName>
    <definedName name="m" localSheetId="7">#REF!</definedName>
    <definedName name="m" localSheetId="10">#REF!</definedName>
    <definedName name="m">#REF!</definedName>
    <definedName name="M.S.Grill" localSheetId="22">#REF!</definedName>
    <definedName name="M.S.Grill" localSheetId="4">#REF!</definedName>
    <definedName name="M.S.Grill" localSheetId="3">#REF!</definedName>
    <definedName name="M.S.Grill" localSheetId="16">#REF!</definedName>
    <definedName name="M.S.Grill" localSheetId="11">#REF!</definedName>
    <definedName name="M.S.Grill" localSheetId="15">#REF!</definedName>
    <definedName name="M.S.Grill" localSheetId="12">#REF!</definedName>
    <definedName name="M.S.Grill" localSheetId="17">#REF!</definedName>
    <definedName name="M.S.Grill" localSheetId="23">#REF!</definedName>
    <definedName name="M.S.Grill" localSheetId="18">#REF!</definedName>
    <definedName name="M.S.Grill" localSheetId="14">#REF!</definedName>
    <definedName name="M.S.Grill" localSheetId="13">#REF!</definedName>
    <definedName name="M.S.Grill" localSheetId="6">#REF!</definedName>
    <definedName name="M.S.Grill" localSheetId="8">#REF!</definedName>
    <definedName name="M.S.Grill" localSheetId="9">#REF!</definedName>
    <definedName name="M.S.Grill" localSheetId="7">#REF!</definedName>
    <definedName name="M.S.Grill" localSheetId="10">#REF!</definedName>
    <definedName name="M.S.Grill">#REF!</definedName>
    <definedName name="mani" localSheetId="22">#REF!</definedName>
    <definedName name="mani" localSheetId="3">#REF!</definedName>
    <definedName name="mani" localSheetId="16">#REF!</definedName>
    <definedName name="mani" localSheetId="11">#REF!</definedName>
    <definedName name="mani" localSheetId="15">#REF!</definedName>
    <definedName name="mani" localSheetId="12">#REF!</definedName>
    <definedName name="mani" localSheetId="17">#REF!</definedName>
    <definedName name="mani" localSheetId="23">#REF!</definedName>
    <definedName name="mani" localSheetId="18">#REF!</definedName>
    <definedName name="mani" localSheetId="14">#REF!</definedName>
    <definedName name="mani" localSheetId="13">#REF!</definedName>
    <definedName name="mani" localSheetId="6">#REF!</definedName>
    <definedName name="mani" localSheetId="8">#REF!</definedName>
    <definedName name="mani" localSheetId="9">#REF!</definedName>
    <definedName name="mani" localSheetId="7">#REF!</definedName>
    <definedName name="mani" localSheetId="10">#REF!</definedName>
    <definedName name="mani">#REF!</definedName>
    <definedName name="Material_Board" localSheetId="22">#REF!</definedName>
    <definedName name="Material_Board" localSheetId="4">#REF!</definedName>
    <definedName name="Material_Board" localSheetId="3">#REF!</definedName>
    <definedName name="Material_Board" localSheetId="16">#REF!</definedName>
    <definedName name="Material_Board" localSheetId="11">#REF!</definedName>
    <definedName name="Material_Board" localSheetId="15">#REF!</definedName>
    <definedName name="Material_Board" localSheetId="12">#REF!</definedName>
    <definedName name="Material_Board" localSheetId="17">#REF!</definedName>
    <definedName name="Material_Board" localSheetId="23">#REF!</definedName>
    <definedName name="Material_Board" localSheetId="18">#REF!</definedName>
    <definedName name="Material_Board" localSheetId="14">#REF!</definedName>
    <definedName name="Material_Board" localSheetId="13">#REF!</definedName>
    <definedName name="Material_Board" localSheetId="6">#REF!</definedName>
    <definedName name="Material_Board" localSheetId="8">#REF!</definedName>
    <definedName name="Material_Board" localSheetId="9">#REF!</definedName>
    <definedName name="Material_Board" localSheetId="7">#REF!</definedName>
    <definedName name="Material_Board" localSheetId="10">#REF!</definedName>
    <definedName name="Material_Board">#REF!</definedName>
    <definedName name="Material_Board_11" localSheetId="22">#REF!</definedName>
    <definedName name="Material_Board_11" localSheetId="4">#REF!</definedName>
    <definedName name="Material_Board_11" localSheetId="3">#REF!</definedName>
    <definedName name="Material_Board_11" localSheetId="16">#REF!</definedName>
    <definedName name="Material_Board_11" localSheetId="11">#REF!</definedName>
    <definedName name="Material_Board_11" localSheetId="15">#REF!</definedName>
    <definedName name="Material_Board_11" localSheetId="12">#REF!</definedName>
    <definedName name="Material_Board_11" localSheetId="17">#REF!</definedName>
    <definedName name="Material_Board_11" localSheetId="23">#REF!</definedName>
    <definedName name="Material_Board_11" localSheetId="18">#REF!</definedName>
    <definedName name="Material_Board_11" localSheetId="14">#REF!</definedName>
    <definedName name="Material_Board_11" localSheetId="13">#REF!</definedName>
    <definedName name="Material_Board_11" localSheetId="6">#REF!</definedName>
    <definedName name="Material_Board_11" localSheetId="8">#REF!</definedName>
    <definedName name="Material_Board_11" localSheetId="9">#REF!</definedName>
    <definedName name="Material_Board_11" localSheetId="7">#REF!</definedName>
    <definedName name="Material_Board_11" localSheetId="10">#REF!</definedName>
    <definedName name="Material_Board_11">#REF!</definedName>
    <definedName name="Material_Board_3" localSheetId="22">#REF!</definedName>
    <definedName name="Material_Board_3" localSheetId="4">#REF!</definedName>
    <definedName name="Material_Board_3" localSheetId="3">#REF!</definedName>
    <definedName name="Material_Board_3" localSheetId="16">#REF!</definedName>
    <definedName name="Material_Board_3" localSheetId="11">#REF!</definedName>
    <definedName name="Material_Board_3" localSheetId="15">#REF!</definedName>
    <definedName name="Material_Board_3" localSheetId="12">#REF!</definedName>
    <definedName name="Material_Board_3" localSheetId="17">#REF!</definedName>
    <definedName name="Material_Board_3" localSheetId="23">#REF!</definedName>
    <definedName name="Material_Board_3" localSheetId="18">#REF!</definedName>
    <definedName name="Material_Board_3" localSheetId="14">#REF!</definedName>
    <definedName name="Material_Board_3" localSheetId="13">#REF!</definedName>
    <definedName name="Material_Board_3" localSheetId="6">#REF!</definedName>
    <definedName name="Material_Board_3" localSheetId="8">#REF!</definedName>
    <definedName name="Material_Board_3" localSheetId="9">#REF!</definedName>
    <definedName name="Material_Board_3" localSheetId="7">#REF!</definedName>
    <definedName name="Material_Board_3" localSheetId="10">#REF!</definedName>
    <definedName name="Material_Board_3">#REF!</definedName>
    <definedName name="Material_Board_6" localSheetId="22">#REF!</definedName>
    <definedName name="Material_Board_6" localSheetId="4">#REF!</definedName>
    <definedName name="Material_Board_6" localSheetId="3">#REF!</definedName>
    <definedName name="Material_Board_6" localSheetId="16">#REF!</definedName>
    <definedName name="Material_Board_6" localSheetId="11">#REF!</definedName>
    <definedName name="Material_Board_6" localSheetId="15">#REF!</definedName>
    <definedName name="Material_Board_6" localSheetId="12">#REF!</definedName>
    <definedName name="Material_Board_6" localSheetId="17">#REF!</definedName>
    <definedName name="Material_Board_6" localSheetId="23">#REF!</definedName>
    <definedName name="Material_Board_6" localSheetId="18">#REF!</definedName>
    <definedName name="Material_Board_6" localSheetId="14">#REF!</definedName>
    <definedName name="Material_Board_6" localSheetId="13">#REF!</definedName>
    <definedName name="Material_Board_6" localSheetId="6">#REF!</definedName>
    <definedName name="Material_Board_6" localSheetId="8">#REF!</definedName>
    <definedName name="Material_Board_6" localSheetId="9">#REF!</definedName>
    <definedName name="Material_Board_6" localSheetId="7">#REF!</definedName>
    <definedName name="Material_Board_6" localSheetId="10">#REF!</definedName>
    <definedName name="Material_Board_6">#REF!</definedName>
    <definedName name="Material_PWD" localSheetId="22">#REF!</definedName>
    <definedName name="Material_PWD" localSheetId="4">#REF!</definedName>
    <definedName name="Material_PWD" localSheetId="3">#REF!</definedName>
    <definedName name="Material_PWD" localSheetId="16">#REF!</definedName>
    <definedName name="Material_PWD" localSheetId="11">#REF!</definedName>
    <definedName name="Material_PWD" localSheetId="15">#REF!</definedName>
    <definedName name="Material_PWD" localSheetId="12">#REF!</definedName>
    <definedName name="Material_PWD" localSheetId="17">#REF!</definedName>
    <definedName name="Material_PWD" localSheetId="23">#REF!</definedName>
    <definedName name="Material_PWD" localSheetId="18">#REF!</definedName>
    <definedName name="Material_PWD" localSheetId="14">#REF!</definedName>
    <definedName name="Material_PWD" localSheetId="13">#REF!</definedName>
    <definedName name="Material_PWD" localSheetId="6">#REF!</definedName>
    <definedName name="Material_PWD" localSheetId="8">#REF!</definedName>
    <definedName name="Material_PWD" localSheetId="9">#REF!</definedName>
    <definedName name="Material_PWD" localSheetId="7">#REF!</definedName>
    <definedName name="Material_PWD" localSheetId="10">#REF!</definedName>
    <definedName name="Material_PWD">#REF!</definedName>
    <definedName name="Material_PWD_11" localSheetId="22">#REF!</definedName>
    <definedName name="Material_PWD_11" localSheetId="4">#REF!</definedName>
    <definedName name="Material_PWD_11" localSheetId="3">#REF!</definedName>
    <definedName name="Material_PWD_11" localSheetId="16">#REF!</definedName>
    <definedName name="Material_PWD_11" localSheetId="11">#REF!</definedName>
    <definedName name="Material_PWD_11" localSheetId="15">#REF!</definedName>
    <definedName name="Material_PWD_11" localSheetId="12">#REF!</definedName>
    <definedName name="Material_PWD_11" localSheetId="17">#REF!</definedName>
    <definedName name="Material_PWD_11" localSheetId="23">#REF!</definedName>
    <definedName name="Material_PWD_11" localSheetId="18">#REF!</definedName>
    <definedName name="Material_PWD_11" localSheetId="14">#REF!</definedName>
    <definedName name="Material_PWD_11" localSheetId="13">#REF!</definedName>
    <definedName name="Material_PWD_11" localSheetId="6">#REF!</definedName>
    <definedName name="Material_PWD_11" localSheetId="8">#REF!</definedName>
    <definedName name="Material_PWD_11" localSheetId="9">#REF!</definedName>
    <definedName name="Material_PWD_11" localSheetId="7">#REF!</definedName>
    <definedName name="Material_PWD_11" localSheetId="10">#REF!</definedName>
    <definedName name="Material_PWD_11">#REF!</definedName>
    <definedName name="Material_PWD_3" localSheetId="22">#REF!</definedName>
    <definedName name="Material_PWD_3" localSheetId="4">#REF!</definedName>
    <definedName name="Material_PWD_3" localSheetId="3">#REF!</definedName>
    <definedName name="Material_PWD_3" localSheetId="16">#REF!</definedName>
    <definedName name="Material_PWD_3" localSheetId="11">#REF!</definedName>
    <definedName name="Material_PWD_3" localSheetId="15">#REF!</definedName>
    <definedName name="Material_PWD_3" localSheetId="12">#REF!</definedName>
    <definedName name="Material_PWD_3" localSheetId="17">#REF!</definedName>
    <definedName name="Material_PWD_3" localSheetId="23">#REF!</definedName>
    <definedName name="Material_PWD_3" localSheetId="18">#REF!</definedName>
    <definedName name="Material_PWD_3" localSheetId="14">#REF!</definedName>
    <definedName name="Material_PWD_3" localSheetId="13">#REF!</definedName>
    <definedName name="Material_PWD_3" localSheetId="6">#REF!</definedName>
    <definedName name="Material_PWD_3" localSheetId="8">#REF!</definedName>
    <definedName name="Material_PWD_3" localSheetId="9">#REF!</definedName>
    <definedName name="Material_PWD_3" localSheetId="7">#REF!</definedName>
    <definedName name="Material_PWD_3" localSheetId="10">#REF!</definedName>
    <definedName name="Material_PWD_3">#REF!</definedName>
    <definedName name="Material_PWD_6" localSheetId="22">#REF!</definedName>
    <definedName name="Material_PWD_6" localSheetId="4">#REF!</definedName>
    <definedName name="Material_PWD_6" localSheetId="3">#REF!</definedName>
    <definedName name="Material_PWD_6" localSheetId="16">#REF!</definedName>
    <definedName name="Material_PWD_6" localSheetId="11">#REF!</definedName>
    <definedName name="Material_PWD_6" localSheetId="15">#REF!</definedName>
    <definedName name="Material_PWD_6" localSheetId="12">#REF!</definedName>
    <definedName name="Material_PWD_6" localSheetId="17">#REF!</definedName>
    <definedName name="Material_PWD_6" localSheetId="23">#REF!</definedName>
    <definedName name="Material_PWD_6" localSheetId="18">#REF!</definedName>
    <definedName name="Material_PWD_6" localSheetId="14">#REF!</definedName>
    <definedName name="Material_PWD_6" localSheetId="13">#REF!</definedName>
    <definedName name="Material_PWD_6" localSheetId="6">#REF!</definedName>
    <definedName name="Material_PWD_6" localSheetId="8">#REF!</definedName>
    <definedName name="Material_PWD_6" localSheetId="9">#REF!</definedName>
    <definedName name="Material_PWD_6" localSheetId="7">#REF!</definedName>
    <definedName name="Material_PWD_6" localSheetId="10">#REF!</definedName>
    <definedName name="Material_PWD_6">#REF!</definedName>
    <definedName name="Material_Rate" localSheetId="22">#REF!</definedName>
    <definedName name="Material_Rate" localSheetId="4">#REF!</definedName>
    <definedName name="Material_Rate" localSheetId="3">#REF!</definedName>
    <definedName name="Material_Rate" localSheetId="16">#REF!</definedName>
    <definedName name="Material_Rate" localSheetId="11">#REF!</definedName>
    <definedName name="Material_Rate" localSheetId="15">#REF!</definedName>
    <definedName name="Material_Rate" localSheetId="12">#REF!</definedName>
    <definedName name="Material_Rate" localSheetId="17">#REF!</definedName>
    <definedName name="Material_Rate" localSheetId="23">#REF!</definedName>
    <definedName name="Material_Rate" localSheetId="18">#REF!</definedName>
    <definedName name="Material_Rate" localSheetId="14">#REF!</definedName>
    <definedName name="Material_Rate" localSheetId="13">#REF!</definedName>
    <definedName name="Material_Rate" localSheetId="6">#REF!</definedName>
    <definedName name="Material_Rate" localSheetId="8">#REF!</definedName>
    <definedName name="Material_Rate" localSheetId="9">#REF!</definedName>
    <definedName name="Material_Rate" localSheetId="7">#REF!</definedName>
    <definedName name="Material_Rate" localSheetId="10">#REF!</definedName>
    <definedName name="Material_Rate">#REF!</definedName>
    <definedName name="Material_road" localSheetId="22">#REF!</definedName>
    <definedName name="Material_road" localSheetId="4">#REF!</definedName>
    <definedName name="Material_road" localSheetId="3">#REF!</definedName>
    <definedName name="Material_road" localSheetId="16">#REF!</definedName>
    <definedName name="Material_road" localSheetId="11">#REF!</definedName>
    <definedName name="Material_road" localSheetId="15">#REF!</definedName>
    <definedName name="Material_road" localSheetId="12">#REF!</definedName>
    <definedName name="Material_road" localSheetId="17">#REF!</definedName>
    <definedName name="Material_road" localSheetId="23">#REF!</definedName>
    <definedName name="Material_road" localSheetId="18">#REF!</definedName>
    <definedName name="Material_road" localSheetId="14">#REF!</definedName>
    <definedName name="Material_road" localSheetId="13">#REF!</definedName>
    <definedName name="Material_road" localSheetId="6">#REF!</definedName>
    <definedName name="Material_road" localSheetId="8">#REF!</definedName>
    <definedName name="Material_road" localSheetId="9">#REF!</definedName>
    <definedName name="Material_road" localSheetId="7">#REF!</definedName>
    <definedName name="Material_road" localSheetId="10">#REF!</definedName>
    <definedName name="Material_road">#REF!</definedName>
    <definedName name="Material_road_11" localSheetId="22">#REF!</definedName>
    <definedName name="Material_road_11" localSheetId="4">#REF!</definedName>
    <definedName name="Material_road_11" localSheetId="3">#REF!</definedName>
    <definedName name="Material_road_11" localSheetId="16">#REF!</definedName>
    <definedName name="Material_road_11" localSheetId="11">#REF!</definedName>
    <definedName name="Material_road_11" localSheetId="15">#REF!</definedName>
    <definedName name="Material_road_11" localSheetId="12">#REF!</definedName>
    <definedName name="Material_road_11" localSheetId="17">#REF!</definedName>
    <definedName name="Material_road_11" localSheetId="23">#REF!</definedName>
    <definedName name="Material_road_11" localSheetId="18">#REF!</definedName>
    <definedName name="Material_road_11" localSheetId="14">#REF!</definedName>
    <definedName name="Material_road_11" localSheetId="13">#REF!</definedName>
    <definedName name="Material_road_11" localSheetId="6">#REF!</definedName>
    <definedName name="Material_road_11" localSheetId="8">#REF!</definedName>
    <definedName name="Material_road_11" localSheetId="9">#REF!</definedName>
    <definedName name="Material_road_11" localSheetId="7">#REF!</definedName>
    <definedName name="Material_road_11" localSheetId="10">#REF!</definedName>
    <definedName name="Material_road_11">#REF!</definedName>
    <definedName name="Material_road_3" localSheetId="22">#REF!</definedName>
    <definedName name="Material_road_3" localSheetId="4">#REF!</definedName>
    <definedName name="Material_road_3" localSheetId="3">#REF!</definedName>
    <definedName name="Material_road_3" localSheetId="16">#REF!</definedName>
    <definedName name="Material_road_3" localSheetId="11">#REF!</definedName>
    <definedName name="Material_road_3" localSheetId="15">#REF!</definedName>
    <definedName name="Material_road_3" localSheetId="12">#REF!</definedName>
    <definedName name="Material_road_3" localSheetId="17">#REF!</definedName>
    <definedName name="Material_road_3" localSheetId="23">#REF!</definedName>
    <definedName name="Material_road_3" localSheetId="18">#REF!</definedName>
    <definedName name="Material_road_3" localSheetId="14">#REF!</definedName>
    <definedName name="Material_road_3" localSheetId="13">#REF!</definedName>
    <definedName name="Material_road_3" localSheetId="6">#REF!</definedName>
    <definedName name="Material_road_3" localSheetId="8">#REF!</definedName>
    <definedName name="Material_road_3" localSheetId="9">#REF!</definedName>
    <definedName name="Material_road_3" localSheetId="7">#REF!</definedName>
    <definedName name="Material_road_3" localSheetId="10">#REF!</definedName>
    <definedName name="Material_road_3">#REF!</definedName>
    <definedName name="Material_road_6" localSheetId="22">#REF!</definedName>
    <definedName name="Material_road_6" localSheetId="4">#REF!</definedName>
    <definedName name="Material_road_6" localSheetId="3">#REF!</definedName>
    <definedName name="Material_road_6" localSheetId="16">#REF!</definedName>
    <definedName name="Material_road_6" localSheetId="11">#REF!</definedName>
    <definedName name="Material_road_6" localSheetId="15">#REF!</definedName>
    <definedName name="Material_road_6" localSheetId="12">#REF!</definedName>
    <definedName name="Material_road_6" localSheetId="17">#REF!</definedName>
    <definedName name="Material_road_6" localSheetId="23">#REF!</definedName>
    <definedName name="Material_road_6" localSheetId="18">#REF!</definedName>
    <definedName name="Material_road_6" localSheetId="14">#REF!</definedName>
    <definedName name="Material_road_6" localSheetId="13">#REF!</definedName>
    <definedName name="Material_road_6" localSheetId="6">#REF!</definedName>
    <definedName name="Material_road_6" localSheetId="8">#REF!</definedName>
    <definedName name="Material_road_6" localSheetId="9">#REF!</definedName>
    <definedName name="Material_road_6" localSheetId="7">#REF!</definedName>
    <definedName name="Material_road_6" localSheetId="10">#REF!</definedName>
    <definedName name="Material_road_6">#REF!</definedName>
    <definedName name="mmm" localSheetId="22">#REF!</definedName>
    <definedName name="mmm" localSheetId="3">#REF!</definedName>
    <definedName name="mmm" localSheetId="16">#REF!</definedName>
    <definedName name="mmm" localSheetId="11">#REF!</definedName>
    <definedName name="mmm" localSheetId="15">#REF!</definedName>
    <definedName name="mmm" localSheetId="12">#REF!</definedName>
    <definedName name="mmm" localSheetId="17">#REF!</definedName>
    <definedName name="mmm" localSheetId="23">#REF!</definedName>
    <definedName name="mmm" localSheetId="18">#REF!</definedName>
    <definedName name="mmm" localSheetId="14">#REF!</definedName>
    <definedName name="mmm" localSheetId="13">#REF!</definedName>
    <definedName name="mmm" localSheetId="6">#REF!</definedName>
    <definedName name="mmm" localSheetId="8">#REF!</definedName>
    <definedName name="mmm" localSheetId="9">#REF!</definedName>
    <definedName name="mmm" localSheetId="7">#REF!</definedName>
    <definedName name="mmm" localSheetId="10">#REF!</definedName>
    <definedName name="mmm">#REF!</definedName>
    <definedName name="mn" localSheetId="22">#REF!</definedName>
    <definedName name="mn" localSheetId="3">#REF!</definedName>
    <definedName name="mn" localSheetId="16">#REF!</definedName>
    <definedName name="mn" localSheetId="11">#REF!</definedName>
    <definedName name="mn" localSheetId="15">#REF!</definedName>
    <definedName name="mn" localSheetId="12">#REF!</definedName>
    <definedName name="mn" localSheetId="17">#REF!</definedName>
    <definedName name="mn" localSheetId="23">#REF!</definedName>
    <definedName name="mn" localSheetId="18">#REF!</definedName>
    <definedName name="mn" localSheetId="14">#REF!</definedName>
    <definedName name="mn" localSheetId="13">#REF!</definedName>
    <definedName name="mn" localSheetId="6">#REF!</definedName>
    <definedName name="mn" localSheetId="8">#REF!</definedName>
    <definedName name="mn" localSheetId="9">#REF!</definedName>
    <definedName name="mn" localSheetId="7">#REF!</definedName>
    <definedName name="mn" localSheetId="10">#REF!</definedName>
    <definedName name="mn">#REF!</definedName>
    <definedName name="MOSIC_INSITU" localSheetId="22">#REF!</definedName>
    <definedName name="MOSIC_INSITU" localSheetId="4">#REF!</definedName>
    <definedName name="MOSIC_INSITU" localSheetId="3">#REF!</definedName>
    <definedName name="MOSIC_INSITU" localSheetId="16">#REF!</definedName>
    <definedName name="MOSIC_INSITU" localSheetId="11">#REF!</definedName>
    <definedName name="MOSIC_INSITU" localSheetId="15">#REF!</definedName>
    <definedName name="MOSIC_INSITU" localSheetId="12">#REF!</definedName>
    <definedName name="MOSIC_INSITU" localSheetId="17">#REF!</definedName>
    <definedName name="MOSIC_INSITU" localSheetId="23">#REF!</definedName>
    <definedName name="MOSIC_INSITU" localSheetId="18">#REF!</definedName>
    <definedName name="MOSIC_INSITU" localSheetId="14">#REF!</definedName>
    <definedName name="MOSIC_INSITU" localSheetId="13">#REF!</definedName>
    <definedName name="MOSIC_INSITU" localSheetId="6">#REF!</definedName>
    <definedName name="MOSIC_INSITU" localSheetId="8">#REF!</definedName>
    <definedName name="MOSIC_INSITU" localSheetId="9">#REF!</definedName>
    <definedName name="MOSIC_INSITU" localSheetId="7">#REF!</definedName>
    <definedName name="MOSIC_INSITU" localSheetId="10">#REF!</definedName>
    <definedName name="MOSIC_INSITU">#REF!</definedName>
    <definedName name="MOSIC_TILES" localSheetId="22">#REF!</definedName>
    <definedName name="MOSIC_TILES" localSheetId="4">#REF!</definedName>
    <definedName name="MOSIC_TILES" localSheetId="3">#REF!</definedName>
    <definedName name="MOSIC_TILES" localSheetId="16">#REF!</definedName>
    <definedName name="MOSIC_TILES" localSheetId="11">#REF!</definedName>
    <definedName name="MOSIC_TILES" localSheetId="15">#REF!</definedName>
    <definedName name="MOSIC_TILES" localSheetId="12">#REF!</definedName>
    <definedName name="MOSIC_TILES" localSheetId="17">#REF!</definedName>
    <definedName name="MOSIC_TILES" localSheetId="23">#REF!</definedName>
    <definedName name="MOSIC_TILES" localSheetId="18">#REF!</definedName>
    <definedName name="MOSIC_TILES" localSheetId="14">#REF!</definedName>
    <definedName name="MOSIC_TILES" localSheetId="13">#REF!</definedName>
    <definedName name="MOSIC_TILES" localSheetId="6">#REF!</definedName>
    <definedName name="MOSIC_TILES" localSheetId="8">#REF!</definedName>
    <definedName name="MOSIC_TILES" localSheetId="9">#REF!</definedName>
    <definedName name="MOSIC_TILES" localSheetId="7">#REF!</definedName>
    <definedName name="MOSIC_TILES" localSheetId="10">#REF!</definedName>
    <definedName name="MOSIC_TILES">#REF!</definedName>
    <definedName name="N" localSheetId="22">#REF!</definedName>
    <definedName name="N" localSheetId="4">#REF!</definedName>
    <definedName name="N" localSheetId="3">#REF!</definedName>
    <definedName name="N" localSheetId="16">#REF!</definedName>
    <definedName name="N" localSheetId="11">#REF!</definedName>
    <definedName name="N" localSheetId="15">#REF!</definedName>
    <definedName name="N" localSheetId="12">#REF!</definedName>
    <definedName name="N" localSheetId="17">#REF!</definedName>
    <definedName name="N" localSheetId="23">#REF!</definedName>
    <definedName name="N" localSheetId="18">#REF!</definedName>
    <definedName name="N" localSheetId="14">#REF!</definedName>
    <definedName name="N" localSheetId="13">#REF!</definedName>
    <definedName name="N" localSheetId="6">#REF!</definedName>
    <definedName name="N" localSheetId="8">#REF!</definedName>
    <definedName name="N" localSheetId="9">#REF!</definedName>
    <definedName name="N" localSheetId="7">#REF!</definedName>
    <definedName name="N" localSheetId="10">#REF!</definedName>
    <definedName name="N">#REF!</definedName>
    <definedName name="Name_Road" localSheetId="22">#REF!,#REF!,#REF!,#REF!,#REF!</definedName>
    <definedName name="Name_Road" localSheetId="4">#REF!,#REF!,#REF!,#REF!,#REF!</definedName>
    <definedName name="Name_Road" localSheetId="3">#REF!,#REF!,#REF!,#REF!,#REF!</definedName>
    <definedName name="Name_Road" localSheetId="16">#REF!,#REF!,#REF!,#REF!,#REF!</definedName>
    <definedName name="Name_Road" localSheetId="11">#REF!,#REF!,#REF!,#REF!,#REF!</definedName>
    <definedName name="Name_Road" localSheetId="15">#REF!,#REF!,#REF!,#REF!,#REF!</definedName>
    <definedName name="Name_Road" localSheetId="12">#REF!,#REF!,#REF!,#REF!,#REF!</definedName>
    <definedName name="Name_Road" localSheetId="17">#REF!,#REF!,#REF!,#REF!,#REF!</definedName>
    <definedName name="Name_Road" localSheetId="23">#REF!,#REF!,#REF!,#REF!,#REF!</definedName>
    <definedName name="Name_Road" localSheetId="18">#REF!,#REF!,#REF!,#REF!,#REF!</definedName>
    <definedName name="Name_Road" localSheetId="14">#REF!,#REF!,#REF!,#REF!,#REF!</definedName>
    <definedName name="Name_Road" localSheetId="13">#REF!,#REF!,#REF!,#REF!,#REF!</definedName>
    <definedName name="Name_Road" localSheetId="6">#REF!,#REF!,#REF!,#REF!,#REF!</definedName>
    <definedName name="Name_Road" localSheetId="8">#REF!,#REF!,#REF!,#REF!,#REF!</definedName>
    <definedName name="Name_Road" localSheetId="9">#REF!,#REF!,#REF!,#REF!,#REF!</definedName>
    <definedName name="Name_Road" localSheetId="7">#REF!,#REF!,#REF!,#REF!,#REF!</definedName>
    <definedName name="Name_Road" localSheetId="10">#REF!,#REF!,#REF!,#REF!,#REF!</definedName>
    <definedName name="Name_Road">#REF!,#REF!,#REF!,#REF!,#REF!</definedName>
    <definedName name="Num_Pmt_Per_Year" localSheetId="23">#REF!</definedName>
    <definedName name="Num_Pmt_Per_Year">#REF!</definedName>
    <definedName name="Number_of_Payments" localSheetId="23">MATCH(0.01,Filling!End_Bal,-1)+1</definedName>
    <definedName name="Number_of_Payments">MATCH(0.01,End_Bal,-1)+1</definedName>
    <definedName name="NW" localSheetId="22">#REF!</definedName>
    <definedName name="NW" localSheetId="3">#REF!</definedName>
    <definedName name="NW" localSheetId="16">#REF!</definedName>
    <definedName name="NW" localSheetId="11">#REF!</definedName>
    <definedName name="NW" localSheetId="15">#REF!</definedName>
    <definedName name="NW" localSheetId="12">#REF!</definedName>
    <definedName name="NW" localSheetId="17">#REF!</definedName>
    <definedName name="NW" localSheetId="23">#REF!</definedName>
    <definedName name="NW" localSheetId="18">#REF!</definedName>
    <definedName name="NW" localSheetId="14">#REF!</definedName>
    <definedName name="NW" localSheetId="13">#REF!</definedName>
    <definedName name="NW" localSheetId="6">#REF!</definedName>
    <definedName name="NW" localSheetId="8">#REF!</definedName>
    <definedName name="NW" localSheetId="9">#REF!</definedName>
    <definedName name="NW" localSheetId="7">#REF!</definedName>
    <definedName name="NW" localSheetId="10">#REF!</definedName>
    <definedName name="NW">#REF!</definedName>
    <definedName name="op" localSheetId="12">#REF!</definedName>
    <definedName name="op" localSheetId="23">#REF!</definedName>
    <definedName name="op" localSheetId="13">#REF!</definedName>
    <definedName name="op" localSheetId="8">#REF!</definedName>
    <definedName name="op" localSheetId="7">#REF!</definedName>
    <definedName name="op">#REF!</definedName>
    <definedName name="opyffdffdfgsdghdgfh" localSheetId="12">#REF!</definedName>
    <definedName name="opyffdffdfgsdghdgfh" localSheetId="23">#REF!</definedName>
    <definedName name="opyffdffdfgsdghdgfh" localSheetId="13">#REF!</definedName>
    <definedName name="opyffdffdfgsdghdgfh" localSheetId="8">#REF!</definedName>
    <definedName name="opyffdffdfgsdghdgfh" localSheetId="7">#REF!</definedName>
    <definedName name="opyffdffdfgsdghdgfh">#REF!</definedName>
    <definedName name="P" localSheetId="22">#REF!</definedName>
    <definedName name="P" localSheetId="4">#REF!</definedName>
    <definedName name="P" localSheetId="3">#REF!</definedName>
    <definedName name="P" localSheetId="16">#REF!</definedName>
    <definedName name="P" localSheetId="11">#REF!</definedName>
    <definedName name="P" localSheetId="15">#REF!</definedName>
    <definedName name="P" localSheetId="12">#REF!</definedName>
    <definedName name="P" localSheetId="17">#REF!</definedName>
    <definedName name="P" localSheetId="23">#REF!</definedName>
    <definedName name="P" localSheetId="18">#REF!</definedName>
    <definedName name="P" localSheetId="14">#REF!</definedName>
    <definedName name="P" localSheetId="13">#REF!</definedName>
    <definedName name="P" localSheetId="6">#REF!</definedName>
    <definedName name="P" localSheetId="8">#REF!</definedName>
    <definedName name="P" localSheetId="9">#REF!</definedName>
    <definedName name="P" localSheetId="7">#REF!</definedName>
    <definedName name="P" localSheetId="10">#REF!</definedName>
    <definedName name="P">#REF!</definedName>
    <definedName name="P.C.C.1.2.4.10MM" localSheetId="22">#REF!</definedName>
    <definedName name="P.C.C.1.2.4.10MM" localSheetId="4">#REF!</definedName>
    <definedName name="P.C.C.1.2.4.10MM" localSheetId="3">#REF!</definedName>
    <definedName name="P.C.C.1.2.4.10MM" localSheetId="16">#REF!</definedName>
    <definedName name="P.C.C.1.2.4.10MM" localSheetId="11">#REF!</definedName>
    <definedName name="P.C.C.1.2.4.10MM" localSheetId="15">#REF!</definedName>
    <definedName name="P.C.C.1.2.4.10MM" localSheetId="12">#REF!</definedName>
    <definedName name="P.C.C.1.2.4.10MM" localSheetId="17">#REF!</definedName>
    <definedName name="P.C.C.1.2.4.10MM" localSheetId="23">#REF!</definedName>
    <definedName name="P.C.C.1.2.4.10MM" localSheetId="18">#REF!</definedName>
    <definedName name="P.C.C.1.2.4.10MM" localSheetId="14">#REF!</definedName>
    <definedName name="P.C.C.1.2.4.10MM" localSheetId="13">#REF!</definedName>
    <definedName name="P.C.C.1.2.4.10MM" localSheetId="6">#REF!</definedName>
    <definedName name="P.C.C.1.2.4.10MM" localSheetId="8">#REF!</definedName>
    <definedName name="P.C.C.1.2.4.10MM" localSheetId="9">#REF!</definedName>
    <definedName name="P.C.C.1.2.4.10MM" localSheetId="7">#REF!</definedName>
    <definedName name="P.C.C.1.2.4.10MM" localSheetId="10">#REF!</definedName>
    <definedName name="P.C.C.1.2.4.10MM">#REF!</definedName>
    <definedName name="P.C.C.1.2.4.H.B" localSheetId="22">#REF!</definedName>
    <definedName name="P.C.C.1.2.4.H.B" localSheetId="4">#REF!</definedName>
    <definedName name="P.C.C.1.2.4.H.B" localSheetId="3">#REF!</definedName>
    <definedName name="P.C.C.1.2.4.H.B" localSheetId="16">#REF!</definedName>
    <definedName name="P.C.C.1.2.4.H.B" localSheetId="11">#REF!</definedName>
    <definedName name="P.C.C.1.2.4.H.B" localSheetId="15">#REF!</definedName>
    <definedName name="P.C.C.1.2.4.H.B" localSheetId="12">#REF!</definedName>
    <definedName name="P.C.C.1.2.4.H.B" localSheetId="17">#REF!</definedName>
    <definedName name="P.C.C.1.2.4.H.B" localSheetId="23">#REF!</definedName>
    <definedName name="P.C.C.1.2.4.H.B" localSheetId="18">#REF!</definedName>
    <definedName name="P.C.C.1.2.4.H.B" localSheetId="14">#REF!</definedName>
    <definedName name="P.C.C.1.2.4.H.B" localSheetId="13">#REF!</definedName>
    <definedName name="P.C.C.1.2.4.H.B" localSheetId="6">#REF!</definedName>
    <definedName name="P.C.C.1.2.4.H.B" localSheetId="8">#REF!</definedName>
    <definedName name="P.C.C.1.2.4.H.B" localSheetId="9">#REF!</definedName>
    <definedName name="P.C.C.1.2.4.H.B" localSheetId="7">#REF!</definedName>
    <definedName name="P.C.C.1.2.4.H.B" localSheetId="10">#REF!</definedName>
    <definedName name="P.C.C.1.2.4.H.B">#REF!</definedName>
    <definedName name="P.C.C.1.2.4.M.B" localSheetId="22">#REF!+#REF!</definedName>
    <definedName name="P.C.C.1.2.4.M.B" localSheetId="4">#REF!+#REF!</definedName>
    <definedName name="P.C.C.1.2.4.M.B" localSheetId="3">#REF!+#REF!</definedName>
    <definedName name="P.C.C.1.2.4.M.B" localSheetId="16">#REF!+#REF!</definedName>
    <definedName name="P.C.C.1.2.4.M.B" localSheetId="11">#REF!+#REF!</definedName>
    <definedName name="P.C.C.1.2.4.M.B" localSheetId="15">#REF!+#REF!</definedName>
    <definedName name="P.C.C.1.2.4.M.B" localSheetId="12">#REF!+#REF!</definedName>
    <definedName name="P.C.C.1.2.4.M.B" localSheetId="17">#REF!+#REF!</definedName>
    <definedName name="P.C.C.1.2.4.M.B" localSheetId="23">#REF!+#REF!</definedName>
    <definedName name="P.C.C.1.2.4.M.B" localSheetId="18">#REF!+#REF!</definedName>
    <definedName name="P.C.C.1.2.4.M.B" localSheetId="14">#REF!+#REF!</definedName>
    <definedName name="P.C.C.1.2.4.M.B" localSheetId="13">#REF!+#REF!</definedName>
    <definedName name="P.C.C.1.2.4.M.B" localSheetId="6">#REF!+#REF!</definedName>
    <definedName name="P.C.C.1.2.4.M.B" localSheetId="8">#REF!+#REF!</definedName>
    <definedName name="P.C.C.1.2.4.M.B" localSheetId="9">#REF!+#REF!</definedName>
    <definedName name="P.C.C.1.2.4.M.B" localSheetId="7">#REF!+#REF!</definedName>
    <definedName name="P.C.C.1.2.4.M.B" localSheetId="10">#REF!+#REF!</definedName>
    <definedName name="P.C.C.1.2.4.M.B">#REF!+#REF!</definedName>
    <definedName name="P.C.C.1.3.6.40MM" localSheetId="22">#REF!</definedName>
    <definedName name="P.C.C.1.3.6.40MM" localSheetId="4">#REF!</definedName>
    <definedName name="P.C.C.1.3.6.40MM" localSheetId="3">#REF!</definedName>
    <definedName name="P.C.C.1.3.6.40MM" localSheetId="16">#REF!</definedName>
    <definedName name="P.C.C.1.3.6.40MM" localSheetId="11">#REF!</definedName>
    <definedName name="P.C.C.1.3.6.40MM" localSheetId="15">#REF!</definedName>
    <definedName name="P.C.C.1.3.6.40MM" localSheetId="12">#REF!</definedName>
    <definedName name="P.C.C.1.3.6.40MM" localSheetId="17">#REF!</definedName>
    <definedName name="P.C.C.1.3.6.40MM" localSheetId="23">#REF!</definedName>
    <definedName name="P.C.C.1.3.6.40MM" localSheetId="18">#REF!</definedName>
    <definedName name="P.C.C.1.3.6.40MM" localSheetId="14">#REF!</definedName>
    <definedName name="P.C.C.1.3.6.40MM" localSheetId="13">#REF!</definedName>
    <definedName name="P.C.C.1.3.6.40MM" localSheetId="6">#REF!</definedName>
    <definedName name="P.C.C.1.3.6.40MM" localSheetId="8">#REF!</definedName>
    <definedName name="P.C.C.1.3.6.40MM" localSheetId="9">#REF!</definedName>
    <definedName name="P.C.C.1.3.6.40MM" localSheetId="7">#REF!</definedName>
    <definedName name="P.C.C.1.3.6.40MM" localSheetId="10">#REF!</definedName>
    <definedName name="P.C.C.1.3.6.40MM">#REF!</definedName>
    <definedName name="P.C.C.1.3.6.H.B" localSheetId="22">#REF!</definedName>
    <definedName name="P.C.C.1.3.6.H.B" localSheetId="4">#REF!</definedName>
    <definedName name="P.C.C.1.3.6.H.B" localSheetId="3">#REF!</definedName>
    <definedName name="P.C.C.1.3.6.H.B" localSheetId="16">#REF!</definedName>
    <definedName name="P.C.C.1.3.6.H.B" localSheetId="11">#REF!</definedName>
    <definedName name="P.C.C.1.3.6.H.B" localSheetId="15">#REF!</definedName>
    <definedName name="P.C.C.1.3.6.H.B" localSheetId="12">#REF!</definedName>
    <definedName name="P.C.C.1.3.6.H.B" localSheetId="17">#REF!</definedName>
    <definedName name="P.C.C.1.3.6.H.B" localSheetId="23">#REF!</definedName>
    <definedName name="P.C.C.1.3.6.H.B" localSheetId="18">#REF!</definedName>
    <definedName name="P.C.C.1.3.6.H.B" localSheetId="14">#REF!</definedName>
    <definedName name="P.C.C.1.3.6.H.B" localSheetId="13">#REF!</definedName>
    <definedName name="P.C.C.1.3.6.H.B" localSheetId="6">#REF!</definedName>
    <definedName name="P.C.C.1.3.6.H.B" localSheetId="8">#REF!</definedName>
    <definedName name="P.C.C.1.3.6.H.B" localSheetId="9">#REF!</definedName>
    <definedName name="P.C.C.1.3.6.H.B" localSheetId="7">#REF!</definedName>
    <definedName name="P.C.C.1.3.6.H.B" localSheetId="10">#REF!</definedName>
    <definedName name="P.C.C.1.3.6.H.B">#REF!</definedName>
    <definedName name="P.C.C.1.4.8" localSheetId="22">#REF!</definedName>
    <definedName name="P.C.C.1.4.8" localSheetId="4">#REF!</definedName>
    <definedName name="P.C.C.1.4.8" localSheetId="3">#REF!</definedName>
    <definedName name="P.C.C.1.4.8" localSheetId="16">#REF!</definedName>
    <definedName name="P.C.C.1.4.8" localSheetId="11">#REF!</definedName>
    <definedName name="P.C.C.1.4.8" localSheetId="15">#REF!</definedName>
    <definedName name="P.C.C.1.4.8" localSheetId="12">#REF!</definedName>
    <definedName name="P.C.C.1.4.8" localSheetId="17">#REF!</definedName>
    <definedName name="P.C.C.1.4.8" localSheetId="23">#REF!</definedName>
    <definedName name="P.C.C.1.4.8" localSheetId="18">#REF!</definedName>
    <definedName name="P.C.C.1.4.8" localSheetId="14">#REF!</definedName>
    <definedName name="P.C.C.1.4.8" localSheetId="13">#REF!</definedName>
    <definedName name="P.C.C.1.4.8" localSheetId="6">#REF!</definedName>
    <definedName name="P.C.C.1.4.8" localSheetId="8">#REF!</definedName>
    <definedName name="P.C.C.1.4.8" localSheetId="9">#REF!</definedName>
    <definedName name="P.C.C.1.4.8" localSheetId="7">#REF!</definedName>
    <definedName name="P.C.C.1.4.8" localSheetId="10">#REF!</definedName>
    <definedName name="P.C.C.1.4.8">#REF!</definedName>
    <definedName name="P.C.C.1.5.10" localSheetId="22">#REF!</definedName>
    <definedName name="P.C.C.1.5.10" localSheetId="4">#REF!</definedName>
    <definedName name="P.C.C.1.5.10" localSheetId="3">#REF!</definedName>
    <definedName name="P.C.C.1.5.10" localSheetId="16">#REF!</definedName>
    <definedName name="P.C.C.1.5.10" localSheetId="11">#REF!</definedName>
    <definedName name="P.C.C.1.5.10" localSheetId="15">#REF!</definedName>
    <definedName name="P.C.C.1.5.10" localSheetId="12">#REF!</definedName>
    <definedName name="P.C.C.1.5.10" localSheetId="17">#REF!</definedName>
    <definedName name="P.C.C.1.5.10" localSheetId="23">#REF!</definedName>
    <definedName name="P.C.C.1.5.10" localSheetId="18">#REF!</definedName>
    <definedName name="P.C.C.1.5.10" localSheetId="14">#REF!</definedName>
    <definedName name="P.C.C.1.5.10" localSheetId="13">#REF!</definedName>
    <definedName name="P.C.C.1.5.10" localSheetId="6">#REF!</definedName>
    <definedName name="P.C.C.1.5.10" localSheetId="8">#REF!</definedName>
    <definedName name="P.C.C.1.5.10" localSheetId="9">#REF!</definedName>
    <definedName name="P.C.C.1.5.10" localSheetId="7">#REF!</definedName>
    <definedName name="P.C.C.1.5.10" localSheetId="10">#REF!</definedName>
    <definedName name="P.C.C.1.5.10">#REF!</definedName>
    <definedName name="P.C.C.1.8.16HB" localSheetId="22">#REF!</definedName>
    <definedName name="P.C.C.1.8.16HB" localSheetId="4">#REF!</definedName>
    <definedName name="P.C.C.1.8.16HB" localSheetId="3">#REF!</definedName>
    <definedName name="P.C.C.1.8.16HB" localSheetId="16">#REF!</definedName>
    <definedName name="P.C.C.1.8.16HB" localSheetId="11">#REF!</definedName>
    <definedName name="P.C.C.1.8.16HB" localSheetId="15">#REF!</definedName>
    <definedName name="P.C.C.1.8.16HB" localSheetId="12">#REF!</definedName>
    <definedName name="P.C.C.1.8.16HB" localSheetId="17">#REF!</definedName>
    <definedName name="P.C.C.1.8.16HB" localSheetId="23">#REF!</definedName>
    <definedName name="P.C.C.1.8.16HB" localSheetId="18">#REF!</definedName>
    <definedName name="P.C.C.1.8.16HB" localSheetId="14">#REF!</definedName>
    <definedName name="P.C.C.1.8.16HB" localSheetId="13">#REF!</definedName>
    <definedName name="P.C.C.1.8.16HB" localSheetId="6">#REF!</definedName>
    <definedName name="P.C.C.1.8.16HB" localSheetId="8">#REF!</definedName>
    <definedName name="P.C.C.1.8.16HB" localSheetId="9">#REF!</definedName>
    <definedName name="P.C.C.1.8.16HB" localSheetId="7">#REF!</definedName>
    <definedName name="P.C.C.1.8.16HB" localSheetId="10">#REF!</definedName>
    <definedName name="P.C.C.1.8.16HB">#REF!</definedName>
    <definedName name="P.C.C1.3.6.MB" localSheetId="22">#REF!</definedName>
    <definedName name="P.C.C1.3.6.MB" localSheetId="4">#REF!</definedName>
    <definedName name="P.C.C1.3.6.MB" localSheetId="3">#REF!</definedName>
    <definedName name="P.C.C1.3.6.MB" localSheetId="16">#REF!</definedName>
    <definedName name="P.C.C1.3.6.MB" localSheetId="11">#REF!</definedName>
    <definedName name="P.C.C1.3.6.MB" localSheetId="15">#REF!</definedName>
    <definedName name="P.C.C1.3.6.MB" localSheetId="12">#REF!</definedName>
    <definedName name="P.C.C1.3.6.MB" localSheetId="17">#REF!</definedName>
    <definedName name="P.C.C1.3.6.MB" localSheetId="23">#REF!</definedName>
    <definedName name="P.C.C1.3.6.MB" localSheetId="18">#REF!</definedName>
    <definedName name="P.C.C1.3.6.MB" localSheetId="14">#REF!</definedName>
    <definedName name="P.C.C1.3.6.MB" localSheetId="13">#REF!</definedName>
    <definedName name="P.C.C1.3.6.MB" localSheetId="6">#REF!</definedName>
    <definedName name="P.C.C1.3.6.MB" localSheetId="8">#REF!</definedName>
    <definedName name="P.C.C1.3.6.MB" localSheetId="9">#REF!</definedName>
    <definedName name="P.C.C1.3.6.MB" localSheetId="7">#REF!</definedName>
    <definedName name="P.C.C1.3.6.MB" localSheetId="10">#REF!</definedName>
    <definedName name="P.C.C1.3.6.MB">#REF!</definedName>
    <definedName name="P.C.C1.3.6mb" localSheetId="22">#REF!</definedName>
    <definedName name="P.C.C1.3.6mb" localSheetId="4">#REF!</definedName>
    <definedName name="P.C.C1.3.6mb" localSheetId="3">#REF!</definedName>
    <definedName name="P.C.C1.3.6mb" localSheetId="16">#REF!</definedName>
    <definedName name="P.C.C1.3.6mb" localSheetId="11">#REF!</definedName>
    <definedName name="P.C.C1.3.6mb" localSheetId="15">#REF!</definedName>
    <definedName name="P.C.C1.3.6mb" localSheetId="12">#REF!</definedName>
    <definedName name="P.C.C1.3.6mb" localSheetId="17">#REF!</definedName>
    <definedName name="P.C.C1.3.6mb" localSheetId="23">#REF!</definedName>
    <definedName name="P.C.C1.3.6mb" localSheetId="18">#REF!</definedName>
    <definedName name="P.C.C1.3.6mb" localSheetId="14">#REF!</definedName>
    <definedName name="P.C.C1.3.6mb" localSheetId="13">#REF!</definedName>
    <definedName name="P.C.C1.3.6mb" localSheetId="6">#REF!</definedName>
    <definedName name="P.C.C1.3.6mb" localSheetId="8">#REF!</definedName>
    <definedName name="P.C.C1.3.6mb" localSheetId="9">#REF!</definedName>
    <definedName name="P.C.C1.3.6mb" localSheetId="7">#REF!</definedName>
    <definedName name="P.C.C1.3.6mb" localSheetId="10">#REF!</definedName>
    <definedName name="P.C.C1.3.6mb">#REF!</definedName>
    <definedName name="P.C.C1.8.16_MB" localSheetId="22">#REF!</definedName>
    <definedName name="P.C.C1.8.16_MB" localSheetId="4">#REF!</definedName>
    <definedName name="P.C.C1.8.16_MB" localSheetId="3">#REF!</definedName>
    <definedName name="P.C.C1.8.16_MB" localSheetId="16">#REF!</definedName>
    <definedName name="P.C.C1.8.16_MB" localSheetId="11">#REF!</definedName>
    <definedName name="P.C.C1.8.16_MB" localSheetId="15">#REF!</definedName>
    <definedName name="P.C.C1.8.16_MB" localSheetId="12">#REF!</definedName>
    <definedName name="P.C.C1.8.16_MB" localSheetId="17">#REF!</definedName>
    <definedName name="P.C.C1.8.16_MB" localSheetId="23">#REF!</definedName>
    <definedName name="P.C.C1.8.16_MB" localSheetId="18">#REF!</definedName>
    <definedName name="P.C.C1.8.16_MB" localSheetId="14">#REF!</definedName>
    <definedName name="P.C.C1.8.16_MB" localSheetId="13">#REF!</definedName>
    <definedName name="P.C.C1.8.16_MB" localSheetId="6">#REF!</definedName>
    <definedName name="P.C.C1.8.16_MB" localSheetId="8">#REF!</definedName>
    <definedName name="P.C.C1.8.16_MB" localSheetId="9">#REF!</definedName>
    <definedName name="P.C.C1.8.16_MB" localSheetId="7">#REF!</definedName>
    <definedName name="P.C.C1.8.16_MB" localSheetId="10">#REF!</definedName>
    <definedName name="P.C.C1.8.16_MB">#REF!</definedName>
    <definedName name="pa" localSheetId="22">#REF!</definedName>
    <definedName name="pa" localSheetId="4">#REF!</definedName>
    <definedName name="pa" localSheetId="3">#REF!</definedName>
    <definedName name="pa" localSheetId="16">#REF!</definedName>
    <definedName name="pa" localSheetId="11">#REF!</definedName>
    <definedName name="pa" localSheetId="15">#REF!</definedName>
    <definedName name="pa" localSheetId="12">#REF!</definedName>
    <definedName name="pa" localSheetId="17">#REF!</definedName>
    <definedName name="pa" localSheetId="23">#REF!</definedName>
    <definedName name="pa" localSheetId="18">#REF!</definedName>
    <definedName name="pa" localSheetId="14">#REF!</definedName>
    <definedName name="pa" localSheetId="13">#REF!</definedName>
    <definedName name="pa" localSheetId="6">#REF!</definedName>
    <definedName name="pa" localSheetId="8">#REF!</definedName>
    <definedName name="pa" localSheetId="9">#REF!</definedName>
    <definedName name="pa" localSheetId="7">#REF!</definedName>
    <definedName name="pa" localSheetId="10">#REF!</definedName>
    <definedName name="pa">#REF!</definedName>
    <definedName name="Paint">[1]Spec!$B$24</definedName>
    <definedName name="Pay_Date" localSheetId="23">#REF!</definedName>
    <definedName name="Pay_Date">#REF!</definedName>
    <definedName name="Pay_Num" localSheetId="23">#REF!</definedName>
    <definedName name="Pay_Num">#REF!</definedName>
    <definedName name="payment" localSheetId="23">#REF!</definedName>
    <definedName name="payment">#REF!</definedName>
    <definedName name="Payment_Date" localSheetId="23">DATE(YEAR(Filling!Loan_Start),MONTH(Filling!Loan_Start)+Payment_Number,DAY(Filling!Loan_Start))</definedName>
    <definedName name="Payment_Date">DATE(YEAR(Loan_Start),MONTH(Loan_Start)+Payment_Number,DAY(Loan_Start))</definedName>
    <definedName name="pc" localSheetId="22">#REF!</definedName>
    <definedName name="pc" localSheetId="4">#REF!</definedName>
    <definedName name="pc" localSheetId="1">#REF!</definedName>
    <definedName name="pc" localSheetId="3">#REF!</definedName>
    <definedName name="pc" localSheetId="16">#REF!</definedName>
    <definedName name="pc" localSheetId="11">#REF!</definedName>
    <definedName name="pc" localSheetId="15">#REF!</definedName>
    <definedName name="pc" localSheetId="2">#REF!</definedName>
    <definedName name="pc" localSheetId="12">#REF!</definedName>
    <definedName name="pc" localSheetId="17">#REF!</definedName>
    <definedName name="pc" localSheetId="23">#REF!</definedName>
    <definedName name="pc" localSheetId="18">#REF!</definedName>
    <definedName name="pc" localSheetId="14">#REF!</definedName>
    <definedName name="pc" localSheetId="13">#REF!</definedName>
    <definedName name="pc" localSheetId="6">#REF!</definedName>
    <definedName name="pc" localSheetId="20">#REF!</definedName>
    <definedName name="pc" localSheetId="8">#REF!</definedName>
    <definedName name="pc" localSheetId="5">#REF!</definedName>
    <definedName name="pc" localSheetId="9">#REF!</definedName>
    <definedName name="pc" localSheetId="7">#REF!</definedName>
    <definedName name="pc" localSheetId="10">#REF!</definedName>
    <definedName name="pc">#REF!</definedName>
    <definedName name="pc_hchhh" localSheetId="22">#REF!</definedName>
    <definedName name="pc_hchhh" localSheetId="3">#REF!</definedName>
    <definedName name="pc_hchhh" localSheetId="16">#REF!</definedName>
    <definedName name="pc_hchhh" localSheetId="11">#REF!</definedName>
    <definedName name="pc_hchhh" localSheetId="15">#REF!</definedName>
    <definedName name="pc_hchhh" localSheetId="12">#REF!</definedName>
    <definedName name="pc_hchhh" localSheetId="17">#REF!</definedName>
    <definedName name="pc_hchhh" localSheetId="23">#REF!</definedName>
    <definedName name="pc_hchhh" localSheetId="18">#REF!</definedName>
    <definedName name="pc_hchhh" localSheetId="14">#REF!</definedName>
    <definedName name="pc_hchhh" localSheetId="13">#REF!</definedName>
    <definedName name="pc_hchhh" localSheetId="6">#REF!</definedName>
    <definedName name="pc_hchhh" localSheetId="8">#REF!</definedName>
    <definedName name="pc_hchhh" localSheetId="9">#REF!</definedName>
    <definedName name="pc_hchhh" localSheetId="7">#REF!</definedName>
    <definedName name="pc_hchhh" localSheetId="10">#REF!</definedName>
    <definedName name="pc_hchhh">#REF!</definedName>
    <definedName name="PC_Name" localSheetId="22">#REF!</definedName>
    <definedName name="PC_Name" localSheetId="4">#REF!</definedName>
    <definedName name="PC_Name" localSheetId="3">#REF!</definedName>
    <definedName name="PC_Name" localSheetId="16">#REF!</definedName>
    <definedName name="PC_Name" localSheetId="11">#REF!</definedName>
    <definedName name="PC_Name" localSheetId="15">#REF!</definedName>
    <definedName name="PC_Name" localSheetId="12">#REF!</definedName>
    <definedName name="PC_Name" localSheetId="17">#REF!</definedName>
    <definedName name="PC_Name" localSheetId="23">#REF!</definedName>
    <definedName name="PC_Name" localSheetId="18">#REF!</definedName>
    <definedName name="PC_Name" localSheetId="14">#REF!</definedName>
    <definedName name="PC_Name" localSheetId="13">#REF!</definedName>
    <definedName name="PC_Name" localSheetId="6">#REF!</definedName>
    <definedName name="PC_Name" localSheetId="8">#REF!</definedName>
    <definedName name="PC_Name" localSheetId="9">#REF!</definedName>
    <definedName name="PC_Name" localSheetId="7">#REF!</definedName>
    <definedName name="PC_Name" localSheetId="10">#REF!</definedName>
    <definedName name="PC_Name">#REF!</definedName>
    <definedName name="PC_Road_Name" localSheetId="22">#REF!</definedName>
    <definedName name="PC_Road_Name" localSheetId="4">#REF!</definedName>
    <definedName name="PC_Road_Name" localSheetId="3">#REF!</definedName>
    <definedName name="PC_Road_Name" localSheetId="16">#REF!</definedName>
    <definedName name="PC_Road_Name" localSheetId="11">#REF!</definedName>
    <definedName name="PC_Road_Name" localSheetId="15">#REF!</definedName>
    <definedName name="PC_Road_Name" localSheetId="12">#REF!</definedName>
    <definedName name="PC_Road_Name" localSheetId="17">#REF!</definedName>
    <definedName name="PC_Road_Name" localSheetId="23">#REF!</definedName>
    <definedName name="PC_Road_Name" localSheetId="18">#REF!</definedName>
    <definedName name="PC_Road_Name" localSheetId="14">#REF!</definedName>
    <definedName name="PC_Road_Name" localSheetId="13">#REF!</definedName>
    <definedName name="PC_Road_Name" localSheetId="6">#REF!</definedName>
    <definedName name="PC_Road_Name" localSheetId="8">#REF!</definedName>
    <definedName name="PC_Road_Name" localSheetId="9">#REF!</definedName>
    <definedName name="PC_Road_Name" localSheetId="7">#REF!</definedName>
    <definedName name="PC_Road_Name" localSheetId="10">#REF!</definedName>
    <definedName name="PC_Road_Name">#REF!</definedName>
    <definedName name="pe" localSheetId="22">#REF!</definedName>
    <definedName name="pe" localSheetId="3">#REF!</definedName>
    <definedName name="pe" localSheetId="16">#REF!</definedName>
    <definedName name="pe" localSheetId="11">#REF!</definedName>
    <definedName name="pe" localSheetId="15">#REF!</definedName>
    <definedName name="pe" localSheetId="12">#REF!</definedName>
    <definedName name="pe" localSheetId="17">#REF!</definedName>
    <definedName name="pe" localSheetId="23">#REF!</definedName>
    <definedName name="pe" localSheetId="18">#REF!</definedName>
    <definedName name="pe" localSheetId="14">#REF!</definedName>
    <definedName name="pe" localSheetId="13">#REF!</definedName>
    <definedName name="pe" localSheetId="6">#REF!</definedName>
    <definedName name="pe" localSheetId="8">#REF!</definedName>
    <definedName name="pe" localSheetId="9">#REF!</definedName>
    <definedName name="pe" localSheetId="7">#REF!</definedName>
    <definedName name="pe" localSheetId="10">#REF!</definedName>
    <definedName name="pe">#REF!</definedName>
    <definedName name="Plast_1.3_W.P.C" localSheetId="22">#REF!</definedName>
    <definedName name="Plast_1.3_W.P.C" localSheetId="4">#REF!</definedName>
    <definedName name="Plast_1.3_W.P.C" localSheetId="3">#REF!</definedName>
    <definedName name="Plast_1.3_W.P.C" localSheetId="16">#REF!</definedName>
    <definedName name="Plast_1.3_W.P.C" localSheetId="11">#REF!</definedName>
    <definedName name="Plast_1.3_W.P.C" localSheetId="15">#REF!</definedName>
    <definedName name="Plast_1.3_W.P.C" localSheetId="12">#REF!</definedName>
    <definedName name="Plast_1.3_W.P.C" localSheetId="17">#REF!</definedName>
    <definedName name="Plast_1.3_W.P.C" localSheetId="23">#REF!</definedName>
    <definedName name="Plast_1.3_W.P.C" localSheetId="18">#REF!</definedName>
    <definedName name="Plast_1.3_W.P.C" localSheetId="14">#REF!</definedName>
    <definedName name="Plast_1.3_W.P.C" localSheetId="13">#REF!</definedName>
    <definedName name="Plast_1.3_W.P.C" localSheetId="6">#REF!</definedName>
    <definedName name="Plast_1.3_W.P.C" localSheetId="8">#REF!</definedName>
    <definedName name="Plast_1.3_W.P.C" localSheetId="9">#REF!</definedName>
    <definedName name="Plast_1.3_W.P.C" localSheetId="7">#REF!</definedName>
    <definedName name="Plast_1.3_W.P.C" localSheetId="10">#REF!</definedName>
    <definedName name="Plast_1.3_W.P.C">#REF!</definedName>
    <definedName name="Plast_1.5_12mm" localSheetId="22">#REF!</definedName>
    <definedName name="Plast_1.5_12mm" localSheetId="4">#REF!</definedName>
    <definedName name="Plast_1.5_12mm" localSheetId="3">#REF!</definedName>
    <definedName name="Plast_1.5_12mm" localSheetId="16">#REF!</definedName>
    <definedName name="Plast_1.5_12mm" localSheetId="11">#REF!</definedName>
    <definedName name="Plast_1.5_12mm" localSheetId="15">#REF!</definedName>
    <definedName name="Plast_1.5_12mm" localSheetId="12">#REF!</definedName>
    <definedName name="Plast_1.5_12mm" localSheetId="17">#REF!</definedName>
    <definedName name="Plast_1.5_12mm" localSheetId="23">#REF!</definedName>
    <definedName name="Plast_1.5_12mm" localSheetId="18">#REF!</definedName>
    <definedName name="Plast_1.5_12mm" localSheetId="14">#REF!</definedName>
    <definedName name="Plast_1.5_12mm" localSheetId="13">#REF!</definedName>
    <definedName name="Plast_1.5_12mm" localSheetId="6">#REF!</definedName>
    <definedName name="Plast_1.5_12mm" localSheetId="8">#REF!</definedName>
    <definedName name="Plast_1.5_12mm" localSheetId="9">#REF!</definedName>
    <definedName name="Plast_1.5_12mm" localSheetId="7">#REF!</definedName>
    <definedName name="Plast_1.5_12mm" localSheetId="10">#REF!</definedName>
    <definedName name="Plast_1.5_12mm">#REF!</definedName>
    <definedName name="Plast_1.5_20mm" localSheetId="22">#REF!</definedName>
    <definedName name="Plast_1.5_20mm" localSheetId="4">#REF!</definedName>
    <definedName name="Plast_1.5_20mm" localSheetId="3">#REF!</definedName>
    <definedName name="Plast_1.5_20mm" localSheetId="16">#REF!</definedName>
    <definedName name="Plast_1.5_20mm" localSheetId="11">#REF!</definedName>
    <definedName name="Plast_1.5_20mm" localSheetId="15">#REF!</definedName>
    <definedName name="Plast_1.5_20mm" localSheetId="12">#REF!</definedName>
    <definedName name="Plast_1.5_20mm" localSheetId="17">#REF!</definedName>
    <definedName name="Plast_1.5_20mm" localSheetId="23">#REF!</definedName>
    <definedName name="Plast_1.5_20mm" localSheetId="18">#REF!</definedName>
    <definedName name="Plast_1.5_20mm" localSheetId="14">#REF!</definedName>
    <definedName name="Plast_1.5_20mm" localSheetId="13">#REF!</definedName>
    <definedName name="Plast_1.5_20mm" localSheetId="6">#REF!</definedName>
    <definedName name="Plast_1.5_20mm" localSheetId="8">#REF!</definedName>
    <definedName name="Plast_1.5_20mm" localSheetId="9">#REF!</definedName>
    <definedName name="Plast_1.5_20mm" localSheetId="7">#REF!</definedName>
    <definedName name="Plast_1.5_20mm" localSheetId="10">#REF!</definedName>
    <definedName name="Plast_1.5_20mm">#REF!</definedName>
    <definedName name="Plast_Dummy" localSheetId="22">#REF!</definedName>
    <definedName name="Plast_Dummy" localSheetId="4">#REF!</definedName>
    <definedName name="Plast_Dummy" localSheetId="3">#REF!</definedName>
    <definedName name="Plast_Dummy" localSheetId="16">#REF!</definedName>
    <definedName name="Plast_Dummy" localSheetId="11">#REF!</definedName>
    <definedName name="Plast_Dummy" localSheetId="15">#REF!</definedName>
    <definedName name="Plast_Dummy" localSheetId="12">#REF!</definedName>
    <definedName name="Plast_Dummy" localSheetId="17">#REF!</definedName>
    <definedName name="Plast_Dummy" localSheetId="23">#REF!</definedName>
    <definedName name="Plast_Dummy" localSheetId="18">#REF!</definedName>
    <definedName name="Plast_Dummy" localSheetId="14">#REF!</definedName>
    <definedName name="Plast_Dummy" localSheetId="13">#REF!</definedName>
    <definedName name="Plast_Dummy" localSheetId="6">#REF!</definedName>
    <definedName name="Plast_Dummy" localSheetId="8">#REF!</definedName>
    <definedName name="Plast_Dummy" localSheetId="9">#REF!</definedName>
    <definedName name="Plast_Dummy" localSheetId="7">#REF!</definedName>
    <definedName name="Plast_Dummy" localSheetId="10">#REF!</definedName>
    <definedName name="Plast_Dummy">#REF!</definedName>
    <definedName name="Plast_Roof" localSheetId="22">#REF!</definedName>
    <definedName name="Plast_Roof" localSheetId="4">#REF!</definedName>
    <definedName name="Plast_Roof" localSheetId="3">#REF!</definedName>
    <definedName name="Plast_Roof" localSheetId="16">#REF!</definedName>
    <definedName name="Plast_Roof" localSheetId="11">#REF!</definedName>
    <definedName name="Plast_Roof" localSheetId="15">#REF!</definedName>
    <definedName name="Plast_Roof" localSheetId="12">#REF!</definedName>
    <definedName name="Plast_Roof" localSheetId="17">#REF!</definedName>
    <definedName name="Plast_Roof" localSheetId="23">#REF!</definedName>
    <definedName name="Plast_Roof" localSheetId="18">#REF!</definedName>
    <definedName name="Plast_Roof" localSheetId="14">#REF!</definedName>
    <definedName name="Plast_Roof" localSheetId="13">#REF!</definedName>
    <definedName name="Plast_Roof" localSheetId="6">#REF!</definedName>
    <definedName name="Plast_Roof" localSheetId="8">#REF!</definedName>
    <definedName name="Plast_Roof" localSheetId="9">#REF!</definedName>
    <definedName name="Plast_Roof" localSheetId="7">#REF!</definedName>
    <definedName name="Plast_Roof" localSheetId="10">#REF!</definedName>
    <definedName name="Plast_Roof">#REF!</definedName>
    <definedName name="Plast15">[1]Spec!$B$20</definedName>
    <definedName name="Plastering_pointing" localSheetId="22">#REF!</definedName>
    <definedName name="Plastering_pointing" localSheetId="4">#REF!</definedName>
    <definedName name="Plastering_pointing" localSheetId="3">#REF!</definedName>
    <definedName name="Plastering_pointing" localSheetId="16">#REF!</definedName>
    <definedName name="Plastering_pointing" localSheetId="11">#REF!</definedName>
    <definedName name="Plastering_pointing" localSheetId="15">#REF!</definedName>
    <definedName name="Plastering_pointing" localSheetId="12">#REF!</definedName>
    <definedName name="Plastering_pointing" localSheetId="17">#REF!</definedName>
    <definedName name="Plastering_pointing" localSheetId="23">#REF!</definedName>
    <definedName name="Plastering_pointing" localSheetId="18">#REF!</definedName>
    <definedName name="Plastering_pointing" localSheetId="14">#REF!</definedName>
    <definedName name="Plastering_pointing" localSheetId="13">#REF!</definedName>
    <definedName name="Plastering_pointing" localSheetId="6">#REF!</definedName>
    <definedName name="Plastering_pointing" localSheetId="8">#REF!</definedName>
    <definedName name="Plastering_pointing" localSheetId="9">#REF!</definedName>
    <definedName name="Plastering_pointing" localSheetId="7">#REF!</definedName>
    <definedName name="Plastering_pointing" localSheetId="10">#REF!</definedName>
    <definedName name="Plastering_pointing">#REF!</definedName>
    <definedName name="Plastering_pointing_11" localSheetId="22">#REF!</definedName>
    <definedName name="Plastering_pointing_11" localSheetId="4">#REF!</definedName>
    <definedName name="Plastering_pointing_11" localSheetId="3">#REF!</definedName>
    <definedName name="Plastering_pointing_11" localSheetId="16">#REF!</definedName>
    <definedName name="Plastering_pointing_11" localSheetId="11">#REF!</definedName>
    <definedName name="Plastering_pointing_11" localSheetId="15">#REF!</definedName>
    <definedName name="Plastering_pointing_11" localSheetId="12">#REF!</definedName>
    <definedName name="Plastering_pointing_11" localSheetId="17">#REF!</definedName>
    <definedName name="Plastering_pointing_11" localSheetId="23">#REF!</definedName>
    <definedName name="Plastering_pointing_11" localSheetId="18">#REF!</definedName>
    <definedName name="Plastering_pointing_11" localSheetId="14">#REF!</definedName>
    <definedName name="Plastering_pointing_11" localSheetId="13">#REF!</definedName>
    <definedName name="Plastering_pointing_11" localSheetId="6">#REF!</definedName>
    <definedName name="Plastering_pointing_11" localSheetId="8">#REF!</definedName>
    <definedName name="Plastering_pointing_11" localSheetId="9">#REF!</definedName>
    <definedName name="Plastering_pointing_11" localSheetId="7">#REF!</definedName>
    <definedName name="Plastering_pointing_11" localSheetId="10">#REF!</definedName>
    <definedName name="Plastering_pointing_11">#REF!</definedName>
    <definedName name="Plastering_pointing_3" localSheetId="22">#REF!</definedName>
    <definedName name="Plastering_pointing_3" localSheetId="4">#REF!</definedName>
    <definedName name="Plastering_pointing_3" localSheetId="3">#REF!</definedName>
    <definedName name="Plastering_pointing_3" localSheetId="16">#REF!</definedName>
    <definedName name="Plastering_pointing_3" localSheetId="11">#REF!</definedName>
    <definedName name="Plastering_pointing_3" localSheetId="15">#REF!</definedName>
    <definedName name="Plastering_pointing_3" localSheetId="12">#REF!</definedName>
    <definedName name="Plastering_pointing_3" localSheetId="17">#REF!</definedName>
    <definedName name="Plastering_pointing_3" localSheetId="23">#REF!</definedName>
    <definedName name="Plastering_pointing_3" localSheetId="18">#REF!</definedName>
    <definedName name="Plastering_pointing_3" localSheetId="14">#REF!</definedName>
    <definedName name="Plastering_pointing_3" localSheetId="13">#REF!</definedName>
    <definedName name="Plastering_pointing_3" localSheetId="6">#REF!</definedName>
    <definedName name="Plastering_pointing_3" localSheetId="8">#REF!</definedName>
    <definedName name="Plastering_pointing_3" localSheetId="9">#REF!</definedName>
    <definedName name="Plastering_pointing_3" localSheetId="7">#REF!</definedName>
    <definedName name="Plastering_pointing_3" localSheetId="10">#REF!</definedName>
    <definedName name="Plastering_pointing_3">#REF!</definedName>
    <definedName name="Plastering_pointing_6" localSheetId="22">#REF!</definedName>
    <definedName name="Plastering_pointing_6" localSheetId="4">#REF!</definedName>
    <definedName name="Plastering_pointing_6" localSheetId="3">#REF!</definedName>
    <definedName name="Plastering_pointing_6" localSheetId="16">#REF!</definedName>
    <definedName name="Plastering_pointing_6" localSheetId="11">#REF!</definedName>
    <definedName name="Plastering_pointing_6" localSheetId="15">#REF!</definedName>
    <definedName name="Plastering_pointing_6" localSheetId="12">#REF!</definedName>
    <definedName name="Plastering_pointing_6" localSheetId="17">#REF!</definedName>
    <definedName name="Plastering_pointing_6" localSheetId="23">#REF!</definedName>
    <definedName name="Plastering_pointing_6" localSheetId="18">#REF!</definedName>
    <definedName name="Plastering_pointing_6" localSheetId="14">#REF!</definedName>
    <definedName name="Plastering_pointing_6" localSheetId="13">#REF!</definedName>
    <definedName name="Plastering_pointing_6" localSheetId="6">#REF!</definedName>
    <definedName name="Plastering_pointing_6" localSheetId="8">#REF!</definedName>
    <definedName name="Plastering_pointing_6" localSheetId="9">#REF!</definedName>
    <definedName name="Plastering_pointing_6" localSheetId="7">#REF!</definedName>
    <definedName name="Plastering_pointing_6" localSheetId="10">#REF!</definedName>
    <definedName name="Plastering_pointing_6">#REF!</definedName>
    <definedName name="Plastic_Emulsion" localSheetId="22">#REF!</definedName>
    <definedName name="Plastic_Emulsion" localSheetId="4">#REF!</definedName>
    <definedName name="Plastic_Emulsion" localSheetId="3">#REF!</definedName>
    <definedName name="Plastic_Emulsion" localSheetId="16">#REF!</definedName>
    <definedName name="Plastic_Emulsion" localSheetId="11">#REF!</definedName>
    <definedName name="Plastic_Emulsion" localSheetId="15">#REF!</definedName>
    <definedName name="Plastic_Emulsion" localSheetId="12">#REF!</definedName>
    <definedName name="Plastic_Emulsion" localSheetId="17">#REF!</definedName>
    <definedName name="Plastic_Emulsion" localSheetId="23">#REF!</definedName>
    <definedName name="Plastic_Emulsion" localSheetId="18">#REF!</definedName>
    <definedName name="Plastic_Emulsion" localSheetId="14">#REF!</definedName>
    <definedName name="Plastic_Emulsion" localSheetId="13">#REF!</definedName>
    <definedName name="Plastic_Emulsion" localSheetId="6">#REF!</definedName>
    <definedName name="Plastic_Emulsion" localSheetId="8">#REF!</definedName>
    <definedName name="Plastic_Emulsion" localSheetId="9">#REF!</definedName>
    <definedName name="Plastic_Emulsion" localSheetId="7">#REF!</definedName>
    <definedName name="Plastic_Emulsion" localSheetId="10">#REF!</definedName>
    <definedName name="Plastic_Emulsion">#REF!</definedName>
    <definedName name="pls" localSheetId="22">#REF!</definedName>
    <definedName name="pls" localSheetId="4">#REF!</definedName>
    <definedName name="pls" localSheetId="3">#REF!</definedName>
    <definedName name="pls" localSheetId="16">#REF!</definedName>
    <definedName name="pls" localSheetId="11">#REF!</definedName>
    <definedName name="pls" localSheetId="15">#REF!</definedName>
    <definedName name="pls" localSheetId="12">#REF!</definedName>
    <definedName name="pls" localSheetId="17">#REF!</definedName>
    <definedName name="pls" localSheetId="23">#REF!</definedName>
    <definedName name="pls" localSheetId="18">#REF!</definedName>
    <definedName name="pls" localSheetId="14">#REF!</definedName>
    <definedName name="pls" localSheetId="13">#REF!</definedName>
    <definedName name="pls" localSheetId="6">#REF!</definedName>
    <definedName name="pls" localSheetId="8">#REF!</definedName>
    <definedName name="pls" localSheetId="9">#REF!</definedName>
    <definedName name="pls" localSheetId="7">#REF!</definedName>
    <definedName name="pls" localSheetId="10">#REF!</definedName>
    <definedName name="pls">#REF!</definedName>
    <definedName name="POOMBUHAR" localSheetId="23">#REF!</definedName>
    <definedName name="POOMBUHAR" localSheetId="13">#REF!</definedName>
    <definedName name="POOMBUHAR" localSheetId="8">#REF!</definedName>
    <definedName name="POOMBUHAR" localSheetId="7">#REF!</definedName>
    <definedName name="POOMBUHAR">#REF!</definedName>
    <definedName name="PressedTile" localSheetId="22">#REF!</definedName>
    <definedName name="PressedTile" localSheetId="4">#REF!</definedName>
    <definedName name="PressedTile" localSheetId="3">#REF!</definedName>
    <definedName name="PressedTile" localSheetId="16">#REF!</definedName>
    <definedName name="PressedTile" localSheetId="11">#REF!</definedName>
    <definedName name="PressedTile" localSheetId="15">#REF!</definedName>
    <definedName name="PressedTile" localSheetId="12">#REF!</definedName>
    <definedName name="PressedTile" localSheetId="17">#REF!</definedName>
    <definedName name="PressedTile" localSheetId="23">#REF!</definedName>
    <definedName name="PressedTile" localSheetId="18">#REF!</definedName>
    <definedName name="PressedTile" localSheetId="14">#REF!</definedName>
    <definedName name="PressedTile" localSheetId="13">#REF!</definedName>
    <definedName name="PressedTile" localSheetId="6">#REF!</definedName>
    <definedName name="PressedTile" localSheetId="8">#REF!</definedName>
    <definedName name="PressedTile" localSheetId="9">#REF!</definedName>
    <definedName name="PressedTile" localSheetId="7">#REF!</definedName>
    <definedName name="PressedTile" localSheetId="10">#REF!</definedName>
    <definedName name="PressedTile">#REF!</definedName>
    <definedName name="pri" localSheetId="22">#REF!</definedName>
    <definedName name="pri" localSheetId="4">#REF!</definedName>
    <definedName name="pri" localSheetId="3">#REF!</definedName>
    <definedName name="pri" localSheetId="16">#REF!</definedName>
    <definedName name="pri" localSheetId="11">#REF!</definedName>
    <definedName name="pri" localSheetId="15">#REF!</definedName>
    <definedName name="pri" localSheetId="12">#REF!</definedName>
    <definedName name="pri" localSheetId="17">#REF!</definedName>
    <definedName name="pri" localSheetId="23">#REF!</definedName>
    <definedName name="pri" localSheetId="18">#REF!</definedName>
    <definedName name="pri" localSheetId="14">#REF!</definedName>
    <definedName name="pri" localSheetId="13">#REF!</definedName>
    <definedName name="pri" localSheetId="6">#REF!</definedName>
    <definedName name="pri" localSheetId="8">#REF!</definedName>
    <definedName name="pri" localSheetId="9">#REF!</definedName>
    <definedName name="pri" localSheetId="7">#REF!</definedName>
    <definedName name="pri" localSheetId="10">#REF!</definedName>
    <definedName name="pri">#REF!</definedName>
    <definedName name="PRIN_TITLES_MI" localSheetId="22">#REF!</definedName>
    <definedName name="PRIN_TITLES_MI" localSheetId="4">#REF!</definedName>
    <definedName name="PRIN_TITLES_MI" localSheetId="3">#REF!</definedName>
    <definedName name="PRIN_TITLES_MI" localSheetId="16">#REF!</definedName>
    <definedName name="PRIN_TITLES_MI" localSheetId="11">#REF!</definedName>
    <definedName name="PRIN_TITLES_MI" localSheetId="15">#REF!</definedName>
    <definedName name="PRIN_TITLES_MI" localSheetId="12">#REF!</definedName>
    <definedName name="PRIN_TITLES_MI" localSheetId="17">#REF!</definedName>
    <definedName name="PRIN_TITLES_MI" localSheetId="23">#REF!</definedName>
    <definedName name="PRIN_TITLES_MI" localSheetId="18">#REF!</definedName>
    <definedName name="PRIN_TITLES_MI" localSheetId="14">#REF!</definedName>
    <definedName name="PRIN_TITLES_MI" localSheetId="13">#REF!</definedName>
    <definedName name="PRIN_TITLES_MI" localSheetId="6">#REF!</definedName>
    <definedName name="PRIN_TITLES_MI" localSheetId="8">#REF!</definedName>
    <definedName name="PRIN_TITLES_MI" localSheetId="9">#REF!</definedName>
    <definedName name="PRIN_TITLES_MI" localSheetId="7">#REF!</definedName>
    <definedName name="PRIN_TITLES_MI" localSheetId="10">#REF!</definedName>
    <definedName name="PRIN_TITLES_MI">#REF!</definedName>
    <definedName name="Princ" localSheetId="23">#REF!</definedName>
    <definedName name="Princ">#REF!</definedName>
    <definedName name="print" localSheetId="22">#REF!</definedName>
    <definedName name="print" localSheetId="4">#REF!</definedName>
    <definedName name="print" localSheetId="1">#REF!</definedName>
    <definedName name="print" localSheetId="3">#REF!</definedName>
    <definedName name="print" localSheetId="16">#REF!</definedName>
    <definedName name="print" localSheetId="11">#REF!</definedName>
    <definedName name="print" localSheetId="15">#REF!</definedName>
    <definedName name="print" localSheetId="2">#REF!</definedName>
    <definedName name="print" localSheetId="12">#REF!</definedName>
    <definedName name="print" localSheetId="17">#REF!</definedName>
    <definedName name="print" localSheetId="23">#REF!</definedName>
    <definedName name="print" localSheetId="18">#REF!</definedName>
    <definedName name="print" localSheetId="14">#REF!</definedName>
    <definedName name="print" localSheetId="13">#REF!</definedName>
    <definedName name="print" localSheetId="6">#REF!</definedName>
    <definedName name="print" localSheetId="20">#REF!</definedName>
    <definedName name="print" localSheetId="8">#REF!</definedName>
    <definedName name="print" localSheetId="5">#REF!</definedName>
    <definedName name="print" localSheetId="9">#REF!</definedName>
    <definedName name="print" localSheetId="7">#REF!</definedName>
    <definedName name="print" localSheetId="10">#REF!</definedName>
    <definedName name="print">#REF!</definedName>
    <definedName name="PRINT_ARE" localSheetId="22">#REF!</definedName>
    <definedName name="PRINT_ARE" localSheetId="4">#REF!</definedName>
    <definedName name="PRINT_ARE" localSheetId="3">#REF!</definedName>
    <definedName name="PRINT_ARE" localSheetId="16">#REF!</definedName>
    <definedName name="PRINT_ARE" localSheetId="11">#REF!</definedName>
    <definedName name="PRINT_ARE" localSheetId="15">#REF!</definedName>
    <definedName name="PRINT_ARE" localSheetId="12">#REF!</definedName>
    <definedName name="PRINT_ARE" localSheetId="17">#REF!</definedName>
    <definedName name="PRINT_ARE" localSheetId="23">#REF!</definedName>
    <definedName name="PRINT_ARE" localSheetId="18">#REF!</definedName>
    <definedName name="PRINT_ARE" localSheetId="14">#REF!</definedName>
    <definedName name="PRINT_ARE" localSheetId="13">#REF!</definedName>
    <definedName name="PRINT_ARE" localSheetId="6">#REF!</definedName>
    <definedName name="PRINT_ARE" localSheetId="8">#REF!</definedName>
    <definedName name="PRINT_ARE" localSheetId="9">#REF!</definedName>
    <definedName name="PRINT_ARE" localSheetId="7">#REF!</definedName>
    <definedName name="PRINT_ARE" localSheetId="10">#REF!</definedName>
    <definedName name="PRINT_ARE">#REF!</definedName>
    <definedName name="_xlnm.Print_Area" localSheetId="22">#REF!</definedName>
    <definedName name="_xlnm.Print_Area" localSheetId="4">'Above basement Detail'!$A$1:$H$2126</definedName>
    <definedName name="_xlnm.Print_Area" localSheetId="3">'Below Basement Detail'!$A$1:$H$206</definedName>
    <definedName name="_xlnm.Print_Area" localSheetId="16">'BOREWELL &amp; EWS'!$A$1:$H$220</definedName>
    <definedName name="_xlnm.Print_Area" localSheetId="11">#REF!</definedName>
    <definedName name="_xlnm.Print_Area" localSheetId="15">#REF!</definedName>
    <definedName name="_xlnm.Print_Area" localSheetId="19">Data!$F$1:$K$4076</definedName>
    <definedName name="_xlnm.Print_Area" localSheetId="12">'DETAILED-C.WALL'!$A$1:$J$129</definedName>
    <definedName name="_xlnm.Print_Area" localSheetId="17">#REF!</definedName>
    <definedName name="_xlnm.Print_Area" localSheetId="23">Filling!$A$1:$H$12</definedName>
    <definedName name="_xlnm.Print_Area" localSheetId="18">#REF!</definedName>
    <definedName name="_xlnm.Print_Area" localSheetId="14">#REF!</definedName>
    <definedName name="_xlnm.Print_Area" localSheetId="13">'PAVER ROAD'!$A$1:$H$93</definedName>
    <definedName name="_xlnm.Print_Area" localSheetId="6">#REF!</definedName>
    <definedName name="_xlnm.Print_Area" localSheetId="20">'Print Data'!$A$1:$F$884</definedName>
    <definedName name="_xlnm.Print_Area" localSheetId="8">'Pump Room'!$A$1:$H$192</definedName>
    <definedName name="_xlnm.Print_Area" localSheetId="5">#REF!</definedName>
    <definedName name="_xlnm.Print_Area" localSheetId="0">'Sliding and french window'!$A$80:$G$127</definedName>
    <definedName name="_xlnm.Print_Area" localSheetId="9">#REF!</definedName>
    <definedName name="_xlnm.Print_Area" localSheetId="7">Sump!$A$1:$I$73</definedName>
    <definedName name="_xlnm.Print_Area" localSheetId="10">#REF!</definedName>
    <definedName name="_xlnm.Print_Area">#REF!</definedName>
    <definedName name="PRINT_AREA_" localSheetId="22">#REF!</definedName>
    <definedName name="PRINT_AREA_" localSheetId="4">#REF!</definedName>
    <definedName name="PRINT_AREA_" localSheetId="3">#REF!</definedName>
    <definedName name="PRINT_AREA_" localSheetId="16">#REF!</definedName>
    <definedName name="PRINT_AREA_" localSheetId="11">#REF!</definedName>
    <definedName name="PRINT_AREA_" localSheetId="15">#REF!</definedName>
    <definedName name="PRINT_AREA_" localSheetId="12">#REF!</definedName>
    <definedName name="PRINT_AREA_" localSheetId="17">#REF!</definedName>
    <definedName name="PRINT_AREA_" localSheetId="23">#REF!</definedName>
    <definedName name="PRINT_AREA_" localSheetId="18">#REF!</definedName>
    <definedName name="PRINT_AREA_" localSheetId="14">#REF!</definedName>
    <definedName name="PRINT_AREA_" localSheetId="13">#REF!</definedName>
    <definedName name="PRINT_AREA_" localSheetId="6">#REF!</definedName>
    <definedName name="PRINT_AREA_" localSheetId="8">#REF!</definedName>
    <definedName name="PRINT_AREA_" localSheetId="9">#REF!</definedName>
    <definedName name="PRINT_AREA_" localSheetId="7">#REF!</definedName>
    <definedName name="PRINT_AREA_" localSheetId="10">#REF!</definedName>
    <definedName name="PRINT_AREA_">#REF!</definedName>
    <definedName name="print_area_copied" localSheetId="22">#REF!</definedName>
    <definedName name="print_area_copied" localSheetId="3">#REF!</definedName>
    <definedName name="print_area_copied" localSheetId="16">#REF!</definedName>
    <definedName name="print_area_copied" localSheetId="11">#REF!</definedName>
    <definedName name="print_area_copied" localSheetId="15">#REF!</definedName>
    <definedName name="print_area_copied" localSheetId="12">#REF!</definedName>
    <definedName name="print_area_copied" localSheetId="17">#REF!</definedName>
    <definedName name="print_area_copied" localSheetId="23">#REF!</definedName>
    <definedName name="print_area_copied" localSheetId="18">#REF!</definedName>
    <definedName name="print_area_copied" localSheetId="14">#REF!</definedName>
    <definedName name="print_area_copied" localSheetId="13">#REF!</definedName>
    <definedName name="print_area_copied" localSheetId="6">#REF!</definedName>
    <definedName name="print_area_copied" localSheetId="8">#REF!</definedName>
    <definedName name="print_area_copied" localSheetId="9">#REF!</definedName>
    <definedName name="print_area_copied" localSheetId="7">#REF!</definedName>
    <definedName name="print_area_copied" localSheetId="10">#REF!</definedName>
    <definedName name="print_area_copied">#REF!</definedName>
    <definedName name="PRINT_AREA_M" localSheetId="22">#REF!</definedName>
    <definedName name="PRINT_AREA_M" localSheetId="4">#REF!</definedName>
    <definedName name="PRINT_AREA_M" localSheetId="3">#REF!</definedName>
    <definedName name="PRINT_AREA_M" localSheetId="16">#REF!</definedName>
    <definedName name="PRINT_AREA_M" localSheetId="11">#REF!</definedName>
    <definedName name="PRINT_AREA_M" localSheetId="15">#REF!</definedName>
    <definedName name="PRINT_AREA_M" localSheetId="12">#REF!</definedName>
    <definedName name="PRINT_AREA_M" localSheetId="17">#REF!</definedName>
    <definedName name="PRINT_AREA_M" localSheetId="23">#REF!</definedName>
    <definedName name="PRINT_AREA_M" localSheetId="18">#REF!</definedName>
    <definedName name="PRINT_AREA_M" localSheetId="14">#REF!</definedName>
    <definedName name="PRINT_AREA_M" localSheetId="13">#REF!</definedName>
    <definedName name="PRINT_AREA_M" localSheetId="6">#REF!</definedName>
    <definedName name="PRINT_AREA_M" localSheetId="8">#REF!</definedName>
    <definedName name="PRINT_AREA_M" localSheetId="9">#REF!</definedName>
    <definedName name="PRINT_AREA_M" localSheetId="7">#REF!</definedName>
    <definedName name="PRINT_AREA_M" localSheetId="10">#REF!</definedName>
    <definedName name="PRINT_AREA_M">#REF!</definedName>
    <definedName name="PRINT_AREA_MI" localSheetId="22">#REF!</definedName>
    <definedName name="PRINT_AREA_MI" localSheetId="4">#REF!</definedName>
    <definedName name="PRINT_AREA_MI" localSheetId="1">#REF!</definedName>
    <definedName name="PRINT_AREA_MI" localSheetId="3">#REF!</definedName>
    <definedName name="PRINT_AREA_MI" localSheetId="16">#REF!</definedName>
    <definedName name="PRINT_AREA_MI" localSheetId="11">#REF!</definedName>
    <definedName name="PRINT_AREA_MI" localSheetId="15">#REF!</definedName>
    <definedName name="Print_Area_MI" localSheetId="19">Data!$F$1:$K$214</definedName>
    <definedName name="PRINT_AREA_MI" localSheetId="2">#REF!</definedName>
    <definedName name="PRINT_AREA_MI" localSheetId="12">#REF!</definedName>
    <definedName name="PRINT_AREA_MI" localSheetId="17">#REF!</definedName>
    <definedName name="PRINT_AREA_MI" localSheetId="23">#REF!</definedName>
    <definedName name="PRINT_AREA_MI" localSheetId="18">#REF!</definedName>
    <definedName name="PRINT_AREA_MI" localSheetId="14">#REF!</definedName>
    <definedName name="PRINT_AREA_MI" localSheetId="13">#REF!</definedName>
    <definedName name="PRINT_AREA_MI" localSheetId="6">#REF!</definedName>
    <definedName name="PRINT_AREA_MI" localSheetId="20">#REF!</definedName>
    <definedName name="PRINT_AREA_MI" localSheetId="8">#REF!</definedName>
    <definedName name="PRINT_AREA_MI" localSheetId="5">#REF!</definedName>
    <definedName name="PRINT_AREA_MI" localSheetId="9">#REF!</definedName>
    <definedName name="PRINT_AREA_MI" localSheetId="7">#REF!</definedName>
    <definedName name="PRINT_AREA_MI" localSheetId="10">#REF!</definedName>
    <definedName name="PRINT_AREA_MI">#REF!</definedName>
    <definedName name="PRINT_AREA_MI_2" localSheetId="22">#REF!</definedName>
    <definedName name="PRINT_AREA_MI_2" localSheetId="4">#REF!</definedName>
    <definedName name="PRINT_AREA_MI_2" localSheetId="3">#REF!</definedName>
    <definedName name="PRINT_AREA_MI_2" localSheetId="16">#REF!</definedName>
    <definedName name="PRINT_AREA_MI_2" localSheetId="11">#REF!</definedName>
    <definedName name="PRINT_AREA_MI_2" localSheetId="15">#REF!</definedName>
    <definedName name="PRINT_AREA_MI_2" localSheetId="12">#REF!</definedName>
    <definedName name="PRINT_AREA_MI_2" localSheetId="17">#REF!</definedName>
    <definedName name="PRINT_AREA_MI_2" localSheetId="23">#REF!</definedName>
    <definedName name="PRINT_AREA_MI_2" localSheetId="18">#REF!</definedName>
    <definedName name="PRINT_AREA_MI_2" localSheetId="14">#REF!</definedName>
    <definedName name="PRINT_AREA_MI_2" localSheetId="13">#REF!</definedName>
    <definedName name="PRINT_AREA_MI_2" localSheetId="6">#REF!</definedName>
    <definedName name="PRINT_AREA_MI_2" localSheetId="8">#REF!</definedName>
    <definedName name="PRINT_AREA_MI_2" localSheetId="9">#REF!</definedName>
    <definedName name="PRINT_AREA_MI_2" localSheetId="7">#REF!</definedName>
    <definedName name="PRINT_AREA_MI_2" localSheetId="10">#REF!</definedName>
    <definedName name="PRINT_AREA_MI_2">#REF!</definedName>
    <definedName name="Print_Area_Reset" localSheetId="23">OFFSET(Filling!Full_Print,0,0,Filling!Last_Row)</definedName>
    <definedName name="Print_Area_Reset">OFFSET(Full_Print,0,0,Last_Row)</definedName>
    <definedName name="Print_Area1" localSheetId="22">#REF!</definedName>
    <definedName name="Print_Area1" localSheetId="3">#REF!</definedName>
    <definedName name="Print_Area1" localSheetId="16">#REF!</definedName>
    <definedName name="Print_Area1" localSheetId="11">#REF!</definedName>
    <definedName name="Print_Area1" localSheetId="15">#REF!</definedName>
    <definedName name="Print_Area1" localSheetId="12">#REF!</definedName>
    <definedName name="Print_Area1" localSheetId="17">#REF!</definedName>
    <definedName name="Print_Area1" localSheetId="23">#REF!</definedName>
    <definedName name="Print_Area1" localSheetId="18">#REF!</definedName>
    <definedName name="Print_Area1" localSheetId="14">#REF!</definedName>
    <definedName name="Print_Area1" localSheetId="13">#REF!</definedName>
    <definedName name="Print_Area1" localSheetId="6">#REF!</definedName>
    <definedName name="Print_Area1" localSheetId="8">#REF!</definedName>
    <definedName name="Print_Area1" localSheetId="9">#REF!</definedName>
    <definedName name="Print_Area1" localSheetId="7">#REF!</definedName>
    <definedName name="Print_Area1" localSheetId="10">#REF!</definedName>
    <definedName name="Print_Area1">#REF!</definedName>
    <definedName name="Print_T" localSheetId="22">#REF!</definedName>
    <definedName name="Print_T" localSheetId="4">#REF!</definedName>
    <definedName name="Print_T" localSheetId="3">#REF!</definedName>
    <definedName name="Print_T" localSheetId="16">#REF!</definedName>
    <definedName name="Print_T" localSheetId="11">#REF!</definedName>
    <definedName name="Print_T" localSheetId="15">#REF!</definedName>
    <definedName name="Print_T" localSheetId="12">#REF!</definedName>
    <definedName name="Print_T" localSheetId="17">#REF!</definedName>
    <definedName name="Print_T" localSheetId="23">#REF!</definedName>
    <definedName name="Print_T" localSheetId="18">#REF!</definedName>
    <definedName name="Print_T" localSheetId="14">#REF!</definedName>
    <definedName name="Print_T" localSheetId="13">#REF!</definedName>
    <definedName name="Print_T" localSheetId="6">#REF!</definedName>
    <definedName name="Print_T" localSheetId="8">#REF!</definedName>
    <definedName name="Print_T" localSheetId="9">#REF!</definedName>
    <definedName name="Print_T" localSheetId="7">#REF!</definedName>
    <definedName name="Print_T" localSheetId="10">#REF!</definedName>
    <definedName name="Print_T">#REF!</definedName>
    <definedName name="Print_Tit" localSheetId="22">#REF!</definedName>
    <definedName name="Print_Tit" localSheetId="4">#REF!</definedName>
    <definedName name="Print_Tit" localSheetId="3">#REF!</definedName>
    <definedName name="Print_Tit" localSheetId="16">#REF!</definedName>
    <definedName name="Print_Tit" localSheetId="11">#REF!</definedName>
    <definedName name="Print_Tit" localSheetId="15">#REF!</definedName>
    <definedName name="Print_Tit" localSheetId="12">#REF!</definedName>
    <definedName name="Print_Tit" localSheetId="17">#REF!</definedName>
    <definedName name="Print_Tit" localSheetId="23">#REF!</definedName>
    <definedName name="Print_Tit" localSheetId="18">#REF!</definedName>
    <definedName name="Print_Tit" localSheetId="14">#REF!</definedName>
    <definedName name="Print_Tit" localSheetId="13">#REF!</definedName>
    <definedName name="Print_Tit" localSheetId="6">#REF!</definedName>
    <definedName name="Print_Tit" localSheetId="8">#REF!</definedName>
    <definedName name="Print_Tit" localSheetId="9">#REF!</definedName>
    <definedName name="Print_Tit" localSheetId="7">#REF!</definedName>
    <definedName name="Print_Tit" localSheetId="10">#REF!</definedName>
    <definedName name="Print_Tit">#REF!</definedName>
    <definedName name="Print_Titl" localSheetId="22">#REF!</definedName>
    <definedName name="Print_Titl" localSheetId="4">#REF!</definedName>
    <definedName name="Print_Titl" localSheetId="3">#REF!</definedName>
    <definedName name="Print_Titl" localSheetId="16">#REF!</definedName>
    <definedName name="Print_Titl" localSheetId="11">#REF!</definedName>
    <definedName name="Print_Titl" localSheetId="15">#REF!</definedName>
    <definedName name="Print_Titl" localSheetId="12">#REF!</definedName>
    <definedName name="Print_Titl" localSheetId="17">#REF!</definedName>
    <definedName name="Print_Titl" localSheetId="23">#REF!</definedName>
    <definedName name="Print_Titl" localSheetId="18">#REF!</definedName>
    <definedName name="Print_Titl" localSheetId="14">#REF!</definedName>
    <definedName name="Print_Titl" localSheetId="13">#REF!</definedName>
    <definedName name="Print_Titl" localSheetId="6">#REF!</definedName>
    <definedName name="Print_Titl" localSheetId="8">#REF!</definedName>
    <definedName name="Print_Titl" localSheetId="9">#REF!</definedName>
    <definedName name="Print_Titl" localSheetId="7">#REF!</definedName>
    <definedName name="Print_Titl" localSheetId="10">#REF!</definedName>
    <definedName name="Print_Titl">#REF!</definedName>
    <definedName name="Print_Title" localSheetId="22">#REF!</definedName>
    <definedName name="Print_Title" localSheetId="4">#REF!</definedName>
    <definedName name="Print_Title" localSheetId="3">#REF!</definedName>
    <definedName name="Print_Title" localSheetId="16">#REF!</definedName>
    <definedName name="Print_Title" localSheetId="11">#REF!</definedName>
    <definedName name="Print_Title" localSheetId="15">#REF!</definedName>
    <definedName name="Print_Title" localSheetId="12">#REF!</definedName>
    <definedName name="Print_Title" localSheetId="17">#REF!</definedName>
    <definedName name="Print_Title" localSheetId="23">#REF!</definedName>
    <definedName name="Print_Title" localSheetId="18">#REF!</definedName>
    <definedName name="Print_Title" localSheetId="14">#REF!</definedName>
    <definedName name="Print_Title" localSheetId="13">#REF!</definedName>
    <definedName name="Print_Title" localSheetId="6">#REF!</definedName>
    <definedName name="Print_Title" localSheetId="8">#REF!</definedName>
    <definedName name="Print_Title" localSheetId="9">#REF!</definedName>
    <definedName name="Print_Title" localSheetId="7">#REF!</definedName>
    <definedName name="Print_Title" localSheetId="10">#REF!</definedName>
    <definedName name="Print_Title">#REF!</definedName>
    <definedName name="_xlnm.Print_Titles" localSheetId="22">#REF!</definedName>
    <definedName name="_xlnm.Print_Titles" localSheetId="4">'Above basement Detail'!$8:$8</definedName>
    <definedName name="_xlnm.Print_Titles" localSheetId="3">'Below Basement Detail'!$8:$8</definedName>
    <definedName name="_xlnm.Print_Titles" localSheetId="16">#REF!</definedName>
    <definedName name="_xlnm.Print_Titles" localSheetId="11">C.Wall!$6:$6</definedName>
    <definedName name="_xlnm.Print_Titles" localSheetId="15">Culvert!$5:$6</definedName>
    <definedName name="_xlnm.Print_Titles" localSheetId="12">'DETAILED-C.WALL'!$11:$11</definedName>
    <definedName name="_xlnm.Print_Titles" localSheetId="17">#REF!</definedName>
    <definedName name="_xlnm.Print_Titles" localSheetId="23">Filling!$4:$5</definedName>
    <definedName name="_xlnm.Print_Titles" localSheetId="18">'Num &amp; Lett.'!$8:$9</definedName>
    <definedName name="_xlnm.Print_Titles" localSheetId="14">PAVER!$4:$5</definedName>
    <definedName name="_xlnm.Print_Titles" localSheetId="13">'PAVER ROAD'!$4:$5</definedName>
    <definedName name="_xlnm.Print_Titles" localSheetId="6">'Plinth Protection'!$7:$7</definedName>
    <definedName name="_xlnm.Print_Titles" localSheetId="8">'Pump Room'!$5:$5</definedName>
    <definedName name="_xlnm.Print_Titles" localSheetId="5">S.Tank!$7:$7</definedName>
    <definedName name="_xlnm.Print_Titles" localSheetId="9">#REF!</definedName>
    <definedName name="_xlnm.Print_Titles" localSheetId="7">Sump!$7:$8</definedName>
    <definedName name="_xlnm.Print_Titles" localSheetId="10">'TW SHED'!$8:$9</definedName>
    <definedName name="_xlnm.Print_Titles">#REF!</definedName>
    <definedName name="PRINT_TITLES_MI" localSheetId="22">#REF!</definedName>
    <definedName name="PRINT_TITLES_MI" localSheetId="4">#REF!</definedName>
    <definedName name="PRINT_TITLES_MI" localSheetId="1">#REF!</definedName>
    <definedName name="PRINT_TITLES_MI" localSheetId="3">#REF!</definedName>
    <definedName name="PRINT_TITLES_MI" localSheetId="16">#REF!</definedName>
    <definedName name="PRINT_TITLES_MI" localSheetId="11">#REF!</definedName>
    <definedName name="PRINT_TITLES_MI" localSheetId="15">#REF!</definedName>
    <definedName name="PRINT_TITLES_MI" localSheetId="19">Data!$GJ$7:$IG$7593</definedName>
    <definedName name="PRINT_TITLES_MI" localSheetId="2">#REF!</definedName>
    <definedName name="PRINT_TITLES_MI" localSheetId="12">#REF!</definedName>
    <definedName name="PRINT_TITLES_MI" localSheetId="17">#REF!</definedName>
    <definedName name="PRINT_TITLES_MI" localSheetId="23">#REF!</definedName>
    <definedName name="PRINT_TITLES_MI" localSheetId="18">#REF!</definedName>
    <definedName name="PRINT_TITLES_MI" localSheetId="14">#REF!</definedName>
    <definedName name="PRINT_TITLES_MI" localSheetId="13">#REF!</definedName>
    <definedName name="PRINT_TITLES_MI" localSheetId="6">#REF!</definedName>
    <definedName name="PRINT_TITLES_MI" localSheetId="20">#REF!</definedName>
    <definedName name="PRINT_TITLES_MI" localSheetId="8">#REF!</definedName>
    <definedName name="PRINT_TITLES_MI" localSheetId="5">#REF!</definedName>
    <definedName name="PRINT_TITLES_MI" localSheetId="9">#REF!</definedName>
    <definedName name="PRINT_TITLES_MI" localSheetId="7">#REF!</definedName>
    <definedName name="PRINT_TITLES_MI" localSheetId="10">#REF!</definedName>
    <definedName name="PRINT_TITLES_MI">#REF!</definedName>
    <definedName name="PRINT_TITLES_MI_2" localSheetId="22">#REF!</definedName>
    <definedName name="PRINT_TITLES_MI_2" localSheetId="4">#REF!</definedName>
    <definedName name="PRINT_TITLES_MI_2" localSheetId="3">#REF!</definedName>
    <definedName name="PRINT_TITLES_MI_2" localSheetId="16">#REF!</definedName>
    <definedName name="PRINT_TITLES_MI_2" localSheetId="11">#REF!</definedName>
    <definedName name="PRINT_TITLES_MI_2" localSheetId="15">#REF!</definedName>
    <definedName name="PRINT_TITLES_MI_2" localSheetId="12">#REF!</definedName>
    <definedName name="PRINT_TITLES_MI_2" localSheetId="17">#REF!</definedName>
    <definedName name="PRINT_TITLES_MI_2" localSheetId="23">#REF!</definedName>
    <definedName name="PRINT_TITLES_MI_2" localSheetId="18">#REF!</definedName>
    <definedName name="PRINT_TITLES_MI_2" localSheetId="14">#REF!</definedName>
    <definedName name="PRINT_TITLES_MI_2" localSheetId="13">#REF!</definedName>
    <definedName name="PRINT_TITLES_MI_2" localSheetId="6">#REF!</definedName>
    <definedName name="PRINT_TITLES_MI_2" localSheetId="8">#REF!</definedName>
    <definedName name="PRINT_TITLES_MI_2" localSheetId="9">#REF!</definedName>
    <definedName name="PRINT_TITLES_MI_2" localSheetId="7">#REF!</definedName>
    <definedName name="PRINT_TITLES_MI_2" localSheetId="10">#REF!</definedName>
    <definedName name="PRINT_TITLES_MI_2">#REF!</definedName>
    <definedName name="PRINT_TITLES_NW" localSheetId="22">#REF!</definedName>
    <definedName name="PRINT_TITLES_NW" localSheetId="16">#REF!</definedName>
    <definedName name="PRINT_TITLES_NW" localSheetId="11">#REF!</definedName>
    <definedName name="PRINT_TITLES_NW" localSheetId="15">#REF!</definedName>
    <definedName name="PRINT_TITLES_NW" localSheetId="12">#REF!</definedName>
    <definedName name="PRINT_TITLES_NW" localSheetId="17">#REF!</definedName>
    <definedName name="PRINT_TITLES_NW" localSheetId="23">#REF!</definedName>
    <definedName name="PRINT_TITLES_NW" localSheetId="18">#REF!</definedName>
    <definedName name="PRINT_TITLES_NW" localSheetId="14">#REF!</definedName>
    <definedName name="PRINT_TITLES_NW" localSheetId="13">#REF!</definedName>
    <definedName name="PRINT_TITLES_NW" localSheetId="6">#REF!</definedName>
    <definedName name="PRINT_TITLES_NW" localSheetId="8">#REF!</definedName>
    <definedName name="PRINT_TITLES_NW" localSheetId="9">#REF!</definedName>
    <definedName name="PRINT_TITLES_NW" localSheetId="7">#REF!</definedName>
    <definedName name="PRINT_TITLES_NW" localSheetId="10">#REF!</definedName>
    <definedName name="PRINT_TITLES_NW">#REF!</definedName>
    <definedName name="Print_titlesnew" localSheetId="22">#REF!</definedName>
    <definedName name="Print_titlesnew" localSheetId="4">#REF!</definedName>
    <definedName name="Print_titlesnew" localSheetId="3">#REF!</definedName>
    <definedName name="Print_titlesnew" localSheetId="16">#REF!</definedName>
    <definedName name="Print_titlesnew" localSheetId="11">#REF!</definedName>
    <definedName name="Print_titlesnew" localSheetId="15">#REF!</definedName>
    <definedName name="Print_titlesnew" localSheetId="12">#REF!</definedName>
    <definedName name="Print_titlesnew" localSheetId="17">#REF!</definedName>
    <definedName name="Print_titlesnew" localSheetId="23">#REF!</definedName>
    <definedName name="Print_titlesnew" localSheetId="18">#REF!</definedName>
    <definedName name="Print_titlesnew" localSheetId="14">#REF!</definedName>
    <definedName name="Print_titlesnew" localSheetId="13">#REF!</definedName>
    <definedName name="Print_titlesnew" localSheetId="6">#REF!</definedName>
    <definedName name="Print_titlesnew" localSheetId="8">#REF!</definedName>
    <definedName name="Print_titlesnew" localSheetId="9">#REF!</definedName>
    <definedName name="Print_titlesnew" localSheetId="7">#REF!</definedName>
    <definedName name="Print_titlesnew" localSheetId="10">#REF!</definedName>
    <definedName name="Print_titlesnew">#REF!</definedName>
    <definedName name="printarea1" localSheetId="22">#REF!</definedName>
    <definedName name="printarea1" localSheetId="4">#REF!</definedName>
    <definedName name="printarea1" localSheetId="3">#REF!</definedName>
    <definedName name="printarea1" localSheetId="16">#REF!</definedName>
    <definedName name="printarea1" localSheetId="11">#REF!</definedName>
    <definedName name="printarea1" localSheetId="15">#REF!</definedName>
    <definedName name="printarea1" localSheetId="12">#REF!</definedName>
    <definedName name="printarea1" localSheetId="17">#REF!</definedName>
    <definedName name="printarea1" localSheetId="23">#REF!</definedName>
    <definedName name="printarea1" localSheetId="18">#REF!</definedName>
    <definedName name="printarea1" localSheetId="14">#REF!</definedName>
    <definedName name="printarea1" localSheetId="13">#REF!</definedName>
    <definedName name="printarea1" localSheetId="6">#REF!</definedName>
    <definedName name="printarea1" localSheetId="8">#REF!</definedName>
    <definedName name="printarea1" localSheetId="9">#REF!</definedName>
    <definedName name="printarea1" localSheetId="7">#REF!</definedName>
    <definedName name="printarea1" localSheetId="10">#REF!</definedName>
    <definedName name="printarea1">#REF!</definedName>
    <definedName name="ps_app" localSheetId="23">#REF!</definedName>
    <definedName name="ps_app">#REF!</definedName>
    <definedName name="ps_est" localSheetId="23">#REF!</definedName>
    <definedName name="ps_est">#REF!</definedName>
    <definedName name="ps_max" localSheetId="23">#REF!</definedName>
    <definedName name="ps_max">#REF!</definedName>
    <definedName name="ps_paid" localSheetId="23">#REF!</definedName>
    <definedName name="ps_paid">#REF!</definedName>
    <definedName name="ps_quo" localSheetId="23">#REF!</definedName>
    <definedName name="ps_quo">#REF!</definedName>
    <definedName name="ps_rec" localSheetId="23">#REF!</definedName>
    <definedName name="ps_rec">#REF!</definedName>
    <definedName name="q" localSheetId="12">#REF!</definedName>
    <definedName name="q" localSheetId="23">#REF!</definedName>
    <definedName name="q" localSheetId="13">#REF!</definedName>
    <definedName name="q" localSheetId="8">#REF!</definedName>
    <definedName name="q" localSheetId="7">#REF!</definedName>
    <definedName name="q">#REF!</definedName>
    <definedName name="qhjkjcvbn" localSheetId="23">#REF!</definedName>
    <definedName name="qhjkjcvbn" localSheetId="13">#REF!</definedName>
    <definedName name="qhjkjcvbn" localSheetId="8">#REF!</definedName>
    <definedName name="qhjkjcvbn" localSheetId="7">#REF!</definedName>
    <definedName name="qhjkjcvbn">#REF!</definedName>
    <definedName name="QQE" localSheetId="22">#REF!</definedName>
    <definedName name="QQE" localSheetId="4">#REF!</definedName>
    <definedName name="QQE" localSheetId="1">#REF!</definedName>
    <definedName name="QQE" localSheetId="3">#REF!</definedName>
    <definedName name="QQE" localSheetId="16">#REF!</definedName>
    <definedName name="QQE" localSheetId="11">#REF!</definedName>
    <definedName name="QQE" localSheetId="15">#REF!</definedName>
    <definedName name="QQE" localSheetId="2">#REF!</definedName>
    <definedName name="QQE" localSheetId="12">#REF!</definedName>
    <definedName name="QQE" localSheetId="17">#REF!</definedName>
    <definedName name="QQE" localSheetId="23">#REF!</definedName>
    <definedName name="QQE" localSheetId="18">#REF!</definedName>
    <definedName name="QQE" localSheetId="14">#REF!</definedName>
    <definedName name="QQE" localSheetId="13">#REF!</definedName>
    <definedName name="QQE" localSheetId="6">#REF!</definedName>
    <definedName name="QQE" localSheetId="20">#REF!</definedName>
    <definedName name="QQE" localSheetId="8">#REF!</definedName>
    <definedName name="QQE" localSheetId="5">#REF!</definedName>
    <definedName name="QQE" localSheetId="9">#REF!</definedName>
    <definedName name="QQE" localSheetId="7">#REF!</definedName>
    <definedName name="QQE" localSheetId="10">#REF!</definedName>
    <definedName name="QQE">#REF!</definedName>
    <definedName name="QWE" localSheetId="22">#REF!</definedName>
    <definedName name="QWE" localSheetId="4">#REF!</definedName>
    <definedName name="QWE" localSheetId="1">#REF!</definedName>
    <definedName name="QWE" localSheetId="3">#REF!</definedName>
    <definedName name="QWE" localSheetId="16">#REF!</definedName>
    <definedName name="QWE" localSheetId="11">#REF!</definedName>
    <definedName name="QWE" localSheetId="15">#REF!</definedName>
    <definedName name="QWE" localSheetId="2">#REF!</definedName>
    <definedName name="QWE" localSheetId="12">#REF!</definedName>
    <definedName name="QWE" localSheetId="17">#REF!</definedName>
    <definedName name="QWE" localSheetId="23">#REF!</definedName>
    <definedName name="QWE" localSheetId="18">#REF!</definedName>
    <definedName name="QWE" localSheetId="14">#REF!</definedName>
    <definedName name="QWE" localSheetId="13">#REF!</definedName>
    <definedName name="QWE" localSheetId="6">#REF!</definedName>
    <definedName name="QWE" localSheetId="20">#REF!</definedName>
    <definedName name="QWE" localSheetId="8">#REF!</definedName>
    <definedName name="QWE" localSheetId="5">#REF!</definedName>
    <definedName name="QWE" localSheetId="9">#REF!</definedName>
    <definedName name="QWE" localSheetId="7">#REF!</definedName>
    <definedName name="QWE" localSheetId="10">#REF!</definedName>
    <definedName name="QWE">#REF!</definedName>
    <definedName name="R.R_1.3" localSheetId="22">#REF!</definedName>
    <definedName name="R.R_1.3" localSheetId="4">#REF!</definedName>
    <definedName name="R.R_1.3" localSheetId="3">#REF!</definedName>
    <definedName name="R.R_1.3" localSheetId="16">#REF!</definedName>
    <definedName name="R.R_1.3" localSheetId="11">#REF!</definedName>
    <definedName name="R.R_1.3" localSheetId="15">#REF!</definedName>
    <definedName name="R.R_1.3" localSheetId="12">#REF!</definedName>
    <definedName name="R.R_1.3" localSheetId="17">#REF!</definedName>
    <definedName name="R.R_1.3" localSheetId="23">#REF!</definedName>
    <definedName name="R.R_1.3" localSheetId="18">#REF!</definedName>
    <definedName name="R.R_1.3" localSheetId="14">#REF!</definedName>
    <definedName name="R.R_1.3" localSheetId="13">#REF!</definedName>
    <definedName name="R.R_1.3" localSheetId="6">#REF!</definedName>
    <definedName name="R.R_1.3" localSheetId="8">#REF!</definedName>
    <definedName name="R.R_1.3" localSheetId="9">#REF!</definedName>
    <definedName name="R.R_1.3" localSheetId="7">#REF!</definedName>
    <definedName name="R.R_1.3" localSheetId="10">#REF!</definedName>
    <definedName name="R.R_1.3">#REF!</definedName>
    <definedName name="R.R_1.5" localSheetId="22">#REF!</definedName>
    <definedName name="R.R_1.5" localSheetId="4">#REF!</definedName>
    <definedName name="R.R_1.5" localSheetId="3">#REF!</definedName>
    <definedName name="R.R_1.5" localSheetId="16">#REF!</definedName>
    <definedName name="R.R_1.5" localSheetId="11">#REF!</definedName>
    <definedName name="R.R_1.5" localSheetId="15">#REF!</definedName>
    <definedName name="R.R_1.5" localSheetId="12">#REF!</definedName>
    <definedName name="R.R_1.5" localSheetId="17">#REF!</definedName>
    <definedName name="R.R_1.5" localSheetId="23">#REF!</definedName>
    <definedName name="R.R_1.5" localSheetId="18">#REF!</definedName>
    <definedName name="R.R_1.5" localSheetId="14">#REF!</definedName>
    <definedName name="R.R_1.5" localSheetId="13">#REF!</definedName>
    <definedName name="R.R_1.5" localSheetId="6">#REF!</definedName>
    <definedName name="R.R_1.5" localSheetId="8">#REF!</definedName>
    <definedName name="R.R_1.5" localSheetId="9">#REF!</definedName>
    <definedName name="R.R_1.5" localSheetId="7">#REF!</definedName>
    <definedName name="R.R_1.5" localSheetId="10">#REF!</definedName>
    <definedName name="R.R_1.5">#REF!</definedName>
    <definedName name="R.R_1.6" localSheetId="22">#REF!</definedName>
    <definedName name="R.R_1.6" localSheetId="4">#REF!</definedName>
    <definedName name="R.R_1.6" localSheetId="3">#REF!</definedName>
    <definedName name="R.R_1.6" localSheetId="16">#REF!</definedName>
    <definedName name="R.R_1.6" localSheetId="11">#REF!</definedName>
    <definedName name="R.R_1.6" localSheetId="15">#REF!</definedName>
    <definedName name="R.R_1.6" localSheetId="12">#REF!</definedName>
    <definedName name="R.R_1.6" localSheetId="17">#REF!</definedName>
    <definedName name="R.R_1.6" localSheetId="23">#REF!</definedName>
    <definedName name="R.R_1.6" localSheetId="18">#REF!</definedName>
    <definedName name="R.R_1.6" localSheetId="14">#REF!</definedName>
    <definedName name="R.R_1.6" localSheetId="13">#REF!</definedName>
    <definedName name="R.R_1.6" localSheetId="6">#REF!</definedName>
    <definedName name="R.R_1.6" localSheetId="8">#REF!</definedName>
    <definedName name="R.R_1.6" localSheetId="9">#REF!</definedName>
    <definedName name="R.R_1.6" localSheetId="7">#REF!</definedName>
    <definedName name="R.R_1.6" localSheetId="10">#REF!</definedName>
    <definedName name="R.R_1.6">#REF!</definedName>
    <definedName name="raja" localSheetId="22">#REF!</definedName>
    <definedName name="raja" localSheetId="3">#REF!</definedName>
    <definedName name="raja" localSheetId="16">#REF!</definedName>
    <definedName name="raja" localSheetId="11">#REF!</definedName>
    <definedName name="raja" localSheetId="15">#REF!</definedName>
    <definedName name="raja" localSheetId="12">#REF!</definedName>
    <definedName name="raja" localSheetId="17">#REF!</definedName>
    <definedName name="raja" localSheetId="23">#REF!</definedName>
    <definedName name="raja" localSheetId="18">#REF!</definedName>
    <definedName name="raja" localSheetId="14">#REF!</definedName>
    <definedName name="raja" localSheetId="13">#REF!</definedName>
    <definedName name="raja" localSheetId="6">#REF!</definedName>
    <definedName name="raja" localSheetId="8">#REF!</definedName>
    <definedName name="raja" localSheetId="9">#REF!</definedName>
    <definedName name="raja" localSheetId="7">#REF!</definedName>
    <definedName name="raja" localSheetId="10">#REF!</definedName>
    <definedName name="raja">#REF!</definedName>
    <definedName name="RATE" localSheetId="22">#REF!</definedName>
    <definedName name="RATE" localSheetId="4">#REF!</definedName>
    <definedName name="RATE" localSheetId="3">#REF!</definedName>
    <definedName name="RATE" localSheetId="16">#REF!</definedName>
    <definedName name="RATE" localSheetId="11">#REF!</definedName>
    <definedName name="RATE" localSheetId="15">#REF!</definedName>
    <definedName name="RATE" localSheetId="12">#REF!</definedName>
    <definedName name="RATE" localSheetId="17">#REF!</definedName>
    <definedName name="RATE" localSheetId="23">#REF!</definedName>
    <definedName name="RATE" localSheetId="18">#REF!</definedName>
    <definedName name="RATE" localSheetId="14">#REF!</definedName>
    <definedName name="RATE" localSheetId="13">#REF!</definedName>
    <definedName name="RATE" localSheetId="6">#REF!</definedName>
    <definedName name="RATE" localSheetId="8">#REF!</definedName>
    <definedName name="RATE" localSheetId="9">#REF!</definedName>
    <definedName name="RATE" localSheetId="7">#REF!</definedName>
    <definedName name="RATE" localSheetId="10">#REF!</definedName>
    <definedName name="RATE">#REF!</definedName>
    <definedName name="Rate_for_1_Cum" localSheetId="22">#REF!</definedName>
    <definedName name="Rate_for_1_Cum" localSheetId="4">#REF!</definedName>
    <definedName name="Rate_for_1_Cum" localSheetId="3">#REF!</definedName>
    <definedName name="Rate_for_1_Cum" localSheetId="16">#REF!</definedName>
    <definedName name="Rate_for_1_Cum" localSheetId="11">#REF!</definedName>
    <definedName name="Rate_for_1_Cum" localSheetId="15">#REF!</definedName>
    <definedName name="Rate_for_1_Cum" localSheetId="12">#REF!</definedName>
    <definedName name="Rate_for_1_Cum" localSheetId="17">#REF!</definedName>
    <definedName name="Rate_for_1_Cum" localSheetId="23">#REF!</definedName>
    <definedName name="Rate_for_1_Cum" localSheetId="18">#REF!</definedName>
    <definedName name="Rate_for_1_Cum" localSheetId="14">#REF!</definedName>
    <definedName name="Rate_for_1_Cum" localSheetId="13">#REF!</definedName>
    <definedName name="Rate_for_1_Cum" localSheetId="6">#REF!</definedName>
    <definedName name="Rate_for_1_Cum" localSheetId="8">#REF!</definedName>
    <definedName name="Rate_for_1_Cum" localSheetId="9">#REF!</definedName>
    <definedName name="Rate_for_1_Cum" localSheetId="7">#REF!</definedName>
    <definedName name="Rate_for_1_Cum" localSheetId="10">#REF!</definedName>
    <definedName name="Rate_for_1_Cum">#REF!</definedName>
    <definedName name="Rates_Charges" localSheetId="22">#REF!</definedName>
    <definedName name="Rates_Charges" localSheetId="4">#REF!</definedName>
    <definedName name="Rates_Charges" localSheetId="3">#REF!</definedName>
    <definedName name="Rates_Charges" localSheetId="16">#REF!</definedName>
    <definedName name="Rates_Charges" localSheetId="11">#REF!</definedName>
    <definedName name="Rates_Charges" localSheetId="15">#REF!</definedName>
    <definedName name="Rates_Charges" localSheetId="12">#REF!</definedName>
    <definedName name="Rates_Charges" localSheetId="17">#REF!</definedName>
    <definedName name="Rates_Charges" localSheetId="23">#REF!</definedName>
    <definedName name="Rates_Charges" localSheetId="18">#REF!</definedName>
    <definedName name="Rates_Charges" localSheetId="14">#REF!</definedName>
    <definedName name="Rates_Charges" localSheetId="13">#REF!</definedName>
    <definedName name="Rates_Charges" localSheetId="6">#REF!</definedName>
    <definedName name="Rates_Charges" localSheetId="8">#REF!</definedName>
    <definedName name="Rates_Charges" localSheetId="9">#REF!</definedName>
    <definedName name="Rates_Charges" localSheetId="7">#REF!</definedName>
    <definedName name="Rates_Charges" localSheetId="10">#REF!</definedName>
    <definedName name="Rates_Charges">#REF!</definedName>
    <definedName name="Rates_Labour" localSheetId="22">#REF!</definedName>
    <definedName name="Rates_Labour" localSheetId="4">#REF!</definedName>
    <definedName name="Rates_Labour" localSheetId="3">#REF!</definedName>
    <definedName name="Rates_Labour" localSheetId="16">#REF!</definedName>
    <definedName name="Rates_Labour" localSheetId="11">#REF!</definedName>
    <definedName name="Rates_Labour" localSheetId="15">#REF!</definedName>
    <definedName name="Rates_Labour" localSheetId="12">#REF!</definedName>
    <definedName name="Rates_Labour" localSheetId="17">#REF!</definedName>
    <definedName name="Rates_Labour" localSheetId="23">#REF!</definedName>
    <definedName name="Rates_Labour" localSheetId="18">#REF!</definedName>
    <definedName name="Rates_Labour" localSheetId="14">#REF!</definedName>
    <definedName name="Rates_Labour" localSheetId="13">#REF!</definedName>
    <definedName name="Rates_Labour" localSheetId="6">#REF!</definedName>
    <definedName name="Rates_Labour" localSheetId="8">#REF!</definedName>
    <definedName name="Rates_Labour" localSheetId="9">#REF!</definedName>
    <definedName name="Rates_Labour" localSheetId="7">#REF!</definedName>
    <definedName name="Rates_Labour" localSheetId="10">#REF!</definedName>
    <definedName name="Rates_Labour">#REF!</definedName>
    <definedName name="Rates_Materials" localSheetId="22">#REF!</definedName>
    <definedName name="Rates_Materials" localSheetId="4">#REF!</definedName>
    <definedName name="Rates_Materials" localSheetId="3">#REF!</definedName>
    <definedName name="Rates_Materials" localSheetId="16">#REF!</definedName>
    <definedName name="Rates_Materials" localSheetId="11">#REF!</definedName>
    <definedName name="Rates_Materials" localSheetId="15">#REF!</definedName>
    <definedName name="Rates_Materials" localSheetId="12">#REF!</definedName>
    <definedName name="Rates_Materials" localSheetId="17">#REF!</definedName>
    <definedName name="Rates_Materials" localSheetId="23">#REF!</definedName>
    <definedName name="Rates_Materials" localSheetId="18">#REF!</definedName>
    <definedName name="Rates_Materials" localSheetId="14">#REF!</definedName>
    <definedName name="Rates_Materials" localSheetId="13">#REF!</definedName>
    <definedName name="Rates_Materials" localSheetId="6">#REF!</definedName>
    <definedName name="Rates_Materials" localSheetId="8">#REF!</definedName>
    <definedName name="Rates_Materials" localSheetId="9">#REF!</definedName>
    <definedName name="Rates_Materials" localSheetId="7">#REF!</definedName>
    <definedName name="Rates_Materials" localSheetId="10">#REF!</definedName>
    <definedName name="Rates_Materials">#REF!</definedName>
    <definedName name="RCC" localSheetId="22">#REF!</definedName>
    <definedName name="RCC" localSheetId="4">#REF!</definedName>
    <definedName name="RCC" localSheetId="3">#REF!</definedName>
    <definedName name="RCC" localSheetId="16">#REF!</definedName>
    <definedName name="RCC" localSheetId="11">#REF!</definedName>
    <definedName name="RCC" localSheetId="15">#REF!</definedName>
    <definedName name="RCC" localSheetId="12">#REF!</definedName>
    <definedName name="RCC" localSheetId="17">#REF!</definedName>
    <definedName name="RCC" localSheetId="23">#REF!</definedName>
    <definedName name="RCC" localSheetId="18">#REF!</definedName>
    <definedName name="RCC" localSheetId="14">#REF!</definedName>
    <definedName name="RCC" localSheetId="13">#REF!</definedName>
    <definedName name="RCC" localSheetId="6">#REF!</definedName>
    <definedName name="RCC" localSheetId="8">#REF!</definedName>
    <definedName name="RCC" localSheetId="9">#REF!</definedName>
    <definedName name="RCC" localSheetId="7">#REF!</definedName>
    <definedName name="RCC" localSheetId="10">#REF!</definedName>
    <definedName name="RCC">#REF!</definedName>
    <definedName name="RCC.1.1.2_MB" localSheetId="22">#REF!</definedName>
    <definedName name="RCC.1.1.2_MB" localSheetId="4">#REF!</definedName>
    <definedName name="RCC.1.1.2_MB" localSheetId="3">#REF!</definedName>
    <definedName name="RCC.1.1.2_MB" localSheetId="16">#REF!</definedName>
    <definedName name="RCC.1.1.2_MB" localSheetId="11">#REF!</definedName>
    <definedName name="RCC.1.1.2_MB" localSheetId="15">#REF!</definedName>
    <definedName name="RCC.1.1.2_MB" localSheetId="12">#REF!</definedName>
    <definedName name="RCC.1.1.2_MB" localSheetId="17">#REF!</definedName>
    <definedName name="RCC.1.1.2_MB" localSheetId="23">#REF!</definedName>
    <definedName name="RCC.1.1.2_MB" localSheetId="18">#REF!</definedName>
    <definedName name="RCC.1.1.2_MB" localSheetId="14">#REF!</definedName>
    <definedName name="RCC.1.1.2_MB" localSheetId="13">#REF!</definedName>
    <definedName name="RCC.1.1.2_MB" localSheetId="6">#REF!</definedName>
    <definedName name="RCC.1.1.2_MB" localSheetId="8">#REF!</definedName>
    <definedName name="RCC.1.1.2_MB" localSheetId="9">#REF!</definedName>
    <definedName name="RCC.1.1.2_MB" localSheetId="7">#REF!</definedName>
    <definedName name="RCC.1.1.2_MB" localSheetId="10">#REF!</definedName>
    <definedName name="RCC.1.1.2_MB">#REF!</definedName>
    <definedName name="RCC.1.1.5.3_MB" localSheetId="22">#REF!</definedName>
    <definedName name="RCC.1.1.5.3_MB" localSheetId="4">#REF!</definedName>
    <definedName name="RCC.1.1.5.3_MB" localSheetId="3">#REF!</definedName>
    <definedName name="RCC.1.1.5.3_MB" localSheetId="16">#REF!</definedName>
    <definedName name="RCC.1.1.5.3_MB" localSheetId="11">#REF!</definedName>
    <definedName name="RCC.1.1.5.3_MB" localSheetId="15">#REF!</definedName>
    <definedName name="RCC.1.1.5.3_MB" localSheetId="12">#REF!</definedName>
    <definedName name="RCC.1.1.5.3_MB" localSheetId="17">#REF!</definedName>
    <definedName name="RCC.1.1.5.3_MB" localSheetId="23">#REF!</definedName>
    <definedName name="RCC.1.1.5.3_MB" localSheetId="18">#REF!</definedName>
    <definedName name="RCC.1.1.5.3_MB" localSheetId="14">#REF!</definedName>
    <definedName name="RCC.1.1.5.3_MB" localSheetId="13">#REF!</definedName>
    <definedName name="RCC.1.1.5.3_MB" localSheetId="6">#REF!</definedName>
    <definedName name="RCC.1.1.5.3_MB" localSheetId="8">#REF!</definedName>
    <definedName name="RCC.1.1.5.3_MB" localSheetId="9">#REF!</definedName>
    <definedName name="RCC.1.1.5.3_MB" localSheetId="7">#REF!</definedName>
    <definedName name="RCC.1.1.5.3_MB" localSheetId="10">#REF!</definedName>
    <definedName name="RCC.1.1.5.3_MB">#REF!</definedName>
    <definedName name="RCC.1.2.4_MB" localSheetId="22">#REF!</definedName>
    <definedName name="RCC.1.2.4_MB" localSheetId="4">#REF!</definedName>
    <definedName name="RCC.1.2.4_MB" localSheetId="3">#REF!</definedName>
    <definedName name="RCC.1.2.4_MB" localSheetId="16">#REF!</definedName>
    <definedName name="RCC.1.2.4_MB" localSheetId="11">#REF!</definedName>
    <definedName name="RCC.1.2.4_MB" localSheetId="15">#REF!</definedName>
    <definedName name="RCC.1.2.4_MB" localSheetId="12">#REF!</definedName>
    <definedName name="RCC.1.2.4_MB" localSheetId="17">#REF!</definedName>
    <definedName name="RCC.1.2.4_MB" localSheetId="23">#REF!</definedName>
    <definedName name="RCC.1.2.4_MB" localSheetId="18">#REF!</definedName>
    <definedName name="RCC.1.2.4_MB" localSheetId="14">#REF!</definedName>
    <definedName name="RCC.1.2.4_MB" localSheetId="13">#REF!</definedName>
    <definedName name="RCC.1.2.4_MB" localSheetId="6">#REF!</definedName>
    <definedName name="RCC.1.2.4_MB" localSheetId="8">#REF!</definedName>
    <definedName name="RCC.1.2.4_MB" localSheetId="9">#REF!</definedName>
    <definedName name="RCC.1.2.4_MB" localSheetId="7">#REF!</definedName>
    <definedName name="RCC.1.2.4_MB" localSheetId="10">#REF!</definedName>
    <definedName name="RCC.1.2.4_MB">#REF!</definedName>
    <definedName name="RCC_11" localSheetId="22">#REF!</definedName>
    <definedName name="RCC_11" localSheetId="4">#REF!</definedName>
    <definedName name="RCC_11" localSheetId="3">#REF!</definedName>
    <definedName name="RCC_11" localSheetId="16">#REF!</definedName>
    <definedName name="RCC_11" localSheetId="11">#REF!</definedName>
    <definedName name="RCC_11" localSheetId="15">#REF!</definedName>
    <definedName name="RCC_11" localSheetId="12">#REF!</definedName>
    <definedName name="RCC_11" localSheetId="17">#REF!</definedName>
    <definedName name="RCC_11" localSheetId="23">#REF!</definedName>
    <definedName name="RCC_11" localSheetId="18">#REF!</definedName>
    <definedName name="RCC_11" localSheetId="14">#REF!</definedName>
    <definedName name="RCC_11" localSheetId="13">#REF!</definedName>
    <definedName name="RCC_11" localSheetId="6">#REF!</definedName>
    <definedName name="RCC_11" localSheetId="8">#REF!</definedName>
    <definedName name="RCC_11" localSheetId="9">#REF!</definedName>
    <definedName name="RCC_11" localSheetId="7">#REF!</definedName>
    <definedName name="RCC_11" localSheetId="10">#REF!</definedName>
    <definedName name="RCC_11">#REF!</definedName>
    <definedName name="RCC_3" localSheetId="22">#REF!</definedName>
    <definedName name="RCC_3" localSheetId="4">#REF!</definedName>
    <definedName name="RCC_3" localSheetId="3">#REF!</definedName>
    <definedName name="RCC_3" localSheetId="16">#REF!</definedName>
    <definedName name="RCC_3" localSheetId="11">#REF!</definedName>
    <definedName name="RCC_3" localSheetId="15">#REF!</definedName>
    <definedName name="RCC_3" localSheetId="12">#REF!</definedName>
    <definedName name="RCC_3" localSheetId="17">#REF!</definedName>
    <definedName name="RCC_3" localSheetId="23">#REF!</definedName>
    <definedName name="RCC_3" localSheetId="18">#REF!</definedName>
    <definedName name="RCC_3" localSheetId="14">#REF!</definedName>
    <definedName name="RCC_3" localSheetId="13">#REF!</definedName>
    <definedName name="RCC_3" localSheetId="6">#REF!</definedName>
    <definedName name="RCC_3" localSheetId="8">#REF!</definedName>
    <definedName name="RCC_3" localSheetId="9">#REF!</definedName>
    <definedName name="RCC_3" localSheetId="7">#REF!</definedName>
    <definedName name="RCC_3" localSheetId="10">#REF!</definedName>
    <definedName name="RCC_3">#REF!</definedName>
    <definedName name="RCC_6" localSheetId="22">#REF!</definedName>
    <definedName name="RCC_6" localSheetId="4">#REF!</definedName>
    <definedName name="RCC_6" localSheetId="3">#REF!</definedName>
    <definedName name="RCC_6" localSheetId="16">#REF!</definedName>
    <definedName name="RCC_6" localSheetId="11">#REF!</definedName>
    <definedName name="RCC_6" localSheetId="15">#REF!</definedName>
    <definedName name="RCC_6" localSheetId="12">#REF!</definedName>
    <definedName name="RCC_6" localSheetId="17">#REF!</definedName>
    <definedName name="RCC_6" localSheetId="23">#REF!</definedName>
    <definedName name="RCC_6" localSheetId="18">#REF!</definedName>
    <definedName name="RCC_6" localSheetId="14">#REF!</definedName>
    <definedName name="RCC_6" localSheetId="13">#REF!</definedName>
    <definedName name="RCC_6" localSheetId="6">#REF!</definedName>
    <definedName name="RCC_6" localSheetId="8">#REF!</definedName>
    <definedName name="RCC_6" localSheetId="9">#REF!</definedName>
    <definedName name="RCC_6" localSheetId="7">#REF!</definedName>
    <definedName name="RCC_6" localSheetId="10">#REF!</definedName>
    <definedName name="RCC_6">#REF!</definedName>
    <definedName name="re" localSheetId="22">#REF!</definedName>
    <definedName name="re" localSheetId="4">#REF!</definedName>
    <definedName name="re" localSheetId="3">#REF!</definedName>
    <definedName name="re" localSheetId="16">#REF!</definedName>
    <definedName name="re" localSheetId="11">#REF!</definedName>
    <definedName name="re" localSheetId="15">#REF!</definedName>
    <definedName name="re" localSheetId="12">#REF!</definedName>
    <definedName name="re" localSheetId="17">#REF!</definedName>
    <definedName name="re" localSheetId="23">#REF!</definedName>
    <definedName name="re" localSheetId="18">#REF!</definedName>
    <definedName name="re" localSheetId="14">#REF!</definedName>
    <definedName name="re" localSheetId="13">#REF!</definedName>
    <definedName name="re" localSheetId="6">#REF!</definedName>
    <definedName name="re" localSheetId="8">#REF!</definedName>
    <definedName name="re" localSheetId="9">#REF!</definedName>
    <definedName name="re" localSheetId="7">#REF!</definedName>
    <definedName name="re" localSheetId="10">#REF!</definedName>
    <definedName name="re">#REF!</definedName>
    <definedName name="red" localSheetId="22">#REF!</definedName>
    <definedName name="red" localSheetId="4">#REF!</definedName>
    <definedName name="red" localSheetId="3">#REF!</definedName>
    <definedName name="red" localSheetId="16">#REF!</definedName>
    <definedName name="red" localSheetId="11">#REF!</definedName>
    <definedName name="red" localSheetId="15">#REF!</definedName>
    <definedName name="red" localSheetId="12">#REF!</definedName>
    <definedName name="red" localSheetId="17">#REF!</definedName>
    <definedName name="red" localSheetId="23">#REF!</definedName>
    <definedName name="red" localSheetId="18">#REF!</definedName>
    <definedName name="red" localSheetId="14">#REF!</definedName>
    <definedName name="red" localSheetId="13">#REF!</definedName>
    <definedName name="red" localSheetId="6">#REF!</definedName>
    <definedName name="red" localSheetId="8">#REF!</definedName>
    <definedName name="red" localSheetId="9">#REF!</definedName>
    <definedName name="red" localSheetId="7">#REF!</definedName>
    <definedName name="red" localSheetId="10">#REF!</definedName>
    <definedName name="red">#REF!</definedName>
    <definedName name="REDOXIDE" localSheetId="22">#REF!</definedName>
    <definedName name="REDOXIDE" localSheetId="4">#REF!</definedName>
    <definedName name="REDOXIDE" localSheetId="3">#REF!</definedName>
    <definedName name="REDOXIDE" localSheetId="16">#REF!</definedName>
    <definedName name="REDOXIDE" localSheetId="11">#REF!</definedName>
    <definedName name="REDOXIDE" localSheetId="15">#REF!</definedName>
    <definedName name="REDOXIDE" localSheetId="12">#REF!</definedName>
    <definedName name="REDOXIDE" localSheetId="17">#REF!</definedName>
    <definedName name="REDOXIDE" localSheetId="23">#REF!</definedName>
    <definedName name="REDOXIDE" localSheetId="18">#REF!</definedName>
    <definedName name="REDOXIDE" localSheetId="14">#REF!</definedName>
    <definedName name="REDOXIDE" localSheetId="13">#REF!</definedName>
    <definedName name="REDOXIDE" localSheetId="6">#REF!</definedName>
    <definedName name="REDOXIDE" localSheetId="8">#REF!</definedName>
    <definedName name="REDOXIDE" localSheetId="9">#REF!</definedName>
    <definedName name="REDOXIDE" localSheetId="7">#REF!</definedName>
    <definedName name="REDOXIDE" localSheetId="10">#REF!</definedName>
    <definedName name="REDOXIDE">#REF!</definedName>
    <definedName name="REINFORCE" localSheetId="22">#REF!</definedName>
    <definedName name="REINFORCE" localSheetId="4">#REF!</definedName>
    <definedName name="REINFORCE" localSheetId="3">#REF!</definedName>
    <definedName name="REINFORCE" localSheetId="16">#REF!</definedName>
    <definedName name="REINFORCE" localSheetId="11">#REF!</definedName>
    <definedName name="REINFORCE" localSheetId="15">#REF!</definedName>
    <definedName name="REINFORCE" localSheetId="12">#REF!</definedName>
    <definedName name="REINFORCE" localSheetId="17">#REF!</definedName>
    <definedName name="REINFORCE" localSheetId="23">#REF!</definedName>
    <definedName name="REINFORCE" localSheetId="18">#REF!</definedName>
    <definedName name="REINFORCE" localSheetId="14">#REF!</definedName>
    <definedName name="REINFORCE" localSheetId="13">#REF!</definedName>
    <definedName name="REINFORCE" localSheetId="6">#REF!</definedName>
    <definedName name="REINFORCE" localSheetId="8">#REF!</definedName>
    <definedName name="REINFORCE" localSheetId="9">#REF!</definedName>
    <definedName name="REINFORCE" localSheetId="7">#REF!</definedName>
    <definedName name="REINFORCE" localSheetId="10">#REF!</definedName>
    <definedName name="REINFORCE">#REF!</definedName>
    <definedName name="rerewr" localSheetId="22">#REF!</definedName>
    <definedName name="rerewr" localSheetId="3">#REF!</definedName>
    <definedName name="rerewr" localSheetId="16">#REF!</definedName>
    <definedName name="rerewr" localSheetId="11">#REF!</definedName>
    <definedName name="rerewr" localSheetId="15">#REF!</definedName>
    <definedName name="rerewr" localSheetId="12">#REF!</definedName>
    <definedName name="rerewr" localSheetId="17">#REF!</definedName>
    <definedName name="rerewr" localSheetId="23">#REF!</definedName>
    <definedName name="rerewr" localSheetId="18">#REF!</definedName>
    <definedName name="rerewr" localSheetId="14">#REF!</definedName>
    <definedName name="rerewr" localSheetId="13">#REF!</definedName>
    <definedName name="rerewr" localSheetId="6">#REF!</definedName>
    <definedName name="rerewr" localSheetId="8">#REF!</definedName>
    <definedName name="rerewr" localSheetId="9">#REF!</definedName>
    <definedName name="rerewr" localSheetId="7">#REF!</definedName>
    <definedName name="rerewr" localSheetId="10">#REF!</definedName>
    <definedName name="rerewr">#REF!</definedName>
    <definedName name="Road_Data" localSheetId="22">[4]Data!#REF!</definedName>
    <definedName name="Road_Data" localSheetId="3">[5]Data!#REF!</definedName>
    <definedName name="Road_Data" localSheetId="16">[6]Data!#REF!</definedName>
    <definedName name="Road_Data" localSheetId="11">[6]Data!#REF!</definedName>
    <definedName name="Road_Data" localSheetId="15">[6]Data!#REF!</definedName>
    <definedName name="Road_Data" localSheetId="12">[7]Data!#REF!</definedName>
    <definedName name="Road_Data" localSheetId="17">[6]Data!#REF!</definedName>
    <definedName name="Road_Data" localSheetId="23">[7]Data!#REF!</definedName>
    <definedName name="Road_Data" localSheetId="18">[6]Data!#REF!</definedName>
    <definedName name="Road_Data" localSheetId="14">[6]Data!#REF!</definedName>
    <definedName name="Road_Data" localSheetId="13">[7]Data!#REF!</definedName>
    <definedName name="Road_Data" localSheetId="6">[6]Data!#REF!</definedName>
    <definedName name="Road_Data" localSheetId="8">[8]Data!#REF!</definedName>
    <definedName name="Road_Data" localSheetId="9">[7]Data!#REF!</definedName>
    <definedName name="Road_Data" localSheetId="7">[8]Data!#REF!</definedName>
    <definedName name="Road_Data" localSheetId="10">[6]Data!#REF!</definedName>
    <definedName name="Road_Data">[5]Data!#REF!</definedName>
    <definedName name="Road_data_1" localSheetId="22">#REF!</definedName>
    <definedName name="Road_data_1" localSheetId="4">#REF!</definedName>
    <definedName name="Road_data_1" localSheetId="3">#REF!</definedName>
    <definedName name="Road_data_1" localSheetId="16">#REF!</definedName>
    <definedName name="Road_data_1" localSheetId="11">#REF!</definedName>
    <definedName name="Road_data_1" localSheetId="15">#REF!</definedName>
    <definedName name="Road_data_1" localSheetId="12">#REF!</definedName>
    <definedName name="Road_data_1" localSheetId="17">#REF!</definedName>
    <definedName name="Road_data_1" localSheetId="23">#REF!</definedName>
    <definedName name="Road_data_1" localSheetId="18">#REF!</definedName>
    <definedName name="Road_data_1" localSheetId="14">#REF!</definedName>
    <definedName name="Road_data_1" localSheetId="13">#REF!</definedName>
    <definedName name="Road_data_1" localSheetId="6">#REF!</definedName>
    <definedName name="Road_data_1" localSheetId="8">#REF!</definedName>
    <definedName name="Road_data_1" localSheetId="9">#REF!</definedName>
    <definedName name="Road_data_1" localSheetId="7">#REF!</definedName>
    <definedName name="Road_data_1" localSheetId="10">#REF!</definedName>
    <definedName name="Road_data_1">#REF!</definedName>
    <definedName name="Road_Data_11" localSheetId="22">#REF!</definedName>
    <definedName name="Road_Data_11" localSheetId="4">#REF!</definedName>
    <definedName name="Road_Data_11" localSheetId="3">#REF!</definedName>
    <definedName name="Road_Data_11" localSheetId="16">#REF!</definedName>
    <definedName name="Road_Data_11" localSheetId="11">#REF!</definedName>
    <definedName name="Road_Data_11" localSheetId="15">#REF!</definedName>
    <definedName name="Road_Data_11" localSheetId="12">#REF!</definedName>
    <definedName name="Road_Data_11" localSheetId="17">#REF!</definedName>
    <definedName name="Road_Data_11" localSheetId="23">#REF!</definedName>
    <definedName name="Road_Data_11" localSheetId="18">#REF!</definedName>
    <definedName name="Road_Data_11" localSheetId="14">#REF!</definedName>
    <definedName name="Road_Data_11" localSheetId="13">#REF!</definedName>
    <definedName name="Road_Data_11" localSheetId="6">#REF!</definedName>
    <definedName name="Road_Data_11" localSheetId="8">#REF!</definedName>
    <definedName name="Road_Data_11" localSheetId="9">#REF!</definedName>
    <definedName name="Road_Data_11" localSheetId="7">#REF!</definedName>
    <definedName name="Road_Data_11" localSheetId="10">#REF!</definedName>
    <definedName name="Road_Data_11">#REF!</definedName>
    <definedName name="Road_data_2" localSheetId="22">#REF!</definedName>
    <definedName name="Road_data_2" localSheetId="4">#REF!</definedName>
    <definedName name="Road_data_2" localSheetId="3">#REF!</definedName>
    <definedName name="Road_data_2" localSheetId="16">#REF!</definedName>
    <definedName name="Road_data_2" localSheetId="11">#REF!</definedName>
    <definedName name="Road_data_2" localSheetId="15">#REF!</definedName>
    <definedName name="Road_data_2" localSheetId="12">#REF!</definedName>
    <definedName name="Road_data_2" localSheetId="17">#REF!</definedName>
    <definedName name="Road_data_2" localSheetId="23">#REF!</definedName>
    <definedName name="Road_data_2" localSheetId="18">#REF!</definedName>
    <definedName name="Road_data_2" localSheetId="14">#REF!</definedName>
    <definedName name="Road_data_2" localSheetId="13">#REF!</definedName>
    <definedName name="Road_data_2" localSheetId="6">#REF!</definedName>
    <definedName name="Road_data_2" localSheetId="8">#REF!</definedName>
    <definedName name="Road_data_2" localSheetId="9">#REF!</definedName>
    <definedName name="Road_data_2" localSheetId="7">#REF!</definedName>
    <definedName name="Road_data_2" localSheetId="10">#REF!</definedName>
    <definedName name="Road_data_2">#REF!</definedName>
    <definedName name="Road_Data_3" localSheetId="22">#REF!</definedName>
    <definedName name="Road_Data_3" localSheetId="4">#REF!</definedName>
    <definedName name="Road_Data_3" localSheetId="3">#REF!</definedName>
    <definedName name="Road_Data_3" localSheetId="16">#REF!</definedName>
    <definedName name="Road_Data_3" localSheetId="11">#REF!</definedName>
    <definedName name="Road_Data_3" localSheetId="15">#REF!</definedName>
    <definedName name="Road_Data_3" localSheetId="12">#REF!</definedName>
    <definedName name="Road_Data_3" localSheetId="17">#REF!</definedName>
    <definedName name="Road_Data_3" localSheetId="23">#REF!</definedName>
    <definedName name="Road_Data_3" localSheetId="18">#REF!</definedName>
    <definedName name="Road_Data_3" localSheetId="14">#REF!</definedName>
    <definedName name="Road_Data_3" localSheetId="13">#REF!</definedName>
    <definedName name="Road_Data_3" localSheetId="6">#REF!</definedName>
    <definedName name="Road_Data_3" localSheetId="8">#REF!</definedName>
    <definedName name="Road_Data_3" localSheetId="9">#REF!</definedName>
    <definedName name="Road_Data_3" localSheetId="7">#REF!</definedName>
    <definedName name="Road_Data_3" localSheetId="10">#REF!</definedName>
    <definedName name="Road_Data_3">#REF!</definedName>
    <definedName name="Road_data_5" localSheetId="22">#REF!</definedName>
    <definedName name="Road_data_5" localSheetId="4">#REF!</definedName>
    <definedName name="Road_data_5" localSheetId="3">#REF!</definedName>
    <definedName name="Road_data_5" localSheetId="16">#REF!</definedName>
    <definedName name="Road_data_5" localSheetId="11">#REF!</definedName>
    <definedName name="Road_data_5" localSheetId="15">#REF!</definedName>
    <definedName name="Road_data_5" localSheetId="12">#REF!</definedName>
    <definedName name="Road_data_5" localSheetId="17">#REF!</definedName>
    <definedName name="Road_data_5" localSheetId="23">#REF!</definedName>
    <definedName name="Road_data_5" localSheetId="18">#REF!</definedName>
    <definedName name="Road_data_5" localSheetId="14">#REF!</definedName>
    <definedName name="Road_data_5" localSheetId="13">#REF!</definedName>
    <definedName name="Road_data_5" localSheetId="6">#REF!</definedName>
    <definedName name="Road_data_5" localSheetId="8">#REF!</definedName>
    <definedName name="Road_data_5" localSheetId="9">#REF!</definedName>
    <definedName name="Road_data_5" localSheetId="7">#REF!</definedName>
    <definedName name="Road_data_5" localSheetId="10">#REF!</definedName>
    <definedName name="Road_data_5">#REF!</definedName>
    <definedName name="Road_data_6" localSheetId="22">#REF!</definedName>
    <definedName name="Road_data_6" localSheetId="4">#REF!</definedName>
    <definedName name="Road_data_6" localSheetId="3">#REF!</definedName>
    <definedName name="Road_data_6" localSheetId="16">#REF!</definedName>
    <definedName name="Road_data_6" localSheetId="11">#REF!</definedName>
    <definedName name="Road_data_6" localSheetId="15">#REF!</definedName>
    <definedName name="Road_data_6" localSheetId="12">#REF!</definedName>
    <definedName name="Road_data_6" localSheetId="17">#REF!</definedName>
    <definedName name="Road_data_6" localSheetId="23">#REF!</definedName>
    <definedName name="Road_data_6" localSheetId="18">#REF!</definedName>
    <definedName name="Road_data_6" localSheetId="14">#REF!</definedName>
    <definedName name="Road_data_6" localSheetId="13">#REF!</definedName>
    <definedName name="Road_data_6" localSheetId="6">#REF!</definedName>
    <definedName name="Road_data_6" localSheetId="8">#REF!</definedName>
    <definedName name="Road_data_6" localSheetId="9">#REF!</definedName>
    <definedName name="Road_data_6" localSheetId="7">#REF!</definedName>
    <definedName name="Road_data_6" localSheetId="10">#REF!</definedName>
    <definedName name="Road_data_6">#REF!</definedName>
    <definedName name="Road_Data_7" localSheetId="22">[4]Data!#REF!</definedName>
    <definedName name="Road_Data_7" localSheetId="3">[5]Data!#REF!</definedName>
    <definedName name="Road_Data_7" localSheetId="16">[6]Data!#REF!</definedName>
    <definedName name="Road_Data_7" localSheetId="11">[6]Data!#REF!</definedName>
    <definedName name="Road_Data_7" localSheetId="15">[6]Data!#REF!</definedName>
    <definedName name="Road_Data_7" localSheetId="12">[7]Data!#REF!</definedName>
    <definedName name="Road_Data_7" localSheetId="17">[6]Data!#REF!</definedName>
    <definedName name="Road_Data_7" localSheetId="23">[7]Data!#REF!</definedName>
    <definedName name="Road_Data_7" localSheetId="18">[6]Data!#REF!</definedName>
    <definedName name="Road_Data_7" localSheetId="14">[6]Data!#REF!</definedName>
    <definedName name="Road_Data_7" localSheetId="13">[7]Data!#REF!</definedName>
    <definedName name="Road_Data_7" localSheetId="6">[6]Data!#REF!</definedName>
    <definedName name="Road_Data_7" localSheetId="8">[8]Data!#REF!</definedName>
    <definedName name="Road_Data_7" localSheetId="9">[7]Data!#REF!</definedName>
    <definedName name="Road_Data_7" localSheetId="7">[8]Data!#REF!</definedName>
    <definedName name="Road_Data_7" localSheetId="10">[6]Data!#REF!</definedName>
    <definedName name="Road_Data_7">[5]Data!#REF!</definedName>
    <definedName name="Road_Data_8" localSheetId="22">[4]Data!#REF!</definedName>
    <definedName name="Road_Data_8" localSheetId="3">[5]Data!#REF!</definedName>
    <definedName name="Road_Data_8" localSheetId="16">[6]Data!#REF!</definedName>
    <definedName name="Road_Data_8" localSheetId="11">[6]Data!#REF!</definedName>
    <definedName name="Road_Data_8" localSheetId="15">[6]Data!#REF!</definedName>
    <definedName name="Road_Data_8" localSheetId="12">[7]Data!#REF!</definedName>
    <definedName name="Road_Data_8" localSheetId="17">[6]Data!#REF!</definedName>
    <definedName name="Road_Data_8" localSheetId="23">[7]Data!#REF!</definedName>
    <definedName name="Road_Data_8" localSheetId="18">[6]Data!#REF!</definedName>
    <definedName name="Road_Data_8" localSheetId="14">[6]Data!#REF!</definedName>
    <definedName name="Road_Data_8" localSheetId="13">[7]Data!#REF!</definedName>
    <definedName name="Road_Data_8" localSheetId="6">[6]Data!#REF!</definedName>
    <definedName name="Road_Data_8" localSheetId="8">[8]Data!#REF!</definedName>
    <definedName name="Road_Data_8" localSheetId="9">[7]Data!#REF!</definedName>
    <definedName name="Road_Data_8" localSheetId="7">[8]Data!#REF!</definedName>
    <definedName name="Road_Data_8" localSheetId="10">[6]Data!#REF!</definedName>
    <definedName name="Road_Data_8">[5]Data!#REF!</definedName>
    <definedName name="Roof_finishing" localSheetId="22">#REF!</definedName>
    <definedName name="Roof_finishing" localSheetId="4">#REF!</definedName>
    <definedName name="Roof_finishing" localSheetId="3">#REF!</definedName>
    <definedName name="Roof_finishing" localSheetId="16">#REF!</definedName>
    <definedName name="Roof_finishing" localSheetId="11">#REF!</definedName>
    <definedName name="Roof_finishing" localSheetId="15">#REF!</definedName>
    <definedName name="Roof_finishing" localSheetId="12">#REF!</definedName>
    <definedName name="Roof_finishing" localSheetId="17">#REF!</definedName>
    <definedName name="Roof_finishing" localSheetId="23">#REF!</definedName>
    <definedName name="Roof_finishing" localSheetId="18">#REF!</definedName>
    <definedName name="Roof_finishing" localSheetId="14">#REF!</definedName>
    <definedName name="Roof_finishing" localSheetId="13">#REF!</definedName>
    <definedName name="Roof_finishing" localSheetId="6">#REF!</definedName>
    <definedName name="Roof_finishing" localSheetId="8">#REF!</definedName>
    <definedName name="Roof_finishing" localSheetId="9">#REF!</definedName>
    <definedName name="Roof_finishing" localSheetId="7">#REF!</definedName>
    <definedName name="Roof_finishing" localSheetId="10">#REF!</definedName>
    <definedName name="Roof_finishing">#REF!</definedName>
    <definedName name="Roof_finishing_11" localSheetId="22">#REF!</definedName>
    <definedName name="Roof_finishing_11" localSheetId="4">#REF!</definedName>
    <definedName name="Roof_finishing_11" localSheetId="3">#REF!</definedName>
    <definedName name="Roof_finishing_11" localSheetId="16">#REF!</definedName>
    <definedName name="Roof_finishing_11" localSheetId="11">#REF!</definedName>
    <definedName name="Roof_finishing_11" localSheetId="15">#REF!</definedName>
    <definedName name="Roof_finishing_11" localSheetId="12">#REF!</definedName>
    <definedName name="Roof_finishing_11" localSheetId="17">#REF!</definedName>
    <definedName name="Roof_finishing_11" localSheetId="23">#REF!</definedName>
    <definedName name="Roof_finishing_11" localSheetId="18">#REF!</definedName>
    <definedName name="Roof_finishing_11" localSheetId="14">#REF!</definedName>
    <definedName name="Roof_finishing_11" localSheetId="13">#REF!</definedName>
    <definedName name="Roof_finishing_11" localSheetId="6">#REF!</definedName>
    <definedName name="Roof_finishing_11" localSheetId="8">#REF!</definedName>
    <definedName name="Roof_finishing_11" localSheetId="9">#REF!</definedName>
    <definedName name="Roof_finishing_11" localSheetId="7">#REF!</definedName>
    <definedName name="Roof_finishing_11" localSheetId="10">#REF!</definedName>
    <definedName name="Roof_finishing_11">#REF!</definedName>
    <definedName name="Roof_finishing_3" localSheetId="22">#REF!</definedName>
    <definedName name="Roof_finishing_3" localSheetId="4">#REF!</definedName>
    <definedName name="Roof_finishing_3" localSheetId="3">#REF!</definedName>
    <definedName name="Roof_finishing_3" localSheetId="16">#REF!</definedName>
    <definedName name="Roof_finishing_3" localSheetId="11">#REF!</definedName>
    <definedName name="Roof_finishing_3" localSheetId="15">#REF!</definedName>
    <definedName name="Roof_finishing_3" localSheetId="12">#REF!</definedName>
    <definedName name="Roof_finishing_3" localSheetId="17">#REF!</definedName>
    <definedName name="Roof_finishing_3" localSheetId="23">#REF!</definedName>
    <definedName name="Roof_finishing_3" localSheetId="18">#REF!</definedName>
    <definedName name="Roof_finishing_3" localSheetId="14">#REF!</definedName>
    <definedName name="Roof_finishing_3" localSheetId="13">#REF!</definedName>
    <definedName name="Roof_finishing_3" localSheetId="6">#REF!</definedName>
    <definedName name="Roof_finishing_3" localSheetId="8">#REF!</definedName>
    <definedName name="Roof_finishing_3" localSheetId="9">#REF!</definedName>
    <definedName name="Roof_finishing_3" localSheetId="7">#REF!</definedName>
    <definedName name="Roof_finishing_3" localSheetId="10">#REF!</definedName>
    <definedName name="Roof_finishing_3">#REF!</definedName>
    <definedName name="Roof_finishing_6" localSheetId="22">#REF!</definedName>
    <definedName name="Roof_finishing_6" localSheetId="4">#REF!</definedName>
    <definedName name="Roof_finishing_6" localSheetId="3">#REF!</definedName>
    <definedName name="Roof_finishing_6" localSheetId="16">#REF!</definedName>
    <definedName name="Roof_finishing_6" localSheetId="11">#REF!</definedName>
    <definedName name="Roof_finishing_6" localSheetId="15">#REF!</definedName>
    <definedName name="Roof_finishing_6" localSheetId="12">#REF!</definedName>
    <definedName name="Roof_finishing_6" localSheetId="17">#REF!</definedName>
    <definedName name="Roof_finishing_6" localSheetId="23">#REF!</definedName>
    <definedName name="Roof_finishing_6" localSheetId="18">#REF!</definedName>
    <definedName name="Roof_finishing_6" localSheetId="14">#REF!</definedName>
    <definedName name="Roof_finishing_6" localSheetId="13">#REF!</definedName>
    <definedName name="Roof_finishing_6" localSheetId="6">#REF!</definedName>
    <definedName name="Roof_finishing_6" localSheetId="8">#REF!</definedName>
    <definedName name="Roof_finishing_6" localSheetId="9">#REF!</definedName>
    <definedName name="Roof_finishing_6" localSheetId="7">#REF!</definedName>
    <definedName name="Roof_finishing_6" localSheetId="10">#REF!</definedName>
    <definedName name="Roof_finishing_6">#REF!</definedName>
    <definedName name="roya" localSheetId="22">#REF!</definedName>
    <definedName name="roya" localSheetId="4">#REF!</definedName>
    <definedName name="roya" localSheetId="3">#REF!</definedName>
    <definedName name="roya" localSheetId="16">#REF!</definedName>
    <definedName name="roya" localSheetId="11">#REF!</definedName>
    <definedName name="roya" localSheetId="15">#REF!</definedName>
    <definedName name="roya" localSheetId="12">#REF!</definedName>
    <definedName name="roya" localSheetId="17">#REF!</definedName>
    <definedName name="roya" localSheetId="23">#REF!</definedName>
    <definedName name="roya" localSheetId="18">#REF!</definedName>
    <definedName name="roya" localSheetId="14">#REF!</definedName>
    <definedName name="roya" localSheetId="13">#REF!</definedName>
    <definedName name="roya" localSheetId="6">#REF!</definedName>
    <definedName name="roya" localSheetId="8">#REF!</definedName>
    <definedName name="roya" localSheetId="5">#REF!</definedName>
    <definedName name="roya" localSheetId="9">#REF!</definedName>
    <definedName name="roya" localSheetId="7">#REF!</definedName>
    <definedName name="roya" localSheetId="10">#REF!</definedName>
    <definedName name="roya">#REF!</definedName>
    <definedName name="RR_masonary" localSheetId="22">#REF!</definedName>
    <definedName name="RR_masonary" localSheetId="4">#REF!</definedName>
    <definedName name="RR_masonary" localSheetId="3">#REF!</definedName>
    <definedName name="RR_masonary" localSheetId="16">#REF!</definedName>
    <definedName name="RR_masonary" localSheetId="11">#REF!</definedName>
    <definedName name="RR_masonary" localSheetId="15">#REF!</definedName>
    <definedName name="RR_masonary" localSheetId="12">#REF!</definedName>
    <definedName name="RR_masonary" localSheetId="17">#REF!</definedName>
    <definedName name="RR_masonary" localSheetId="23">#REF!</definedName>
    <definedName name="RR_masonary" localSheetId="18">#REF!</definedName>
    <definedName name="RR_masonary" localSheetId="14">#REF!</definedName>
    <definedName name="RR_masonary" localSheetId="13">#REF!</definedName>
    <definedName name="RR_masonary" localSheetId="6">#REF!</definedName>
    <definedName name="RR_masonary" localSheetId="8">#REF!</definedName>
    <definedName name="RR_masonary" localSheetId="9">#REF!</definedName>
    <definedName name="RR_masonary" localSheetId="7">#REF!</definedName>
    <definedName name="RR_masonary" localSheetId="10">#REF!</definedName>
    <definedName name="RR_masonary">#REF!</definedName>
    <definedName name="RR_masonary_11" localSheetId="22">#REF!</definedName>
    <definedName name="RR_masonary_11" localSheetId="4">#REF!</definedName>
    <definedName name="RR_masonary_11" localSheetId="3">#REF!</definedName>
    <definedName name="RR_masonary_11" localSheetId="16">#REF!</definedName>
    <definedName name="RR_masonary_11" localSheetId="11">#REF!</definedName>
    <definedName name="RR_masonary_11" localSheetId="15">#REF!</definedName>
    <definedName name="RR_masonary_11" localSheetId="12">#REF!</definedName>
    <definedName name="RR_masonary_11" localSheetId="17">#REF!</definedName>
    <definedName name="RR_masonary_11" localSheetId="23">#REF!</definedName>
    <definedName name="RR_masonary_11" localSheetId="18">#REF!</definedName>
    <definedName name="RR_masonary_11" localSheetId="14">#REF!</definedName>
    <definedName name="RR_masonary_11" localSheetId="13">#REF!</definedName>
    <definedName name="RR_masonary_11" localSheetId="6">#REF!</definedName>
    <definedName name="RR_masonary_11" localSheetId="8">#REF!</definedName>
    <definedName name="RR_masonary_11" localSheetId="9">#REF!</definedName>
    <definedName name="RR_masonary_11" localSheetId="7">#REF!</definedName>
    <definedName name="RR_masonary_11" localSheetId="10">#REF!</definedName>
    <definedName name="RR_masonary_11">#REF!</definedName>
    <definedName name="RR_masonary_3" localSheetId="22">#REF!</definedName>
    <definedName name="RR_masonary_3" localSheetId="4">#REF!</definedName>
    <definedName name="RR_masonary_3" localSheetId="3">#REF!</definedName>
    <definedName name="RR_masonary_3" localSheetId="16">#REF!</definedName>
    <definedName name="RR_masonary_3" localSheetId="11">#REF!</definedName>
    <definedName name="RR_masonary_3" localSheetId="15">#REF!</definedName>
    <definedName name="RR_masonary_3" localSheetId="12">#REF!</definedName>
    <definedName name="RR_masonary_3" localSheetId="17">#REF!</definedName>
    <definedName name="RR_masonary_3" localSheetId="23">#REF!</definedName>
    <definedName name="RR_masonary_3" localSheetId="18">#REF!</definedName>
    <definedName name="RR_masonary_3" localSheetId="14">#REF!</definedName>
    <definedName name="RR_masonary_3" localSheetId="13">#REF!</definedName>
    <definedName name="RR_masonary_3" localSheetId="6">#REF!</definedName>
    <definedName name="RR_masonary_3" localSheetId="8">#REF!</definedName>
    <definedName name="RR_masonary_3" localSheetId="9">#REF!</definedName>
    <definedName name="RR_masonary_3" localSheetId="7">#REF!</definedName>
    <definedName name="RR_masonary_3" localSheetId="10">#REF!</definedName>
    <definedName name="RR_masonary_3">#REF!</definedName>
    <definedName name="RR_masonary_6" localSheetId="22">#REF!</definedName>
    <definedName name="RR_masonary_6" localSheetId="4">#REF!</definedName>
    <definedName name="RR_masonary_6" localSheetId="3">#REF!</definedName>
    <definedName name="RR_masonary_6" localSheetId="16">#REF!</definedName>
    <definedName name="RR_masonary_6" localSheetId="11">#REF!</definedName>
    <definedName name="RR_masonary_6" localSheetId="15">#REF!</definedName>
    <definedName name="RR_masonary_6" localSheetId="12">#REF!</definedName>
    <definedName name="RR_masonary_6" localSheetId="17">#REF!</definedName>
    <definedName name="RR_masonary_6" localSheetId="23">#REF!</definedName>
    <definedName name="RR_masonary_6" localSheetId="18">#REF!</definedName>
    <definedName name="RR_masonary_6" localSheetId="14">#REF!</definedName>
    <definedName name="RR_masonary_6" localSheetId="13">#REF!</definedName>
    <definedName name="RR_masonary_6" localSheetId="6">#REF!</definedName>
    <definedName name="RR_masonary_6" localSheetId="8">#REF!</definedName>
    <definedName name="RR_masonary_6" localSheetId="9">#REF!</definedName>
    <definedName name="RR_masonary_6" localSheetId="7">#REF!</definedName>
    <definedName name="RR_masonary_6" localSheetId="10">#REF!</definedName>
    <definedName name="RR_masonary_6">#REF!</definedName>
    <definedName name="rrr" localSheetId="22">#REF!</definedName>
    <definedName name="rrr" localSheetId="4">#REF!</definedName>
    <definedName name="rrr" localSheetId="3">#REF!</definedName>
    <definedName name="rrr" localSheetId="16">#REF!</definedName>
    <definedName name="rrr" localSheetId="11">#REF!</definedName>
    <definedName name="rrr" localSheetId="15">#REF!</definedName>
    <definedName name="rrr" localSheetId="12">#REF!</definedName>
    <definedName name="rrr" localSheetId="17">#REF!</definedName>
    <definedName name="rrr" localSheetId="23">#REF!</definedName>
    <definedName name="rrr" localSheetId="18">#REF!</definedName>
    <definedName name="rrr" localSheetId="14">#REF!</definedName>
    <definedName name="rrr" localSheetId="13">#REF!</definedName>
    <definedName name="rrr" localSheetId="6">#REF!</definedName>
    <definedName name="rrr" localSheetId="8">#REF!</definedName>
    <definedName name="rrr" localSheetId="9">#REF!</definedName>
    <definedName name="rrr" localSheetId="7">#REF!</definedName>
    <definedName name="rrr" localSheetId="10">#REF!</definedName>
    <definedName name="rrr">#REF!</definedName>
    <definedName name="S" localSheetId="22">#REF!</definedName>
    <definedName name="S" localSheetId="4">#REF!</definedName>
    <definedName name="S" localSheetId="3">#REF!</definedName>
    <definedName name="S" localSheetId="16">#REF!</definedName>
    <definedName name="S" localSheetId="11">#REF!</definedName>
    <definedName name="S" localSheetId="15">#REF!</definedName>
    <definedName name="s" localSheetId="12">#REF!</definedName>
    <definedName name="S" localSheetId="17">#REF!</definedName>
    <definedName name="S" localSheetId="23">#REF!</definedName>
    <definedName name="S" localSheetId="18">#REF!</definedName>
    <definedName name="S" localSheetId="14">#REF!</definedName>
    <definedName name="S" localSheetId="13">#REF!</definedName>
    <definedName name="S" localSheetId="6">#REF!</definedName>
    <definedName name="S" localSheetId="8">#REF!</definedName>
    <definedName name="s" localSheetId="9">#REF!</definedName>
    <definedName name="s" localSheetId="7">#REF!</definedName>
    <definedName name="S" localSheetId="10">#REF!</definedName>
    <definedName name="S">#REF!</definedName>
    <definedName name="SAND_FILL" localSheetId="22">#REF!</definedName>
    <definedName name="SAND_FILL" localSheetId="4">#REF!</definedName>
    <definedName name="SAND_FILL" localSheetId="3">#REF!</definedName>
    <definedName name="SAND_FILL" localSheetId="16">#REF!</definedName>
    <definedName name="SAND_FILL" localSheetId="11">#REF!</definedName>
    <definedName name="SAND_FILL" localSheetId="15">#REF!</definedName>
    <definedName name="SAND_FILL" localSheetId="12">#REF!</definedName>
    <definedName name="SAND_FILL" localSheetId="17">#REF!</definedName>
    <definedName name="SAND_FILL" localSheetId="23">#REF!</definedName>
    <definedName name="SAND_FILL" localSheetId="18">#REF!</definedName>
    <definedName name="SAND_FILL" localSheetId="14">#REF!</definedName>
    <definedName name="SAND_FILL" localSheetId="13">#REF!</definedName>
    <definedName name="SAND_FILL" localSheetId="6">#REF!</definedName>
    <definedName name="SAND_FILL" localSheetId="8">#REF!</definedName>
    <definedName name="SAND_FILL" localSheetId="9">#REF!</definedName>
    <definedName name="SAND_FILL" localSheetId="7">#REF!</definedName>
    <definedName name="SAND_FILL" localSheetId="10">#REF!</definedName>
    <definedName name="SAND_FILL">#REF!</definedName>
    <definedName name="Sandfill">[1]Spec!$B$15</definedName>
    <definedName name="Sanitary_Data" localSheetId="22">[4]Data!#REF!</definedName>
    <definedName name="Sanitary_Data" localSheetId="3">[5]Data!#REF!</definedName>
    <definedName name="Sanitary_Data" localSheetId="16">[6]Data!#REF!</definedName>
    <definedName name="Sanitary_Data" localSheetId="11">[6]Data!#REF!</definedName>
    <definedName name="Sanitary_Data" localSheetId="15">[6]Data!#REF!</definedName>
    <definedName name="Sanitary_Data" localSheetId="12">[7]Data!#REF!</definedName>
    <definedName name="Sanitary_Data" localSheetId="17">[6]Data!#REF!</definedName>
    <definedName name="Sanitary_Data" localSheetId="23">[7]Data!#REF!</definedName>
    <definedName name="Sanitary_Data" localSheetId="18">[6]Data!#REF!</definedName>
    <definedName name="Sanitary_Data" localSheetId="14">[6]Data!#REF!</definedName>
    <definedName name="Sanitary_Data" localSheetId="13">[7]Data!#REF!</definedName>
    <definedName name="Sanitary_Data" localSheetId="6">[6]Data!#REF!</definedName>
    <definedName name="Sanitary_Data" localSheetId="8">[8]Data!#REF!</definedName>
    <definedName name="Sanitary_Data" localSheetId="9">[7]Data!#REF!</definedName>
    <definedName name="Sanitary_Data" localSheetId="7">[8]Data!#REF!</definedName>
    <definedName name="Sanitary_Data" localSheetId="10">[6]Data!#REF!</definedName>
    <definedName name="Sanitary_Data">[5]Data!#REF!</definedName>
    <definedName name="Sanitary_Data_11" localSheetId="22">#REF!</definedName>
    <definedName name="Sanitary_Data_11" localSheetId="4">#REF!</definedName>
    <definedName name="Sanitary_Data_11" localSheetId="3">#REF!</definedName>
    <definedName name="Sanitary_Data_11" localSheetId="16">#REF!</definedName>
    <definedName name="Sanitary_Data_11" localSheetId="11">#REF!</definedName>
    <definedName name="Sanitary_Data_11" localSheetId="15">#REF!</definedName>
    <definedName name="Sanitary_Data_11" localSheetId="12">#REF!</definedName>
    <definedName name="Sanitary_Data_11" localSheetId="17">#REF!</definedName>
    <definedName name="Sanitary_Data_11" localSheetId="23">#REF!</definedName>
    <definedName name="Sanitary_Data_11" localSheetId="18">#REF!</definedName>
    <definedName name="Sanitary_Data_11" localSheetId="14">#REF!</definedName>
    <definedName name="Sanitary_Data_11" localSheetId="13">#REF!</definedName>
    <definedName name="Sanitary_Data_11" localSheetId="6">#REF!</definedName>
    <definedName name="Sanitary_Data_11" localSheetId="8">#REF!</definedName>
    <definedName name="Sanitary_Data_11" localSheetId="9">#REF!</definedName>
    <definedName name="Sanitary_Data_11" localSheetId="7">#REF!</definedName>
    <definedName name="Sanitary_Data_11" localSheetId="10">#REF!</definedName>
    <definedName name="Sanitary_Data_11">#REF!</definedName>
    <definedName name="Sanitary_Data_3" localSheetId="22">#REF!</definedName>
    <definedName name="Sanitary_Data_3" localSheetId="4">#REF!</definedName>
    <definedName name="Sanitary_Data_3" localSheetId="3">#REF!</definedName>
    <definedName name="Sanitary_Data_3" localSheetId="16">#REF!</definedName>
    <definedName name="Sanitary_Data_3" localSheetId="11">#REF!</definedName>
    <definedName name="Sanitary_Data_3" localSheetId="15">#REF!</definedName>
    <definedName name="Sanitary_Data_3" localSheetId="12">#REF!</definedName>
    <definedName name="Sanitary_Data_3" localSheetId="17">#REF!</definedName>
    <definedName name="Sanitary_Data_3" localSheetId="23">#REF!</definedName>
    <definedName name="Sanitary_Data_3" localSheetId="18">#REF!</definedName>
    <definedName name="Sanitary_Data_3" localSheetId="14">#REF!</definedName>
    <definedName name="Sanitary_Data_3" localSheetId="13">#REF!</definedName>
    <definedName name="Sanitary_Data_3" localSheetId="6">#REF!</definedName>
    <definedName name="Sanitary_Data_3" localSheetId="8">#REF!</definedName>
    <definedName name="Sanitary_Data_3" localSheetId="9">#REF!</definedName>
    <definedName name="Sanitary_Data_3" localSheetId="7">#REF!</definedName>
    <definedName name="Sanitary_Data_3" localSheetId="10">#REF!</definedName>
    <definedName name="Sanitary_Data_3">#REF!</definedName>
    <definedName name="Sanitary_Data_6" localSheetId="22">#REF!</definedName>
    <definedName name="Sanitary_Data_6" localSheetId="4">#REF!</definedName>
    <definedName name="Sanitary_Data_6" localSheetId="3">#REF!</definedName>
    <definedName name="Sanitary_Data_6" localSheetId="16">#REF!</definedName>
    <definedName name="Sanitary_Data_6" localSheetId="11">#REF!</definedName>
    <definedName name="Sanitary_Data_6" localSheetId="15">#REF!</definedName>
    <definedName name="Sanitary_Data_6" localSheetId="12">#REF!</definedName>
    <definedName name="Sanitary_Data_6" localSheetId="17">#REF!</definedName>
    <definedName name="Sanitary_Data_6" localSheetId="23">#REF!</definedName>
    <definedName name="Sanitary_Data_6" localSheetId="18">#REF!</definedName>
    <definedName name="Sanitary_Data_6" localSheetId="14">#REF!</definedName>
    <definedName name="Sanitary_Data_6" localSheetId="13">#REF!</definedName>
    <definedName name="Sanitary_Data_6" localSheetId="6">#REF!</definedName>
    <definedName name="Sanitary_Data_6" localSheetId="8">#REF!</definedName>
    <definedName name="Sanitary_Data_6" localSheetId="9">#REF!</definedName>
    <definedName name="Sanitary_Data_6" localSheetId="7">#REF!</definedName>
    <definedName name="Sanitary_Data_6" localSheetId="10">#REF!</definedName>
    <definedName name="Sanitary_Data_6">#REF!</definedName>
    <definedName name="Sanitary_Data_7" localSheetId="22">[4]Data!#REF!</definedName>
    <definedName name="Sanitary_Data_7" localSheetId="3">[5]Data!#REF!</definedName>
    <definedName name="Sanitary_Data_7" localSheetId="16">[6]Data!#REF!</definedName>
    <definedName name="Sanitary_Data_7" localSheetId="11">[6]Data!#REF!</definedName>
    <definedName name="Sanitary_Data_7" localSheetId="15">[6]Data!#REF!</definedName>
    <definedName name="Sanitary_Data_7" localSheetId="12">[7]Data!#REF!</definedName>
    <definedName name="Sanitary_Data_7" localSheetId="17">[6]Data!#REF!</definedName>
    <definedName name="Sanitary_Data_7" localSheetId="23">[7]Data!#REF!</definedName>
    <definedName name="Sanitary_Data_7" localSheetId="18">[6]Data!#REF!</definedName>
    <definedName name="Sanitary_Data_7" localSheetId="14">[6]Data!#REF!</definedName>
    <definedName name="Sanitary_Data_7" localSheetId="13">[7]Data!#REF!</definedName>
    <definedName name="Sanitary_Data_7" localSheetId="6">[6]Data!#REF!</definedName>
    <definedName name="Sanitary_Data_7" localSheetId="8">[8]Data!#REF!</definedName>
    <definedName name="Sanitary_Data_7" localSheetId="9">[7]Data!#REF!</definedName>
    <definedName name="Sanitary_Data_7" localSheetId="7">[8]Data!#REF!</definedName>
    <definedName name="Sanitary_Data_7" localSheetId="10">[6]Data!#REF!</definedName>
    <definedName name="Sanitary_Data_7">[5]Data!#REF!</definedName>
    <definedName name="Sanitary_Data_8" localSheetId="22">[4]Data!#REF!</definedName>
    <definedName name="Sanitary_Data_8" localSheetId="3">[5]Data!#REF!</definedName>
    <definedName name="Sanitary_Data_8" localSheetId="16">[6]Data!#REF!</definedName>
    <definedName name="Sanitary_Data_8" localSheetId="11">[6]Data!#REF!</definedName>
    <definedName name="Sanitary_Data_8" localSheetId="15">[6]Data!#REF!</definedName>
    <definedName name="Sanitary_Data_8" localSheetId="12">[7]Data!#REF!</definedName>
    <definedName name="Sanitary_Data_8" localSheetId="17">[6]Data!#REF!</definedName>
    <definedName name="Sanitary_Data_8" localSheetId="23">[7]Data!#REF!</definedName>
    <definedName name="Sanitary_Data_8" localSheetId="18">[6]Data!#REF!</definedName>
    <definedName name="Sanitary_Data_8" localSheetId="14">[6]Data!#REF!</definedName>
    <definedName name="Sanitary_Data_8" localSheetId="13">[7]Data!#REF!</definedName>
    <definedName name="Sanitary_Data_8" localSheetId="6">[6]Data!#REF!</definedName>
    <definedName name="Sanitary_Data_8" localSheetId="8">[8]Data!#REF!</definedName>
    <definedName name="Sanitary_Data_8" localSheetId="9">[7]Data!#REF!</definedName>
    <definedName name="Sanitary_Data_8" localSheetId="7">[8]Data!#REF!</definedName>
    <definedName name="Sanitary_Data_8" localSheetId="10">[6]Data!#REF!</definedName>
    <definedName name="Sanitary_Data_8">[5]Data!#REF!</definedName>
    <definedName name="Sanitary_Item" localSheetId="22">#REF!</definedName>
    <definedName name="Sanitary_Item" localSheetId="4">#REF!</definedName>
    <definedName name="Sanitary_Item" localSheetId="3">#REF!</definedName>
    <definedName name="Sanitary_Item" localSheetId="16">#REF!</definedName>
    <definedName name="Sanitary_Item" localSheetId="11">#REF!</definedName>
    <definedName name="Sanitary_Item" localSheetId="15">#REF!</definedName>
    <definedName name="Sanitary_Item" localSheetId="12">#REF!</definedName>
    <definedName name="Sanitary_Item" localSheetId="17">#REF!</definedName>
    <definedName name="Sanitary_Item" localSheetId="23">#REF!</definedName>
    <definedName name="Sanitary_Item" localSheetId="18">#REF!</definedName>
    <definedName name="Sanitary_Item" localSheetId="14">#REF!</definedName>
    <definedName name="Sanitary_Item" localSheetId="13">#REF!</definedName>
    <definedName name="Sanitary_Item" localSheetId="6">#REF!</definedName>
    <definedName name="Sanitary_Item" localSheetId="8">#REF!</definedName>
    <definedName name="Sanitary_Item" localSheetId="9">#REF!</definedName>
    <definedName name="Sanitary_Item" localSheetId="7">#REF!</definedName>
    <definedName name="Sanitary_Item" localSheetId="10">#REF!</definedName>
    <definedName name="Sanitary_Item">#REF!</definedName>
    <definedName name="Sched_Pay" localSheetId="23">#REF!</definedName>
    <definedName name="Sched_Pay">#REF!</definedName>
    <definedName name="Scheduled_Extra_Payments" localSheetId="23">#REF!</definedName>
    <definedName name="Scheduled_Extra_Payments">#REF!</definedName>
    <definedName name="Scheduled_Interest_Rate" localSheetId="23">#REF!</definedName>
    <definedName name="Scheduled_Interest_Rate">#REF!</definedName>
    <definedName name="Scheduled_Monthly_Payment" localSheetId="23">#REF!</definedName>
    <definedName name="Scheduled_Monthly_Payment">#REF!</definedName>
    <definedName name="sd" localSheetId="22">#REF!</definedName>
    <definedName name="sd" localSheetId="4">#REF!</definedName>
    <definedName name="sd" localSheetId="3">#REF!</definedName>
    <definedName name="sd" localSheetId="16">#REF!</definedName>
    <definedName name="sd" localSheetId="11">#REF!</definedName>
    <definedName name="sd" localSheetId="15">#REF!</definedName>
    <definedName name="sd" localSheetId="12">#REF!</definedName>
    <definedName name="sd" localSheetId="17">#REF!</definedName>
    <definedName name="sd" localSheetId="23">#REF!</definedName>
    <definedName name="sd" localSheetId="18">#REF!</definedName>
    <definedName name="sd" localSheetId="14">#REF!</definedName>
    <definedName name="sd" localSheetId="13">#REF!</definedName>
    <definedName name="sd" localSheetId="6">#REF!</definedName>
    <definedName name="sd" localSheetId="8">#REF!</definedName>
    <definedName name="sd" localSheetId="9">#REF!</definedName>
    <definedName name="sd" localSheetId="7">#REF!</definedName>
    <definedName name="sd" localSheetId="10">#REF!</definedName>
    <definedName name="sd">#REF!</definedName>
    <definedName name="sdasfcs" localSheetId="22">#REF!</definedName>
    <definedName name="sdasfcs" localSheetId="3">#REF!</definedName>
    <definedName name="sdasfcs" localSheetId="16">#REF!</definedName>
    <definedName name="sdasfcs" localSheetId="11">#REF!</definedName>
    <definedName name="sdasfcs" localSheetId="15">#REF!</definedName>
    <definedName name="sdasfcs" localSheetId="12">#REF!</definedName>
    <definedName name="sdasfcs" localSheetId="17">#REF!</definedName>
    <definedName name="sdasfcs" localSheetId="23">#REF!</definedName>
    <definedName name="sdasfcs" localSheetId="18">#REF!</definedName>
    <definedName name="sdasfcs" localSheetId="14">#REF!</definedName>
    <definedName name="sdasfcs" localSheetId="13">#REF!</definedName>
    <definedName name="sdasfcs" localSheetId="6">#REF!</definedName>
    <definedName name="sdasfcs" localSheetId="8">#REF!</definedName>
    <definedName name="sdasfcs" localSheetId="9">#REF!</definedName>
    <definedName name="sdasfcs" localSheetId="7">#REF!</definedName>
    <definedName name="sdasfcs" localSheetId="10">#REF!</definedName>
    <definedName name="sdasfcs">#REF!</definedName>
    <definedName name="sdfghj" localSheetId="23">#REF!</definedName>
    <definedName name="sdfghj" localSheetId="13">#REF!</definedName>
    <definedName name="sdfghj" localSheetId="8">#REF!</definedName>
    <definedName name="sdfghj" localSheetId="7">#REF!</definedName>
    <definedName name="sdfghj">#REF!</definedName>
    <definedName name="sdwsd" localSheetId="22">#REF!</definedName>
    <definedName name="sdwsd" localSheetId="3">#REF!</definedName>
    <definedName name="sdwsd" localSheetId="16">#REF!</definedName>
    <definedName name="sdwsd" localSheetId="11">#REF!</definedName>
    <definedName name="sdwsd" localSheetId="15">#REF!</definedName>
    <definedName name="sdwsd" localSheetId="17">#REF!</definedName>
    <definedName name="sdwsd" localSheetId="23">#REF!</definedName>
    <definedName name="sdwsd" localSheetId="18">#REF!</definedName>
    <definedName name="sdwsd" localSheetId="14">#REF!</definedName>
    <definedName name="sdwsd" localSheetId="6">#REF!</definedName>
    <definedName name="sdwsd" localSheetId="10">#REF!</definedName>
    <definedName name="sdwsd">#REF!</definedName>
    <definedName name="sheet" localSheetId="23">#REF!</definedName>
    <definedName name="sheet">#REF!</definedName>
    <definedName name="si_hhgfttg" localSheetId="22">#REF!</definedName>
    <definedName name="si_hhgfttg" localSheetId="3">#REF!</definedName>
    <definedName name="si_hhgfttg" localSheetId="16">#REF!</definedName>
    <definedName name="si_hhgfttg" localSheetId="11">#REF!</definedName>
    <definedName name="si_hhgfttg" localSheetId="15">#REF!</definedName>
    <definedName name="si_hhgfttg" localSheetId="12">#REF!</definedName>
    <definedName name="si_hhgfttg" localSheetId="17">#REF!</definedName>
    <definedName name="si_hhgfttg" localSheetId="23">#REF!</definedName>
    <definedName name="si_hhgfttg" localSheetId="18">#REF!</definedName>
    <definedName name="si_hhgfttg" localSheetId="14">#REF!</definedName>
    <definedName name="si_hhgfttg" localSheetId="13">#REF!</definedName>
    <definedName name="si_hhgfttg" localSheetId="6">#REF!</definedName>
    <definedName name="si_hhgfttg" localSheetId="8">#REF!</definedName>
    <definedName name="si_hhgfttg" localSheetId="9">#REF!</definedName>
    <definedName name="si_hhgfttg" localSheetId="7">#REF!</definedName>
    <definedName name="si_hhgfttg" localSheetId="10">#REF!</definedName>
    <definedName name="si_hhgfttg">#REF!</definedName>
    <definedName name="si8_ghmjk" localSheetId="22">#REF!</definedName>
    <definedName name="si8_ghmjk" localSheetId="3">#REF!</definedName>
    <definedName name="si8_ghmjk" localSheetId="16">#REF!</definedName>
    <definedName name="si8_ghmjk" localSheetId="11">#REF!</definedName>
    <definedName name="si8_ghmjk" localSheetId="15">#REF!</definedName>
    <definedName name="si8_ghmjk" localSheetId="12">#REF!</definedName>
    <definedName name="si8_ghmjk" localSheetId="17">#REF!</definedName>
    <definedName name="si8_ghmjk" localSheetId="23">#REF!</definedName>
    <definedName name="si8_ghmjk" localSheetId="18">#REF!</definedName>
    <definedName name="si8_ghmjk" localSheetId="14">#REF!</definedName>
    <definedName name="si8_ghmjk" localSheetId="13">#REF!</definedName>
    <definedName name="si8_ghmjk" localSheetId="6">#REF!</definedName>
    <definedName name="si8_ghmjk" localSheetId="8">#REF!</definedName>
    <definedName name="si8_ghmjk" localSheetId="9">#REF!</definedName>
    <definedName name="si8_ghmjk" localSheetId="7">#REF!</definedName>
    <definedName name="si8_ghmjk" localSheetId="10">#REF!</definedName>
    <definedName name="si8_ghmjk">#REF!</definedName>
    <definedName name="sk" localSheetId="22">#REF!</definedName>
    <definedName name="sk" localSheetId="4">#REF!</definedName>
    <definedName name="sk" localSheetId="1">#REF!</definedName>
    <definedName name="sk" localSheetId="3">#REF!</definedName>
    <definedName name="sk" localSheetId="16">#REF!</definedName>
    <definedName name="sk" localSheetId="11">#REF!</definedName>
    <definedName name="sk" localSheetId="15">#REF!</definedName>
    <definedName name="sk" localSheetId="2">#REF!</definedName>
    <definedName name="sk" localSheetId="12">#REF!</definedName>
    <definedName name="sk" localSheetId="17">#REF!</definedName>
    <definedName name="sk" localSheetId="23">#REF!</definedName>
    <definedName name="sk" localSheetId="18">#REF!</definedName>
    <definedName name="sk" localSheetId="14">#REF!</definedName>
    <definedName name="sk" localSheetId="13">#REF!</definedName>
    <definedName name="sk" localSheetId="6">#REF!</definedName>
    <definedName name="sk" localSheetId="8">#REF!</definedName>
    <definedName name="sk" localSheetId="5">#REF!</definedName>
    <definedName name="sk" localSheetId="9">#REF!</definedName>
    <definedName name="sk" localSheetId="7">#REF!</definedName>
    <definedName name="sk" localSheetId="10">#REF!</definedName>
    <definedName name="sk">#REF!</definedName>
    <definedName name="sll" localSheetId="22">#REF!</definedName>
    <definedName name="sll" localSheetId="3">#REF!</definedName>
    <definedName name="sll" localSheetId="16">#REF!</definedName>
    <definedName name="sll" localSheetId="11">#REF!</definedName>
    <definedName name="sll" localSheetId="15">#REF!</definedName>
    <definedName name="sll" localSheetId="12">#REF!</definedName>
    <definedName name="sll" localSheetId="17">#REF!</definedName>
    <definedName name="sll" localSheetId="23">#REF!</definedName>
    <definedName name="sll" localSheetId="18">#REF!</definedName>
    <definedName name="sll" localSheetId="14">#REF!</definedName>
    <definedName name="sll" localSheetId="13">#REF!</definedName>
    <definedName name="sll" localSheetId="6">#REF!</definedName>
    <definedName name="sll" localSheetId="8">#REF!</definedName>
    <definedName name="sll" localSheetId="9">#REF!</definedName>
    <definedName name="sll" localSheetId="7">#REF!</definedName>
    <definedName name="sll" localSheetId="10">#REF!</definedName>
    <definedName name="sll">#REF!</definedName>
    <definedName name="SR" localSheetId="22">#REF!</definedName>
    <definedName name="SR" localSheetId="4">#REF!</definedName>
    <definedName name="SR" localSheetId="3">#REF!</definedName>
    <definedName name="SR" localSheetId="16">#REF!</definedName>
    <definedName name="SR" localSheetId="11">#REF!</definedName>
    <definedName name="SR" localSheetId="15">#REF!</definedName>
    <definedName name="SR" localSheetId="12">#REF!</definedName>
    <definedName name="SR" localSheetId="17">#REF!</definedName>
    <definedName name="SR" localSheetId="23">#REF!</definedName>
    <definedName name="SR" localSheetId="18">#REF!</definedName>
    <definedName name="SR" localSheetId="14">#REF!</definedName>
    <definedName name="SR" localSheetId="13">#REF!</definedName>
    <definedName name="SR" localSheetId="6">#REF!</definedName>
    <definedName name="SR" localSheetId="8">#REF!</definedName>
    <definedName name="SR" localSheetId="9">#REF!</definedName>
    <definedName name="SR" localSheetId="7">#REF!</definedName>
    <definedName name="SR" localSheetId="10">#REF!</definedName>
    <definedName name="SR">#REF!</definedName>
    <definedName name="ss" localSheetId="22">#REF!</definedName>
    <definedName name="ss" localSheetId="4">#REF!</definedName>
    <definedName name="ss" localSheetId="3">#REF!</definedName>
    <definedName name="ss" localSheetId="16">#REF!</definedName>
    <definedName name="ss" localSheetId="11">#REF!</definedName>
    <definedName name="ss" localSheetId="15">#REF!</definedName>
    <definedName name="ss" localSheetId="12">#REF!</definedName>
    <definedName name="ss" localSheetId="17">#REF!</definedName>
    <definedName name="ss" localSheetId="23">#REF!</definedName>
    <definedName name="ss" localSheetId="18">#REF!</definedName>
    <definedName name="ss" localSheetId="14">#REF!</definedName>
    <definedName name="ss" localSheetId="13">#REF!</definedName>
    <definedName name="ss" localSheetId="6">#REF!</definedName>
    <definedName name="ss" localSheetId="8">#REF!</definedName>
    <definedName name="ss" localSheetId="9">#REF!</definedName>
    <definedName name="ss" localSheetId="7">#REF!</definedName>
    <definedName name="ss" localSheetId="10">#REF!</definedName>
    <definedName name="ss">#REF!</definedName>
    <definedName name="ssdde" localSheetId="22">#REF!</definedName>
    <definedName name="ssdde" localSheetId="4">#REF!</definedName>
    <definedName name="ssdde" localSheetId="3">#REF!</definedName>
    <definedName name="ssdde" localSheetId="16">#REF!</definedName>
    <definedName name="ssdde" localSheetId="11">#REF!</definedName>
    <definedName name="ssdde" localSheetId="15">#REF!</definedName>
    <definedName name="ssdde" localSheetId="12">#REF!</definedName>
    <definedName name="ssdde" localSheetId="17">#REF!</definedName>
    <definedName name="ssdde" localSheetId="23">#REF!</definedName>
    <definedName name="ssdde" localSheetId="18">#REF!</definedName>
    <definedName name="ssdde" localSheetId="14">#REF!</definedName>
    <definedName name="ssdde" localSheetId="13">#REF!</definedName>
    <definedName name="ssdde" localSheetId="6">#REF!</definedName>
    <definedName name="ssdde" localSheetId="8">#REF!</definedName>
    <definedName name="ssdde" localSheetId="9">#REF!</definedName>
    <definedName name="ssdde" localSheetId="7">#REF!</definedName>
    <definedName name="ssdde" localSheetId="10">#REF!</definedName>
    <definedName name="ssdde">#REF!</definedName>
    <definedName name="sss" localSheetId="23">#REF!</definedName>
    <definedName name="sss">#REF!</definedName>
    <definedName name="Steel">[1]Spec!$B$10</definedName>
    <definedName name="Steel_Form_work" localSheetId="22">#REF!</definedName>
    <definedName name="Steel_Form_work" localSheetId="4">#REF!</definedName>
    <definedName name="Steel_Form_work" localSheetId="3">#REF!</definedName>
    <definedName name="Steel_Form_work" localSheetId="16">#REF!</definedName>
    <definedName name="Steel_Form_work" localSheetId="11">#REF!</definedName>
    <definedName name="Steel_Form_work" localSheetId="15">#REF!</definedName>
    <definedName name="Steel_Form_work" localSheetId="12">#REF!</definedName>
    <definedName name="Steel_Form_work" localSheetId="17">#REF!</definedName>
    <definedName name="Steel_Form_work" localSheetId="23">#REF!</definedName>
    <definedName name="Steel_Form_work" localSheetId="18">#REF!</definedName>
    <definedName name="Steel_Form_work" localSheetId="14">#REF!</definedName>
    <definedName name="Steel_Form_work" localSheetId="13">#REF!</definedName>
    <definedName name="Steel_Form_work" localSheetId="6">#REF!</definedName>
    <definedName name="Steel_Form_work" localSheetId="8">#REF!</definedName>
    <definedName name="Steel_Form_work" localSheetId="9">#REF!</definedName>
    <definedName name="Steel_Form_work" localSheetId="7">#REF!</definedName>
    <definedName name="Steel_Form_work" localSheetId="10">#REF!</definedName>
    <definedName name="Steel_Form_work">#REF!</definedName>
    <definedName name="Steel_Form_work_11" localSheetId="22">#REF!</definedName>
    <definedName name="Steel_Form_work_11" localSheetId="4">#REF!</definedName>
    <definedName name="Steel_Form_work_11" localSheetId="3">#REF!</definedName>
    <definedName name="Steel_Form_work_11" localSheetId="16">#REF!</definedName>
    <definedName name="Steel_Form_work_11" localSheetId="11">#REF!</definedName>
    <definedName name="Steel_Form_work_11" localSheetId="15">#REF!</definedName>
    <definedName name="Steel_Form_work_11" localSheetId="12">#REF!</definedName>
    <definedName name="Steel_Form_work_11" localSheetId="17">#REF!</definedName>
    <definedName name="Steel_Form_work_11" localSheetId="23">#REF!</definedName>
    <definedName name="Steel_Form_work_11" localSheetId="18">#REF!</definedName>
    <definedName name="Steel_Form_work_11" localSheetId="14">#REF!</definedName>
    <definedName name="Steel_Form_work_11" localSheetId="13">#REF!</definedName>
    <definedName name="Steel_Form_work_11" localSheetId="6">#REF!</definedName>
    <definedName name="Steel_Form_work_11" localSheetId="8">#REF!</definedName>
    <definedName name="Steel_Form_work_11" localSheetId="9">#REF!</definedName>
    <definedName name="Steel_Form_work_11" localSheetId="7">#REF!</definedName>
    <definedName name="Steel_Form_work_11" localSheetId="10">#REF!</definedName>
    <definedName name="Steel_Form_work_11">#REF!</definedName>
    <definedName name="Steel_Form_work_3" localSheetId="22">#REF!</definedName>
    <definedName name="Steel_Form_work_3" localSheetId="4">#REF!</definedName>
    <definedName name="Steel_Form_work_3" localSheetId="3">#REF!</definedName>
    <definedName name="Steel_Form_work_3" localSheetId="16">#REF!</definedName>
    <definedName name="Steel_Form_work_3" localSheetId="11">#REF!</definedName>
    <definedName name="Steel_Form_work_3" localSheetId="15">#REF!</definedName>
    <definedName name="Steel_Form_work_3" localSheetId="12">#REF!</definedName>
    <definedName name="Steel_Form_work_3" localSheetId="17">#REF!</definedName>
    <definedName name="Steel_Form_work_3" localSheetId="23">#REF!</definedName>
    <definedName name="Steel_Form_work_3" localSheetId="18">#REF!</definedName>
    <definedName name="Steel_Form_work_3" localSheetId="14">#REF!</definedName>
    <definedName name="Steel_Form_work_3" localSheetId="13">#REF!</definedName>
    <definedName name="Steel_Form_work_3" localSheetId="6">#REF!</definedName>
    <definedName name="Steel_Form_work_3" localSheetId="8">#REF!</definedName>
    <definedName name="Steel_Form_work_3" localSheetId="9">#REF!</definedName>
    <definedName name="Steel_Form_work_3" localSheetId="7">#REF!</definedName>
    <definedName name="Steel_Form_work_3" localSheetId="10">#REF!</definedName>
    <definedName name="Steel_Form_work_3">#REF!</definedName>
    <definedName name="Steel_Form_work_6" localSheetId="22">#REF!</definedName>
    <definedName name="Steel_Form_work_6" localSheetId="4">#REF!</definedName>
    <definedName name="Steel_Form_work_6" localSheetId="3">#REF!</definedName>
    <definedName name="Steel_Form_work_6" localSheetId="16">#REF!</definedName>
    <definedName name="Steel_Form_work_6" localSheetId="11">#REF!</definedName>
    <definedName name="Steel_Form_work_6" localSheetId="15">#REF!</definedName>
    <definedName name="Steel_Form_work_6" localSheetId="12">#REF!</definedName>
    <definedName name="Steel_Form_work_6" localSheetId="17">#REF!</definedName>
    <definedName name="Steel_Form_work_6" localSheetId="23">#REF!</definedName>
    <definedName name="Steel_Form_work_6" localSheetId="18">#REF!</definedName>
    <definedName name="Steel_Form_work_6" localSheetId="14">#REF!</definedName>
    <definedName name="Steel_Form_work_6" localSheetId="13">#REF!</definedName>
    <definedName name="Steel_Form_work_6" localSheetId="6">#REF!</definedName>
    <definedName name="Steel_Form_work_6" localSheetId="8">#REF!</definedName>
    <definedName name="Steel_Form_work_6" localSheetId="9">#REF!</definedName>
    <definedName name="Steel_Form_work_6" localSheetId="7">#REF!</definedName>
    <definedName name="Steel_Form_work_6" localSheetId="10">#REF!</definedName>
    <definedName name="Steel_Form_work_6">#REF!</definedName>
    <definedName name="Stucco" localSheetId="22">#REF!</definedName>
    <definedName name="Stucco" localSheetId="4">#REF!</definedName>
    <definedName name="Stucco" localSheetId="3">#REF!</definedName>
    <definedName name="Stucco" localSheetId="16">#REF!</definedName>
    <definedName name="Stucco" localSheetId="11">#REF!</definedName>
    <definedName name="Stucco" localSheetId="15">#REF!</definedName>
    <definedName name="Stucco" localSheetId="12">#REF!</definedName>
    <definedName name="Stucco" localSheetId="17">#REF!</definedName>
    <definedName name="Stucco" localSheetId="23">#REF!</definedName>
    <definedName name="Stucco" localSheetId="18">#REF!</definedName>
    <definedName name="Stucco" localSheetId="14">#REF!</definedName>
    <definedName name="Stucco" localSheetId="13">#REF!</definedName>
    <definedName name="Stucco" localSheetId="6">#REF!</definedName>
    <definedName name="Stucco" localSheetId="8">#REF!</definedName>
    <definedName name="Stucco" localSheetId="9">#REF!</definedName>
    <definedName name="Stucco" localSheetId="7">#REF!</definedName>
    <definedName name="Stucco" localSheetId="10">#REF!</definedName>
    <definedName name="Stucco">#REF!</definedName>
    <definedName name="suganya" localSheetId="22">#REF!</definedName>
    <definedName name="suganya" localSheetId="3">#REF!</definedName>
    <definedName name="suganya" localSheetId="16">#REF!</definedName>
    <definedName name="suganya" localSheetId="11">#REF!</definedName>
    <definedName name="suganya" localSheetId="15">#REF!</definedName>
    <definedName name="suganya" localSheetId="17">#REF!</definedName>
    <definedName name="suganya" localSheetId="23">#REF!</definedName>
    <definedName name="suganya" localSheetId="18">#REF!</definedName>
    <definedName name="suganya" localSheetId="14">#REF!</definedName>
    <definedName name="suganya" localSheetId="6">#REF!</definedName>
    <definedName name="suganya" localSheetId="10">#REF!</definedName>
    <definedName name="suganya">#REF!</definedName>
    <definedName name="sump" localSheetId="23">#REF!</definedName>
    <definedName name="sump">#REF!</definedName>
    <definedName name="sxsxsa" localSheetId="22">#REF!</definedName>
    <definedName name="sxsxsa" localSheetId="3">#REF!</definedName>
    <definedName name="sxsxsa" localSheetId="16">#REF!</definedName>
    <definedName name="sxsxsa" localSheetId="11">#REF!</definedName>
    <definedName name="sxsxsa" localSheetId="15">#REF!</definedName>
    <definedName name="sxsxsa" localSheetId="12">#REF!</definedName>
    <definedName name="sxsxsa" localSheetId="17">#REF!</definedName>
    <definedName name="sxsxsa" localSheetId="23">#REF!</definedName>
    <definedName name="sxsxsa" localSheetId="18">#REF!</definedName>
    <definedName name="sxsxsa" localSheetId="14">#REF!</definedName>
    <definedName name="sxsxsa" localSheetId="13">#REF!</definedName>
    <definedName name="sxsxsa" localSheetId="6">#REF!</definedName>
    <definedName name="sxsxsa" localSheetId="8">#REF!</definedName>
    <definedName name="sxsxsa" localSheetId="9">#REF!</definedName>
    <definedName name="sxsxsa" localSheetId="7">#REF!</definedName>
    <definedName name="sxsxsa" localSheetId="10">#REF!</definedName>
    <definedName name="sxsxsa">#REF!</definedName>
    <definedName name="th" localSheetId="12">#REF!</definedName>
    <definedName name="th" localSheetId="23">#REF!</definedName>
    <definedName name="th" localSheetId="13">#REF!</definedName>
    <definedName name="th" localSheetId="8">#REF!</definedName>
    <definedName name="th" localSheetId="7">#REF!</definedName>
    <definedName name="th">#REF!</definedName>
    <definedName name="Tiles">[1]Spec!$B$19</definedName>
    <definedName name="tj" localSheetId="22">#REF!</definedName>
    <definedName name="tj" localSheetId="4">#REF!</definedName>
    <definedName name="tj" localSheetId="3">#REF!</definedName>
    <definedName name="tj" localSheetId="16">#REF!</definedName>
    <definedName name="tj" localSheetId="11">#REF!</definedName>
    <definedName name="tj" localSheetId="15">#REF!</definedName>
    <definedName name="tj" localSheetId="12">#REF!</definedName>
    <definedName name="tj" localSheetId="17">#REF!</definedName>
    <definedName name="tj" localSheetId="23">#REF!</definedName>
    <definedName name="tj" localSheetId="18">#REF!</definedName>
    <definedName name="tj" localSheetId="14">#REF!</definedName>
    <definedName name="tj" localSheetId="13">#REF!</definedName>
    <definedName name="tj" localSheetId="6">#REF!</definedName>
    <definedName name="tj" localSheetId="8">#REF!</definedName>
    <definedName name="tj" localSheetId="9">#REF!</definedName>
    <definedName name="tj" localSheetId="7">#REF!</definedName>
    <definedName name="tj" localSheetId="10">#REF!</definedName>
    <definedName name="tj">#REF!</definedName>
    <definedName name="Total_Interest" localSheetId="23">#REF!</definedName>
    <definedName name="Total_Interest">#REF!</definedName>
    <definedName name="Total_Pay" localSheetId="23">#REF!</definedName>
    <definedName name="Total_Pay">#REF!</definedName>
    <definedName name="Total_Payment" localSheetId="23">Scheduled_Payment+Extra_Payment</definedName>
    <definedName name="Total_Payment">Scheduled_Payment+Extra_Payment</definedName>
    <definedName name="TP" localSheetId="22">#REF!</definedName>
    <definedName name="TP" localSheetId="4">#REF!</definedName>
    <definedName name="TP" localSheetId="3">#REF!</definedName>
    <definedName name="TP" localSheetId="16">#REF!</definedName>
    <definedName name="TP" localSheetId="11">#REF!</definedName>
    <definedName name="TP" localSheetId="15">#REF!</definedName>
    <definedName name="TP" localSheetId="12">#REF!</definedName>
    <definedName name="TP" localSheetId="17">#REF!</definedName>
    <definedName name="TP" localSheetId="23">#REF!</definedName>
    <definedName name="TP" localSheetId="18">#REF!</definedName>
    <definedName name="TP" localSheetId="14">#REF!</definedName>
    <definedName name="TP" localSheetId="13">#REF!</definedName>
    <definedName name="TP" localSheetId="6">#REF!</definedName>
    <definedName name="TP" localSheetId="8">#REF!</definedName>
    <definedName name="TP" localSheetId="9">#REF!</definedName>
    <definedName name="TP" localSheetId="7">#REF!</definedName>
    <definedName name="TP" localSheetId="10">#REF!</definedName>
    <definedName name="TP">#REF!</definedName>
    <definedName name="ty" localSheetId="22">#REF!</definedName>
    <definedName name="ty" localSheetId="4">#REF!</definedName>
    <definedName name="ty" localSheetId="3">#REF!</definedName>
    <definedName name="ty" localSheetId="16">#REF!</definedName>
    <definedName name="ty" localSheetId="11">#REF!</definedName>
    <definedName name="ty" localSheetId="15">#REF!</definedName>
    <definedName name="ty" localSheetId="12">#REF!</definedName>
    <definedName name="ty" localSheetId="17">#REF!</definedName>
    <definedName name="ty" localSheetId="23">#REF!</definedName>
    <definedName name="ty" localSheetId="18">#REF!</definedName>
    <definedName name="ty" localSheetId="14">#REF!</definedName>
    <definedName name="ty" localSheetId="13">#REF!</definedName>
    <definedName name="ty" localSheetId="6">#REF!</definedName>
    <definedName name="ty" localSheetId="8">#REF!</definedName>
    <definedName name="ty" localSheetId="9">#REF!</definedName>
    <definedName name="ty" localSheetId="7">#REF!</definedName>
    <definedName name="ty" localSheetId="10">#REF!</definedName>
    <definedName name="ty">#REF!</definedName>
    <definedName name="tyu" localSheetId="23">#REF!</definedName>
    <definedName name="tyu" localSheetId="13">#REF!</definedName>
    <definedName name="tyu" localSheetId="8">#REF!</definedName>
    <definedName name="tyu" localSheetId="7">#REF!</definedName>
    <definedName name="tyu">#REF!</definedName>
    <definedName name="uo" localSheetId="22">#REF!</definedName>
    <definedName name="uo" localSheetId="4">#REF!</definedName>
    <definedName name="uo" localSheetId="3">#REF!</definedName>
    <definedName name="uo" localSheetId="16">#REF!</definedName>
    <definedName name="uo" localSheetId="11">#REF!</definedName>
    <definedName name="uo" localSheetId="15">#REF!</definedName>
    <definedName name="uo" localSheetId="12">#REF!</definedName>
    <definedName name="uo" localSheetId="17">#REF!</definedName>
    <definedName name="uo" localSheetId="23">#REF!</definedName>
    <definedName name="uo" localSheetId="18">#REF!</definedName>
    <definedName name="uo" localSheetId="14">#REF!</definedName>
    <definedName name="uo" localSheetId="13">#REF!</definedName>
    <definedName name="uo" localSheetId="6">#REF!</definedName>
    <definedName name="uo" localSheetId="8">#REF!</definedName>
    <definedName name="uo" localSheetId="9">#REF!</definedName>
    <definedName name="uo" localSheetId="7">#REF!</definedName>
    <definedName name="uo" localSheetId="10">#REF!</definedName>
    <definedName name="uo">#REF!</definedName>
    <definedName name="UYT" localSheetId="12">#REF!</definedName>
    <definedName name="UYT" localSheetId="23">#REF!</definedName>
    <definedName name="UYT" localSheetId="13">#REF!</definedName>
    <definedName name="UYT" localSheetId="8">#REF!</definedName>
    <definedName name="UYT" localSheetId="7">#REF!</definedName>
    <definedName name="UYT">#REF!</definedName>
    <definedName name="v" localSheetId="22">#REF!</definedName>
    <definedName name="v" localSheetId="4">#REF!</definedName>
    <definedName name="v" localSheetId="3">#REF!</definedName>
    <definedName name="v" localSheetId="16">#REF!</definedName>
    <definedName name="v" localSheetId="11">#REF!</definedName>
    <definedName name="v" localSheetId="15">#REF!</definedName>
    <definedName name="v" localSheetId="12">#REF!</definedName>
    <definedName name="v" localSheetId="17">#REF!</definedName>
    <definedName name="v" localSheetId="23">#REF!</definedName>
    <definedName name="v" localSheetId="18">#REF!</definedName>
    <definedName name="v" localSheetId="14">#REF!</definedName>
    <definedName name="v" localSheetId="13">#REF!</definedName>
    <definedName name="v" localSheetId="6">#REF!</definedName>
    <definedName name="v" localSheetId="8">#REF!</definedName>
    <definedName name="v" localSheetId="9">#REF!</definedName>
    <definedName name="v" localSheetId="7">#REF!</definedName>
    <definedName name="v" localSheetId="10">#REF!</definedName>
    <definedName name="v">#REF!</definedName>
    <definedName name="v_app" localSheetId="23">#REF!</definedName>
    <definedName name="v_app">#REF!</definedName>
    <definedName name="v_est" localSheetId="23">#REF!</definedName>
    <definedName name="v_est">#REF!</definedName>
    <definedName name="v_paid" localSheetId="23">#REF!</definedName>
    <definedName name="v_paid">#REF!</definedName>
    <definedName name="v_quo" localSheetId="23">#REF!</definedName>
    <definedName name="v_quo">#REF!</definedName>
    <definedName name="v_rec" localSheetId="23">#REF!</definedName>
    <definedName name="v_rec">#REF!</definedName>
    <definedName name="v_tot" localSheetId="23">#REF!</definedName>
    <definedName name="v_tot">#REF!</definedName>
    <definedName name="VAC" localSheetId="22">#REF!</definedName>
    <definedName name="VAC" localSheetId="3">#REF!</definedName>
    <definedName name="VAC" localSheetId="16">#REF!</definedName>
    <definedName name="VAC" localSheetId="11">#REF!</definedName>
    <definedName name="VAC" localSheetId="15">#REF!</definedName>
    <definedName name="VAC" localSheetId="12">#REF!</definedName>
    <definedName name="VAC" localSheetId="17">#REF!</definedName>
    <definedName name="VAC" localSheetId="23">#REF!</definedName>
    <definedName name="VAC" localSheetId="18">#REF!</definedName>
    <definedName name="VAC" localSheetId="14">#REF!</definedName>
    <definedName name="VAC" localSheetId="13">#REF!</definedName>
    <definedName name="VAC" localSheetId="6">#REF!</definedName>
    <definedName name="VAC" localSheetId="8">#REF!</definedName>
    <definedName name="VAC" localSheetId="9">#REF!</definedName>
    <definedName name="VAC" localSheetId="7">#REF!</definedName>
    <definedName name="VAC" localSheetId="10">#REF!</definedName>
    <definedName name="VAC">#REF!</definedName>
    <definedName name="Values_Entered" localSheetId="23">IF(Filling!Loan_Amount*Filling!Interest_Rate*Filling!Loan_Years*Filling!Loan_Start&gt;0,1,0)</definedName>
    <definedName name="Values_Entered">IF(Loan_Amount*Interest_Rate*Loan_Years*Loan_Start&gt;0,1,0)</definedName>
    <definedName name="Vambay" localSheetId="22">[4]Data!$X$195:$AD$249,[4]Data!$X$251:$AD$357,[4]Data!$X$358:$AD$361,[4]Data!$X$362:$AD$374,[4]Data!$X$376:$AD$398,[4]Data!$X$399:$AD$456,[4]Data!$X$459:$AD$460</definedName>
    <definedName name="Vambay" localSheetId="16">[6]Data!$X$195:$AD$249,[6]Data!$X$251:$AD$357,[6]Data!$X$358:$AD$361,[6]Data!$X$362:$AD$374,[6]Data!$X$376:$AD$398,[6]Data!$X$399:$AD$456,[6]Data!$X$459:$AD$460</definedName>
    <definedName name="Vambay" localSheetId="11">[6]Data!$X$195:$AD$249,[6]Data!$X$251:$AD$357,[6]Data!$X$358:$AD$361,[6]Data!$X$362:$AD$374,[6]Data!$X$376:$AD$398,[6]Data!$X$399:$AD$456,[6]Data!$X$459:$AD$460</definedName>
    <definedName name="Vambay" localSheetId="15">[6]Data!$X$195:$AD$249,[6]Data!$X$251:$AD$357,[6]Data!$X$358:$AD$361,[6]Data!$X$362:$AD$374,[6]Data!$X$376:$AD$398,[6]Data!$X$399:$AD$456,[6]Data!$X$459:$AD$460</definedName>
    <definedName name="Vambay" localSheetId="12">[7]Data!$X$195:$AD$249,[7]Data!$X$251:$AD$357,[7]Data!$X$358:$AD$361,[7]Data!$X$362:$AD$374,[7]Data!$X$376:$AD$398,[7]Data!$X$399:$AD$456,[7]Data!$X$459:$AD$460</definedName>
    <definedName name="Vambay" localSheetId="17">[6]Data!$X$195:$AD$249,[6]Data!$X$251:$AD$357,[6]Data!$X$358:$AD$361,[6]Data!$X$362:$AD$374,[6]Data!$X$376:$AD$398,[6]Data!$X$399:$AD$456,[6]Data!$X$459:$AD$460</definedName>
    <definedName name="Vambay" localSheetId="23">[7]Data!$X$195:$AD$249,[7]Data!$X$251:$AD$357,[7]Data!$X$358:$AD$361,[7]Data!$X$362:$AD$374,[7]Data!$X$376:$AD$398,[7]Data!$X$399:$AD$456,[7]Data!$X$459:$AD$460</definedName>
    <definedName name="Vambay" localSheetId="18">[6]Data!$X$195:$AD$249,[6]Data!$X$251:$AD$357,[6]Data!$X$358:$AD$361,[6]Data!$X$362:$AD$374,[6]Data!$X$376:$AD$398,[6]Data!$X$399:$AD$456,[6]Data!$X$459:$AD$460</definedName>
    <definedName name="Vambay" localSheetId="14">[6]Data!$X$195:$AD$249,[6]Data!$X$251:$AD$357,[6]Data!$X$358:$AD$361,[6]Data!$X$362:$AD$374,[6]Data!$X$376:$AD$398,[6]Data!$X$399:$AD$456,[6]Data!$X$459:$AD$460</definedName>
    <definedName name="Vambay" localSheetId="13">[7]Data!$X$195:$AD$249,[7]Data!$X$251:$AD$357,[7]Data!$X$358:$AD$361,[7]Data!$X$362:$AD$374,[7]Data!$X$376:$AD$398,[7]Data!$X$399:$AD$456,[7]Data!$X$459:$AD$460</definedName>
    <definedName name="Vambay" localSheetId="6">[6]Data!$X$195:$AD$249,[6]Data!$X$251:$AD$357,[6]Data!$X$358:$AD$361,[6]Data!$X$362:$AD$374,[6]Data!$X$376:$AD$398,[6]Data!$X$399:$AD$456,[6]Data!$X$459:$AD$460</definedName>
    <definedName name="Vambay" localSheetId="8">[8]Data!$X$195:$AD$249,[8]Data!$X$251:$AD$357,[8]Data!$X$358:$AD$361,[8]Data!$X$362:$AD$374,[8]Data!$X$376:$AD$398,[8]Data!$X$399:$AD$456,[8]Data!$X$459:$AD$460</definedName>
    <definedName name="Vambay" localSheetId="9">[7]Data!$X$195:$AD$249,[7]Data!$X$251:$AD$357,[7]Data!$X$358:$AD$361,[7]Data!$X$362:$AD$374,[7]Data!$X$376:$AD$398,[7]Data!$X$399:$AD$456,[7]Data!$X$459:$AD$460</definedName>
    <definedName name="Vambay" localSheetId="7">[8]Data!$X$195:$AD$249,[8]Data!$X$251:$AD$357,[8]Data!$X$358:$AD$361,[8]Data!$X$362:$AD$374,[8]Data!$X$376:$AD$398,[8]Data!$X$399:$AD$456,[8]Data!$X$459:$AD$460</definedName>
    <definedName name="Vambay" localSheetId="10">[6]Data!$X$195:$AD$249,[6]Data!$X$251:$AD$357,[6]Data!$X$358:$AD$361,[6]Data!$X$362:$AD$374,[6]Data!$X$376:$AD$398,[6]Data!$X$399:$AD$456,[6]Data!$X$459:$AD$460</definedName>
    <definedName name="Vambay">[5]Data!$X$195:$AD$249,[5]Data!$X$251:$AD$357,[5]Data!$X$358:$AD$361,[5]Data!$X$362:$AD$374,[5]Data!$X$376:$AD$398,[5]Data!$X$399:$AD$456,[5]Data!$X$459:$AD$460</definedName>
    <definedName name="Vambay_11" localSheetId="22">#REF!,#REF!,#REF!,#REF!,#REF!,#REF!,#REF!</definedName>
    <definedName name="Vambay_11" localSheetId="4">#REF!,#REF!,#REF!,#REF!,#REF!,#REF!,#REF!</definedName>
    <definedName name="Vambay_11" localSheetId="3">#REF!,#REF!,#REF!,#REF!,#REF!,#REF!,#REF!</definedName>
    <definedName name="Vambay_11" localSheetId="16">#REF!,#REF!,#REF!,#REF!,#REF!,#REF!,#REF!</definedName>
    <definedName name="Vambay_11" localSheetId="11">#REF!,#REF!,#REF!,#REF!,#REF!,#REF!,#REF!</definedName>
    <definedName name="Vambay_11" localSheetId="15">#REF!,#REF!,#REF!,#REF!,#REF!,#REF!,#REF!</definedName>
    <definedName name="Vambay_11" localSheetId="12">#REF!,#REF!,#REF!,#REF!,#REF!,#REF!,#REF!</definedName>
    <definedName name="Vambay_11" localSheetId="17">#REF!,#REF!,#REF!,#REF!,#REF!,#REF!,#REF!</definedName>
    <definedName name="Vambay_11" localSheetId="23">#REF!,#REF!,#REF!,#REF!,#REF!,#REF!,#REF!</definedName>
    <definedName name="Vambay_11" localSheetId="18">#REF!,#REF!,#REF!,#REF!,#REF!,#REF!,#REF!</definedName>
    <definedName name="Vambay_11" localSheetId="14">#REF!,#REF!,#REF!,#REF!,#REF!,#REF!,#REF!</definedName>
    <definedName name="Vambay_11" localSheetId="13">#REF!,#REF!,#REF!,#REF!,#REF!,#REF!,#REF!</definedName>
    <definedName name="Vambay_11" localSheetId="6">#REF!,#REF!,#REF!,#REF!,#REF!,#REF!,#REF!</definedName>
    <definedName name="Vambay_11" localSheetId="8">#REF!,#REF!,#REF!,#REF!,#REF!,#REF!,#REF!</definedName>
    <definedName name="Vambay_11" localSheetId="9">#REF!,#REF!,#REF!,#REF!,#REF!,#REF!,#REF!</definedName>
    <definedName name="Vambay_11" localSheetId="7">#REF!,#REF!,#REF!,#REF!,#REF!,#REF!,#REF!</definedName>
    <definedName name="Vambay_11" localSheetId="10">#REF!,#REF!,#REF!,#REF!,#REF!,#REF!,#REF!</definedName>
    <definedName name="Vambay_11">#REF!,#REF!,#REF!,#REF!,#REF!,#REF!,#REF!</definedName>
    <definedName name="Vambay_3" localSheetId="22">#REF!,#REF!,#REF!,#REF!,#REF!,#REF!,#REF!</definedName>
    <definedName name="Vambay_3" localSheetId="4">#REF!,#REF!,#REF!,#REF!,#REF!,#REF!,#REF!</definedName>
    <definedName name="Vambay_3" localSheetId="3">#REF!,#REF!,#REF!,#REF!,#REF!,#REF!,#REF!</definedName>
    <definedName name="Vambay_3" localSheetId="16">#REF!,#REF!,#REF!,#REF!,#REF!,#REF!,#REF!</definedName>
    <definedName name="Vambay_3" localSheetId="11">#REF!,#REF!,#REF!,#REF!,#REF!,#REF!,#REF!</definedName>
    <definedName name="Vambay_3" localSheetId="15">#REF!,#REF!,#REF!,#REF!,#REF!,#REF!,#REF!</definedName>
    <definedName name="Vambay_3" localSheetId="12">#REF!,#REF!,#REF!,#REF!,#REF!,#REF!,#REF!</definedName>
    <definedName name="Vambay_3" localSheetId="17">#REF!,#REF!,#REF!,#REF!,#REF!,#REF!,#REF!</definedName>
    <definedName name="Vambay_3" localSheetId="23">#REF!,#REF!,#REF!,#REF!,#REF!,#REF!,#REF!</definedName>
    <definedName name="Vambay_3" localSheetId="18">#REF!,#REF!,#REF!,#REF!,#REF!,#REF!,#REF!</definedName>
    <definedName name="Vambay_3" localSheetId="14">#REF!,#REF!,#REF!,#REF!,#REF!,#REF!,#REF!</definedName>
    <definedName name="Vambay_3" localSheetId="13">#REF!,#REF!,#REF!,#REF!,#REF!,#REF!,#REF!</definedName>
    <definedName name="Vambay_3" localSheetId="6">#REF!,#REF!,#REF!,#REF!,#REF!,#REF!,#REF!</definedName>
    <definedName name="Vambay_3" localSheetId="8">#REF!,#REF!,#REF!,#REF!,#REF!,#REF!,#REF!</definedName>
    <definedName name="Vambay_3" localSheetId="9">#REF!,#REF!,#REF!,#REF!,#REF!,#REF!,#REF!</definedName>
    <definedName name="Vambay_3" localSheetId="7">#REF!,#REF!,#REF!,#REF!,#REF!,#REF!,#REF!</definedName>
    <definedName name="Vambay_3" localSheetId="10">#REF!,#REF!,#REF!,#REF!,#REF!,#REF!,#REF!</definedName>
    <definedName name="Vambay_3">#REF!,#REF!,#REF!,#REF!,#REF!,#REF!,#REF!</definedName>
    <definedName name="Vambay_6" localSheetId="22">#REF!,#REF!,#REF!,#REF!,#REF!,#REF!,#REF!</definedName>
    <definedName name="Vambay_6" localSheetId="4">#REF!,#REF!,#REF!,#REF!,#REF!,#REF!,#REF!</definedName>
    <definedName name="Vambay_6" localSheetId="3">#REF!,#REF!,#REF!,#REF!,#REF!,#REF!,#REF!</definedName>
    <definedName name="Vambay_6" localSheetId="16">#REF!,#REF!,#REF!,#REF!,#REF!,#REF!,#REF!</definedName>
    <definedName name="Vambay_6" localSheetId="11">#REF!,#REF!,#REF!,#REF!,#REF!,#REF!,#REF!</definedName>
    <definedName name="Vambay_6" localSheetId="15">#REF!,#REF!,#REF!,#REF!,#REF!,#REF!,#REF!</definedName>
    <definedName name="Vambay_6" localSheetId="12">#REF!,#REF!,#REF!,#REF!,#REF!,#REF!,#REF!</definedName>
    <definedName name="Vambay_6" localSheetId="17">#REF!,#REF!,#REF!,#REF!,#REF!,#REF!,#REF!</definedName>
    <definedName name="Vambay_6" localSheetId="23">#REF!,#REF!,#REF!,#REF!,#REF!,#REF!,#REF!</definedName>
    <definedName name="Vambay_6" localSheetId="18">#REF!,#REF!,#REF!,#REF!,#REF!,#REF!,#REF!</definedName>
    <definedName name="Vambay_6" localSheetId="14">#REF!,#REF!,#REF!,#REF!,#REF!,#REF!,#REF!</definedName>
    <definedName name="Vambay_6" localSheetId="13">#REF!,#REF!,#REF!,#REF!,#REF!,#REF!,#REF!</definedName>
    <definedName name="Vambay_6" localSheetId="6">#REF!,#REF!,#REF!,#REF!,#REF!,#REF!,#REF!</definedName>
    <definedName name="Vambay_6" localSheetId="8">#REF!,#REF!,#REF!,#REF!,#REF!,#REF!,#REF!</definedName>
    <definedName name="Vambay_6" localSheetId="9">#REF!,#REF!,#REF!,#REF!,#REF!,#REF!,#REF!</definedName>
    <definedName name="Vambay_6" localSheetId="7">#REF!,#REF!,#REF!,#REF!,#REF!,#REF!,#REF!</definedName>
    <definedName name="Vambay_6" localSheetId="10">#REF!,#REF!,#REF!,#REF!,#REF!,#REF!,#REF!</definedName>
    <definedName name="Vambay_6">#REF!,#REF!,#REF!,#REF!,#REF!,#REF!,#REF!</definedName>
    <definedName name="Vambay_7" localSheetId="22">[4]Data!$X$195:$AD$249,[4]Data!$X$251:$AD$357,[4]Data!$X$358:$AD$361,[4]Data!$X$362:$AD$374,[4]Data!$X$376:$AD$398,[4]Data!$X$399:$AD$456,[4]Data!$X$459:$AD$460</definedName>
    <definedName name="Vambay_7" localSheetId="16">[6]Data!$X$195:$AD$249,[6]Data!$X$251:$AD$357,[6]Data!$X$358:$AD$361,[6]Data!$X$362:$AD$374,[6]Data!$X$376:$AD$398,[6]Data!$X$399:$AD$456,[6]Data!$X$459:$AD$460</definedName>
    <definedName name="Vambay_7" localSheetId="11">[6]Data!$X$195:$AD$249,[6]Data!$X$251:$AD$357,[6]Data!$X$358:$AD$361,[6]Data!$X$362:$AD$374,[6]Data!$X$376:$AD$398,[6]Data!$X$399:$AD$456,[6]Data!$X$459:$AD$460</definedName>
    <definedName name="Vambay_7" localSheetId="15">[6]Data!$X$195:$AD$249,[6]Data!$X$251:$AD$357,[6]Data!$X$358:$AD$361,[6]Data!$X$362:$AD$374,[6]Data!$X$376:$AD$398,[6]Data!$X$399:$AD$456,[6]Data!$X$459:$AD$460</definedName>
    <definedName name="Vambay_7" localSheetId="12">[7]Data!$X$195:$AD$249,[7]Data!$X$251:$AD$357,[7]Data!$X$358:$AD$361,[7]Data!$X$362:$AD$374,[7]Data!$X$376:$AD$398,[7]Data!$X$399:$AD$456,[7]Data!$X$459:$AD$460</definedName>
    <definedName name="Vambay_7" localSheetId="17">[6]Data!$X$195:$AD$249,[6]Data!$X$251:$AD$357,[6]Data!$X$358:$AD$361,[6]Data!$X$362:$AD$374,[6]Data!$X$376:$AD$398,[6]Data!$X$399:$AD$456,[6]Data!$X$459:$AD$460</definedName>
    <definedName name="Vambay_7" localSheetId="23">[7]Data!$X$195:$AD$249,[7]Data!$X$251:$AD$357,[7]Data!$X$358:$AD$361,[7]Data!$X$362:$AD$374,[7]Data!$X$376:$AD$398,[7]Data!$X$399:$AD$456,[7]Data!$X$459:$AD$460</definedName>
    <definedName name="Vambay_7" localSheetId="18">[6]Data!$X$195:$AD$249,[6]Data!$X$251:$AD$357,[6]Data!$X$358:$AD$361,[6]Data!$X$362:$AD$374,[6]Data!$X$376:$AD$398,[6]Data!$X$399:$AD$456,[6]Data!$X$459:$AD$460</definedName>
    <definedName name="Vambay_7" localSheetId="14">[6]Data!$X$195:$AD$249,[6]Data!$X$251:$AD$357,[6]Data!$X$358:$AD$361,[6]Data!$X$362:$AD$374,[6]Data!$X$376:$AD$398,[6]Data!$X$399:$AD$456,[6]Data!$X$459:$AD$460</definedName>
    <definedName name="Vambay_7" localSheetId="13">[7]Data!$X$195:$AD$249,[7]Data!$X$251:$AD$357,[7]Data!$X$358:$AD$361,[7]Data!$X$362:$AD$374,[7]Data!$X$376:$AD$398,[7]Data!$X$399:$AD$456,[7]Data!$X$459:$AD$460</definedName>
    <definedName name="Vambay_7" localSheetId="6">[6]Data!$X$195:$AD$249,[6]Data!$X$251:$AD$357,[6]Data!$X$358:$AD$361,[6]Data!$X$362:$AD$374,[6]Data!$X$376:$AD$398,[6]Data!$X$399:$AD$456,[6]Data!$X$459:$AD$460</definedName>
    <definedName name="Vambay_7" localSheetId="8">[8]Data!$X$195:$AD$249,[8]Data!$X$251:$AD$357,[8]Data!$X$358:$AD$361,[8]Data!$X$362:$AD$374,[8]Data!$X$376:$AD$398,[8]Data!$X$399:$AD$456,[8]Data!$X$459:$AD$460</definedName>
    <definedName name="Vambay_7" localSheetId="9">[7]Data!$X$195:$AD$249,[7]Data!$X$251:$AD$357,[7]Data!$X$358:$AD$361,[7]Data!$X$362:$AD$374,[7]Data!$X$376:$AD$398,[7]Data!$X$399:$AD$456,[7]Data!$X$459:$AD$460</definedName>
    <definedName name="Vambay_7" localSheetId="7">[8]Data!$X$195:$AD$249,[8]Data!$X$251:$AD$357,[8]Data!$X$358:$AD$361,[8]Data!$X$362:$AD$374,[8]Data!$X$376:$AD$398,[8]Data!$X$399:$AD$456,[8]Data!$X$459:$AD$460</definedName>
    <definedName name="Vambay_7" localSheetId="10">[6]Data!$X$195:$AD$249,[6]Data!$X$251:$AD$357,[6]Data!$X$358:$AD$361,[6]Data!$X$362:$AD$374,[6]Data!$X$376:$AD$398,[6]Data!$X$399:$AD$456,[6]Data!$X$459:$AD$460</definedName>
    <definedName name="Vambay_7">[5]Data!$X$195:$AD$249,[5]Data!$X$251:$AD$357,[5]Data!$X$358:$AD$361,[5]Data!$X$362:$AD$374,[5]Data!$X$376:$AD$398,[5]Data!$X$399:$AD$456,[5]Data!$X$459:$AD$460</definedName>
    <definedName name="Vambay_8" localSheetId="22">[4]Data!$X$195:$AD$249,[4]Data!$X$251:$AD$357,[4]Data!$X$358:$AD$361,[4]Data!$X$362:$AD$374,[4]Data!$X$376:$AD$398,[4]Data!$X$399:$AD$456,[4]Data!$X$459:$AD$460</definedName>
    <definedName name="Vambay_8" localSheetId="16">[6]Data!$X$195:$AD$249,[6]Data!$X$251:$AD$357,[6]Data!$X$358:$AD$361,[6]Data!$X$362:$AD$374,[6]Data!$X$376:$AD$398,[6]Data!$X$399:$AD$456,[6]Data!$X$459:$AD$460</definedName>
    <definedName name="Vambay_8" localSheetId="11">[6]Data!$X$195:$AD$249,[6]Data!$X$251:$AD$357,[6]Data!$X$358:$AD$361,[6]Data!$X$362:$AD$374,[6]Data!$X$376:$AD$398,[6]Data!$X$399:$AD$456,[6]Data!$X$459:$AD$460</definedName>
    <definedName name="Vambay_8" localSheetId="15">[6]Data!$X$195:$AD$249,[6]Data!$X$251:$AD$357,[6]Data!$X$358:$AD$361,[6]Data!$X$362:$AD$374,[6]Data!$X$376:$AD$398,[6]Data!$X$399:$AD$456,[6]Data!$X$459:$AD$460</definedName>
    <definedName name="Vambay_8" localSheetId="12">[7]Data!$X$195:$AD$249,[7]Data!$X$251:$AD$357,[7]Data!$X$358:$AD$361,[7]Data!$X$362:$AD$374,[7]Data!$X$376:$AD$398,[7]Data!$X$399:$AD$456,[7]Data!$X$459:$AD$460</definedName>
    <definedName name="Vambay_8" localSheetId="17">[6]Data!$X$195:$AD$249,[6]Data!$X$251:$AD$357,[6]Data!$X$358:$AD$361,[6]Data!$X$362:$AD$374,[6]Data!$X$376:$AD$398,[6]Data!$X$399:$AD$456,[6]Data!$X$459:$AD$460</definedName>
    <definedName name="Vambay_8" localSheetId="23">[7]Data!$X$195:$AD$249,[7]Data!$X$251:$AD$357,[7]Data!$X$358:$AD$361,[7]Data!$X$362:$AD$374,[7]Data!$X$376:$AD$398,[7]Data!$X$399:$AD$456,[7]Data!$X$459:$AD$460</definedName>
    <definedName name="Vambay_8" localSheetId="18">[6]Data!$X$195:$AD$249,[6]Data!$X$251:$AD$357,[6]Data!$X$358:$AD$361,[6]Data!$X$362:$AD$374,[6]Data!$X$376:$AD$398,[6]Data!$X$399:$AD$456,[6]Data!$X$459:$AD$460</definedName>
    <definedName name="Vambay_8" localSheetId="14">[6]Data!$X$195:$AD$249,[6]Data!$X$251:$AD$357,[6]Data!$X$358:$AD$361,[6]Data!$X$362:$AD$374,[6]Data!$X$376:$AD$398,[6]Data!$X$399:$AD$456,[6]Data!$X$459:$AD$460</definedName>
    <definedName name="Vambay_8" localSheetId="13">[7]Data!$X$195:$AD$249,[7]Data!$X$251:$AD$357,[7]Data!$X$358:$AD$361,[7]Data!$X$362:$AD$374,[7]Data!$X$376:$AD$398,[7]Data!$X$399:$AD$456,[7]Data!$X$459:$AD$460</definedName>
    <definedName name="Vambay_8" localSheetId="6">[6]Data!$X$195:$AD$249,[6]Data!$X$251:$AD$357,[6]Data!$X$358:$AD$361,[6]Data!$X$362:$AD$374,[6]Data!$X$376:$AD$398,[6]Data!$X$399:$AD$456,[6]Data!$X$459:$AD$460</definedName>
    <definedName name="Vambay_8" localSheetId="8">[8]Data!$X$195:$AD$249,[8]Data!$X$251:$AD$357,[8]Data!$X$358:$AD$361,[8]Data!$X$362:$AD$374,[8]Data!$X$376:$AD$398,[8]Data!$X$399:$AD$456,[8]Data!$X$459:$AD$460</definedName>
    <definedName name="Vambay_8" localSheetId="9">[7]Data!$X$195:$AD$249,[7]Data!$X$251:$AD$357,[7]Data!$X$358:$AD$361,[7]Data!$X$362:$AD$374,[7]Data!$X$376:$AD$398,[7]Data!$X$399:$AD$456,[7]Data!$X$459:$AD$460</definedName>
    <definedName name="Vambay_8" localSheetId="7">[8]Data!$X$195:$AD$249,[8]Data!$X$251:$AD$357,[8]Data!$X$358:$AD$361,[8]Data!$X$362:$AD$374,[8]Data!$X$376:$AD$398,[8]Data!$X$399:$AD$456,[8]Data!$X$459:$AD$460</definedName>
    <definedName name="Vambay_8" localSheetId="10">[6]Data!$X$195:$AD$249,[6]Data!$X$251:$AD$357,[6]Data!$X$358:$AD$361,[6]Data!$X$362:$AD$374,[6]Data!$X$376:$AD$398,[6]Data!$X$399:$AD$456,[6]Data!$X$459:$AD$460</definedName>
    <definedName name="Vambay_8">[5]Data!$X$195:$AD$249,[5]Data!$X$251:$AD$357,[5]Data!$X$358:$AD$361,[5]Data!$X$362:$AD$374,[5]Data!$X$376:$AD$398,[5]Data!$X$399:$AD$456,[5]Data!$X$459:$AD$460</definedName>
    <definedName name="Varnish" localSheetId="22">#REF!</definedName>
    <definedName name="Varnish" localSheetId="4">#REF!</definedName>
    <definedName name="Varnish" localSheetId="3">#REF!</definedName>
    <definedName name="Varnish" localSheetId="16">#REF!</definedName>
    <definedName name="Varnish" localSheetId="11">#REF!</definedName>
    <definedName name="Varnish" localSheetId="15">#REF!</definedName>
    <definedName name="Varnish" localSheetId="12">#REF!</definedName>
    <definedName name="Varnish" localSheetId="17">#REF!</definedName>
    <definedName name="Varnish" localSheetId="23">#REF!</definedName>
    <definedName name="Varnish" localSheetId="18">#REF!</definedName>
    <definedName name="Varnish" localSheetId="14">#REF!</definedName>
    <definedName name="Varnish" localSheetId="13">#REF!</definedName>
    <definedName name="Varnish" localSheetId="6">#REF!</definedName>
    <definedName name="Varnish" localSheetId="8">#REF!</definedName>
    <definedName name="Varnish" localSheetId="9">#REF!</definedName>
    <definedName name="Varnish" localSheetId="7">#REF!</definedName>
    <definedName name="Varnish" localSheetId="10">#REF!</definedName>
    <definedName name="Varnish">#REF!</definedName>
    <definedName name="Varnish1" localSheetId="22">#REF!</definedName>
    <definedName name="Varnish1" localSheetId="4">#REF!</definedName>
    <definedName name="Varnish1" localSheetId="3">#REF!</definedName>
    <definedName name="Varnish1" localSheetId="16">#REF!</definedName>
    <definedName name="Varnish1" localSheetId="11">#REF!</definedName>
    <definedName name="Varnish1" localSheetId="15">#REF!</definedName>
    <definedName name="Varnish1" localSheetId="12">#REF!</definedName>
    <definedName name="Varnish1" localSheetId="17">#REF!</definedName>
    <definedName name="Varnish1" localSheetId="23">#REF!</definedName>
    <definedName name="Varnish1" localSheetId="18">#REF!</definedName>
    <definedName name="Varnish1" localSheetId="14">#REF!</definedName>
    <definedName name="Varnish1" localSheetId="13">#REF!</definedName>
    <definedName name="Varnish1" localSheetId="6">#REF!</definedName>
    <definedName name="Varnish1" localSheetId="8">#REF!</definedName>
    <definedName name="Varnish1" localSheetId="9">#REF!</definedName>
    <definedName name="Varnish1" localSheetId="7">#REF!</definedName>
    <definedName name="Varnish1" localSheetId="10">#REF!</definedName>
    <definedName name="Varnish1">#REF!</definedName>
    <definedName name="vignesh" localSheetId="23">#REF!</definedName>
    <definedName name="vignesh">#REF!</definedName>
    <definedName name="vinoth" localSheetId="22">#REF!</definedName>
    <definedName name="vinoth" localSheetId="3">#REF!</definedName>
    <definedName name="vinoth" localSheetId="16">#REF!</definedName>
    <definedName name="vinoth" localSheetId="11">#REF!</definedName>
    <definedName name="vinoth" localSheetId="15">#REF!</definedName>
    <definedName name="vinoth" localSheetId="12">#REF!</definedName>
    <definedName name="vinoth" localSheetId="17">#REF!</definedName>
    <definedName name="vinoth" localSheetId="23">#REF!</definedName>
    <definedName name="vinoth" localSheetId="18">#REF!</definedName>
    <definedName name="vinoth" localSheetId="14">#REF!</definedName>
    <definedName name="vinoth" localSheetId="13">#REF!</definedName>
    <definedName name="vinoth" localSheetId="6">#REF!</definedName>
    <definedName name="vinoth" localSheetId="8">#REF!</definedName>
    <definedName name="vinoth" localSheetId="9">#REF!</definedName>
    <definedName name="vinoth" localSheetId="7">#REF!</definedName>
    <definedName name="vinoth" localSheetId="10">#REF!</definedName>
    <definedName name="vinoth">#REF!</definedName>
    <definedName name="w" localSheetId="22">#REF!</definedName>
    <definedName name="w" localSheetId="4">#REF!</definedName>
    <definedName name="w" localSheetId="3">#REF!</definedName>
    <definedName name="w" localSheetId="16">#REF!</definedName>
    <definedName name="w" localSheetId="11">#REF!</definedName>
    <definedName name="w" localSheetId="15">#REF!</definedName>
    <definedName name="w" localSheetId="12">#REF!</definedName>
    <definedName name="w" localSheetId="17">#REF!</definedName>
    <definedName name="w" localSheetId="23">#REF!</definedName>
    <definedName name="w" localSheetId="18">#REF!</definedName>
    <definedName name="w" localSheetId="14">#REF!</definedName>
    <definedName name="w" localSheetId="13">#REF!</definedName>
    <definedName name="w" localSheetId="6">#REF!</definedName>
    <definedName name="w" localSheetId="8">#REF!</definedName>
    <definedName name="w" localSheetId="9">#REF!</definedName>
    <definedName name="w" localSheetId="7">#REF!</definedName>
    <definedName name="w" localSheetId="10">#REF!</definedName>
    <definedName name="w">#REF!</definedName>
    <definedName name="WE" localSheetId="22">#REF!</definedName>
    <definedName name="WE" localSheetId="4">#REF!</definedName>
    <definedName name="WE" localSheetId="3">#REF!</definedName>
    <definedName name="WE" localSheetId="16">#REF!</definedName>
    <definedName name="WE" localSheetId="11">#REF!</definedName>
    <definedName name="WE" localSheetId="15">#REF!</definedName>
    <definedName name="we" localSheetId="12">#REF!</definedName>
    <definedName name="WE" localSheetId="17">#REF!</definedName>
    <definedName name="WE" localSheetId="23">#REF!</definedName>
    <definedName name="WE" localSheetId="18">#REF!</definedName>
    <definedName name="WE" localSheetId="14">#REF!</definedName>
    <definedName name="WE" localSheetId="13">#REF!</definedName>
    <definedName name="WE" localSheetId="6">#REF!</definedName>
    <definedName name="we" localSheetId="8">#REF!</definedName>
    <definedName name="we" localSheetId="9">#REF!</definedName>
    <definedName name="we" localSheetId="7">#REF!</definedName>
    <definedName name="WE" localSheetId="10">#REF!</definedName>
    <definedName name="WE">#REF!</definedName>
    <definedName name="Weath.Course" localSheetId="22">#REF!</definedName>
    <definedName name="Weath.Course" localSheetId="4">#REF!</definedName>
    <definedName name="Weath.Course" localSheetId="3">#REF!</definedName>
    <definedName name="Weath.Course" localSheetId="16">#REF!</definedName>
    <definedName name="Weath.Course" localSheetId="11">#REF!</definedName>
    <definedName name="Weath.Course" localSheetId="15">#REF!</definedName>
    <definedName name="Weath.Course" localSheetId="12">#REF!</definedName>
    <definedName name="Weath.Course" localSheetId="17">#REF!</definedName>
    <definedName name="Weath.Course" localSheetId="23">#REF!</definedName>
    <definedName name="Weath.Course" localSheetId="18">#REF!</definedName>
    <definedName name="Weath.Course" localSheetId="14">#REF!</definedName>
    <definedName name="Weath.Course" localSheetId="13">#REF!</definedName>
    <definedName name="Weath.Course" localSheetId="6">#REF!</definedName>
    <definedName name="Weath.Course" localSheetId="8">#REF!</definedName>
    <definedName name="Weath.Course" localSheetId="9">#REF!</definedName>
    <definedName name="Weath.Course" localSheetId="7">#REF!</definedName>
    <definedName name="Weath.Course" localSheetId="10">#REF!</definedName>
    <definedName name="Weath.Course">#REF!</definedName>
    <definedName name="Weathering">[1]Spec!$B$18</definedName>
    <definedName name="WEE" localSheetId="22">#REF!</definedName>
    <definedName name="WEE" localSheetId="4">#REF!</definedName>
    <definedName name="WEE" localSheetId="3">#REF!</definedName>
    <definedName name="WEE" localSheetId="16">#REF!</definedName>
    <definedName name="WEE" localSheetId="11">#REF!</definedName>
    <definedName name="WEE" localSheetId="15">#REF!</definedName>
    <definedName name="WEE" localSheetId="12">#REF!</definedName>
    <definedName name="WEE" localSheetId="17">#REF!</definedName>
    <definedName name="WEE" localSheetId="23">#REF!</definedName>
    <definedName name="WEE" localSheetId="18">#REF!</definedName>
    <definedName name="WEE" localSheetId="14">#REF!</definedName>
    <definedName name="WEE" localSheetId="13">#REF!</definedName>
    <definedName name="WEE" localSheetId="6">#REF!</definedName>
    <definedName name="WEE" localSheetId="8">#REF!</definedName>
    <definedName name="WEE" localSheetId="9">#REF!</definedName>
    <definedName name="WEE" localSheetId="7">#REF!</definedName>
    <definedName name="WEE" localSheetId="10">#REF!</definedName>
    <definedName name="WEE">#REF!</definedName>
    <definedName name="White_Wash" localSheetId="22">#REF!</definedName>
    <definedName name="White_Wash" localSheetId="4">#REF!</definedName>
    <definedName name="White_Wash" localSheetId="3">#REF!</definedName>
    <definedName name="White_Wash" localSheetId="16">#REF!</definedName>
    <definedName name="White_Wash" localSheetId="11">#REF!</definedName>
    <definedName name="White_Wash" localSheetId="15">#REF!</definedName>
    <definedName name="White_Wash" localSheetId="12">#REF!</definedName>
    <definedName name="White_Wash" localSheetId="17">#REF!</definedName>
    <definedName name="White_Wash" localSheetId="23">#REF!</definedName>
    <definedName name="White_Wash" localSheetId="18">#REF!</definedName>
    <definedName name="White_Wash" localSheetId="14">#REF!</definedName>
    <definedName name="White_Wash" localSheetId="13">#REF!</definedName>
    <definedName name="White_Wash" localSheetId="6">#REF!</definedName>
    <definedName name="White_Wash" localSheetId="8">#REF!</definedName>
    <definedName name="White_Wash" localSheetId="9">#REF!</definedName>
    <definedName name="White_Wash" localSheetId="7">#REF!</definedName>
    <definedName name="White_Wash" localSheetId="10">#REF!</definedName>
    <definedName name="White_Wash">#REF!</definedName>
    <definedName name="Win_Grill" localSheetId="22">#REF!</definedName>
    <definedName name="Win_Grill" localSheetId="4">#REF!</definedName>
    <definedName name="Win_Grill" localSheetId="3">#REF!</definedName>
    <definedName name="Win_Grill" localSheetId="16">#REF!</definedName>
    <definedName name="Win_Grill" localSheetId="11">#REF!</definedName>
    <definedName name="Win_Grill" localSheetId="15">#REF!</definedName>
    <definedName name="Win_Grill" localSheetId="12">#REF!</definedName>
    <definedName name="Win_Grill" localSheetId="17">#REF!</definedName>
    <definedName name="Win_Grill" localSheetId="23">#REF!</definedName>
    <definedName name="Win_Grill" localSheetId="18">#REF!</definedName>
    <definedName name="Win_Grill" localSheetId="14">#REF!</definedName>
    <definedName name="Win_Grill" localSheetId="13">#REF!</definedName>
    <definedName name="Win_Grill" localSheetId="6">#REF!</definedName>
    <definedName name="Win_Grill" localSheetId="8">#REF!</definedName>
    <definedName name="Win_Grill" localSheetId="9">#REF!</definedName>
    <definedName name="Win_Grill" localSheetId="7">#REF!</definedName>
    <definedName name="Win_Grill" localSheetId="10">#REF!</definedName>
    <definedName name="Win_Grill">#REF!</definedName>
    <definedName name="Win_M.S_RODl" localSheetId="22">#REF!</definedName>
    <definedName name="Win_M.S_RODl" localSheetId="4">#REF!</definedName>
    <definedName name="Win_M.S_RODl" localSheetId="3">#REF!</definedName>
    <definedName name="Win_M.S_RODl" localSheetId="16">#REF!</definedName>
    <definedName name="Win_M.S_RODl" localSheetId="11">#REF!</definedName>
    <definedName name="Win_M.S_RODl" localSheetId="15">#REF!</definedName>
    <definedName name="Win_M.S_RODl" localSheetId="12">#REF!</definedName>
    <definedName name="Win_M.S_RODl" localSheetId="17">#REF!</definedName>
    <definedName name="Win_M.S_RODl" localSheetId="23">#REF!</definedName>
    <definedName name="Win_M.S_RODl" localSheetId="18">#REF!</definedName>
    <definedName name="Win_M.S_RODl" localSheetId="14">#REF!</definedName>
    <definedName name="Win_M.S_RODl" localSheetId="13">#REF!</definedName>
    <definedName name="Win_M.S_RODl" localSheetId="6">#REF!</definedName>
    <definedName name="Win_M.S_RODl" localSheetId="8">#REF!</definedName>
    <definedName name="Win_M.S_RODl" localSheetId="9">#REF!</definedName>
    <definedName name="Win_M.S_RODl" localSheetId="7">#REF!</definedName>
    <definedName name="Win_M.S_RODl" localSheetId="10">#REF!</definedName>
    <definedName name="Win_M.S_RODl">#REF!</definedName>
    <definedName name="Wood_Paint" localSheetId="22">#REF!</definedName>
    <definedName name="Wood_Paint" localSheetId="4">#REF!</definedName>
    <definedName name="Wood_Paint" localSheetId="3">#REF!</definedName>
    <definedName name="Wood_Paint" localSheetId="16">#REF!</definedName>
    <definedName name="Wood_Paint" localSheetId="11">#REF!</definedName>
    <definedName name="Wood_Paint" localSheetId="15">#REF!</definedName>
    <definedName name="Wood_Paint" localSheetId="12">#REF!</definedName>
    <definedName name="Wood_Paint" localSheetId="17">#REF!</definedName>
    <definedName name="Wood_Paint" localSheetId="23">#REF!</definedName>
    <definedName name="Wood_Paint" localSheetId="18">#REF!</definedName>
    <definedName name="Wood_Paint" localSheetId="14">#REF!</definedName>
    <definedName name="Wood_Paint" localSheetId="13">#REF!</definedName>
    <definedName name="Wood_Paint" localSheetId="6">#REF!</definedName>
    <definedName name="Wood_Paint" localSheetId="8">#REF!</definedName>
    <definedName name="Wood_Paint" localSheetId="9">#REF!</definedName>
    <definedName name="Wood_Paint" localSheetId="7">#REF!</definedName>
    <definedName name="Wood_Paint" localSheetId="10">#REF!</definedName>
    <definedName name="Wood_Paint">#REF!</definedName>
    <definedName name="WW">[1]Spec!$B$22</definedName>
    <definedName name="WW_Colour" localSheetId="22">#REF!</definedName>
    <definedName name="WW_Colour" localSheetId="4">#REF!</definedName>
    <definedName name="WW_Colour" localSheetId="3">#REF!</definedName>
    <definedName name="WW_Colour" localSheetId="16">#REF!</definedName>
    <definedName name="WW_Colour" localSheetId="11">#REF!</definedName>
    <definedName name="WW_Colour" localSheetId="15">#REF!</definedName>
    <definedName name="WW_Colour" localSheetId="12">#REF!</definedName>
    <definedName name="WW_Colour" localSheetId="17">#REF!</definedName>
    <definedName name="WW_Colour" localSheetId="23">#REF!</definedName>
    <definedName name="WW_Colour" localSheetId="18">#REF!</definedName>
    <definedName name="WW_Colour" localSheetId="14">#REF!</definedName>
    <definedName name="WW_Colour" localSheetId="13">#REF!</definedName>
    <definedName name="WW_Colour" localSheetId="6">#REF!</definedName>
    <definedName name="WW_Colour" localSheetId="8">#REF!</definedName>
    <definedName name="WW_Colour" localSheetId="9">#REF!</definedName>
    <definedName name="WW_Colour" localSheetId="7">#REF!</definedName>
    <definedName name="WW_Colour" localSheetId="10">#REF!</definedName>
    <definedName name="WW_Colour">#REF!</definedName>
    <definedName name="WW_Colour_11" localSheetId="22">#REF!</definedName>
    <definedName name="WW_Colour_11" localSheetId="4">#REF!</definedName>
    <definedName name="WW_Colour_11" localSheetId="3">#REF!</definedName>
    <definedName name="WW_Colour_11" localSheetId="16">#REF!</definedName>
    <definedName name="WW_Colour_11" localSheetId="11">#REF!</definedName>
    <definedName name="WW_Colour_11" localSheetId="15">#REF!</definedName>
    <definedName name="WW_Colour_11" localSheetId="12">#REF!</definedName>
    <definedName name="WW_Colour_11" localSheetId="17">#REF!</definedName>
    <definedName name="WW_Colour_11" localSheetId="23">#REF!</definedName>
    <definedName name="WW_Colour_11" localSheetId="18">#REF!</definedName>
    <definedName name="WW_Colour_11" localSheetId="14">#REF!</definedName>
    <definedName name="WW_Colour_11" localSheetId="13">#REF!</definedName>
    <definedName name="WW_Colour_11" localSheetId="6">#REF!</definedName>
    <definedName name="WW_Colour_11" localSheetId="8">#REF!</definedName>
    <definedName name="WW_Colour_11" localSheetId="9">#REF!</definedName>
    <definedName name="WW_Colour_11" localSheetId="7">#REF!</definedName>
    <definedName name="WW_Colour_11" localSheetId="10">#REF!</definedName>
    <definedName name="WW_Colour_11">#REF!</definedName>
    <definedName name="WW_Colour_3" localSheetId="22">#REF!</definedName>
    <definedName name="WW_Colour_3" localSheetId="4">#REF!</definedName>
    <definedName name="WW_Colour_3" localSheetId="3">#REF!</definedName>
    <definedName name="WW_Colour_3" localSheetId="16">#REF!</definedName>
    <definedName name="WW_Colour_3" localSheetId="11">#REF!</definedName>
    <definedName name="WW_Colour_3" localSheetId="15">#REF!</definedName>
    <definedName name="WW_Colour_3" localSheetId="12">#REF!</definedName>
    <definedName name="WW_Colour_3" localSheetId="17">#REF!</definedName>
    <definedName name="WW_Colour_3" localSheetId="23">#REF!</definedName>
    <definedName name="WW_Colour_3" localSheetId="18">#REF!</definedName>
    <definedName name="WW_Colour_3" localSheetId="14">#REF!</definedName>
    <definedName name="WW_Colour_3" localSheetId="13">#REF!</definedName>
    <definedName name="WW_Colour_3" localSheetId="6">#REF!</definedName>
    <definedName name="WW_Colour_3" localSheetId="8">#REF!</definedName>
    <definedName name="WW_Colour_3" localSheetId="9">#REF!</definedName>
    <definedName name="WW_Colour_3" localSheetId="7">#REF!</definedName>
    <definedName name="WW_Colour_3" localSheetId="10">#REF!</definedName>
    <definedName name="WW_Colour_3">#REF!</definedName>
    <definedName name="WW_Colour_6" localSheetId="22">#REF!</definedName>
    <definedName name="WW_Colour_6" localSheetId="4">#REF!</definedName>
    <definedName name="WW_Colour_6" localSheetId="3">#REF!</definedName>
    <definedName name="WW_Colour_6" localSheetId="16">#REF!</definedName>
    <definedName name="WW_Colour_6" localSheetId="11">#REF!</definedName>
    <definedName name="WW_Colour_6" localSheetId="15">#REF!</definedName>
    <definedName name="WW_Colour_6" localSheetId="12">#REF!</definedName>
    <definedName name="WW_Colour_6" localSheetId="17">#REF!</definedName>
    <definedName name="WW_Colour_6" localSheetId="23">#REF!</definedName>
    <definedName name="WW_Colour_6" localSheetId="18">#REF!</definedName>
    <definedName name="WW_Colour_6" localSheetId="14">#REF!</definedName>
    <definedName name="WW_Colour_6" localSheetId="13">#REF!</definedName>
    <definedName name="WW_Colour_6" localSheetId="6">#REF!</definedName>
    <definedName name="WW_Colour_6" localSheetId="8">#REF!</definedName>
    <definedName name="WW_Colour_6" localSheetId="9">#REF!</definedName>
    <definedName name="WW_Colour_6" localSheetId="7">#REF!</definedName>
    <definedName name="WW_Colour_6" localSheetId="10">#REF!</definedName>
    <definedName name="WW_Colour_6">#REF!</definedName>
    <definedName name="wws" localSheetId="22">#REF!</definedName>
    <definedName name="wws" localSheetId="3">#REF!</definedName>
    <definedName name="wws" localSheetId="16">#REF!</definedName>
    <definedName name="wws" localSheetId="11">#REF!</definedName>
    <definedName name="wws" localSheetId="15">#REF!</definedName>
    <definedName name="wws" localSheetId="17">#REF!</definedName>
    <definedName name="wws" localSheetId="23">#REF!</definedName>
    <definedName name="wws" localSheetId="18">#REF!</definedName>
    <definedName name="wws" localSheetId="14">#REF!</definedName>
    <definedName name="wws" localSheetId="6">#REF!</definedName>
    <definedName name="wws" localSheetId="10">#REF!</definedName>
    <definedName name="wws">#REF!</definedName>
    <definedName name="www" localSheetId="22">#REF!</definedName>
    <definedName name="www" localSheetId="3">#REF!</definedName>
    <definedName name="www" localSheetId="16">#REF!</definedName>
    <definedName name="www" localSheetId="11">#REF!</definedName>
    <definedName name="www" localSheetId="15">#REF!</definedName>
    <definedName name="www" localSheetId="12">#REF!</definedName>
    <definedName name="www" localSheetId="17">#REF!</definedName>
    <definedName name="www" localSheetId="23">#REF!</definedName>
    <definedName name="www" localSheetId="18">#REF!</definedName>
    <definedName name="www" localSheetId="14">#REF!</definedName>
    <definedName name="www" localSheetId="13">#REF!</definedName>
    <definedName name="www" localSheetId="6">#REF!</definedName>
    <definedName name="www" localSheetId="8">#REF!</definedName>
    <definedName name="www" localSheetId="9">#REF!</definedName>
    <definedName name="www" localSheetId="7">#REF!</definedName>
    <definedName name="www" localSheetId="10">#REF!</definedName>
    <definedName name="www">#REF!</definedName>
    <definedName name="x" localSheetId="22">#REF!</definedName>
    <definedName name="x" localSheetId="3">#REF!</definedName>
    <definedName name="x" localSheetId="16">#REF!</definedName>
    <definedName name="x" localSheetId="11">#REF!</definedName>
    <definedName name="x" localSheetId="15">#REF!</definedName>
    <definedName name="x" localSheetId="12">#REF!</definedName>
    <definedName name="x" localSheetId="17">#REF!</definedName>
    <definedName name="x" localSheetId="23">#REF!</definedName>
    <definedName name="x" localSheetId="18">#REF!</definedName>
    <definedName name="x" localSheetId="14">#REF!</definedName>
    <definedName name="x" localSheetId="13">#REF!</definedName>
    <definedName name="x" localSheetId="6">#REF!</definedName>
    <definedName name="x" localSheetId="8">#REF!</definedName>
    <definedName name="x" localSheetId="9">#REF!</definedName>
    <definedName name="x" localSheetId="7">#REF!</definedName>
    <definedName name="x" localSheetId="10">#REF!</definedName>
    <definedName name="x">#REF!</definedName>
    <definedName name="xgjhvfxfhkl" localSheetId="23">#REF!</definedName>
    <definedName name="xgjhvfxfhkl">#REF!</definedName>
    <definedName name="yt" localSheetId="22">#REF!</definedName>
    <definedName name="yt" localSheetId="4">#REF!</definedName>
    <definedName name="yt" localSheetId="3">#REF!</definedName>
    <definedName name="yt" localSheetId="16">#REF!</definedName>
    <definedName name="yt" localSheetId="11">#REF!</definedName>
    <definedName name="yt" localSheetId="15">#REF!</definedName>
    <definedName name="yt" localSheetId="12">#REF!</definedName>
    <definedName name="yt" localSheetId="17">#REF!</definedName>
    <definedName name="yt" localSheetId="23">#REF!</definedName>
    <definedName name="yt" localSheetId="18">#REF!</definedName>
    <definedName name="yt" localSheetId="14">#REF!</definedName>
    <definedName name="yt" localSheetId="13">#REF!</definedName>
    <definedName name="yt" localSheetId="6">#REF!</definedName>
    <definedName name="yt" localSheetId="8">#REF!</definedName>
    <definedName name="yt" localSheetId="9">#REF!</definedName>
    <definedName name="yt" localSheetId="7">#REF!</definedName>
    <definedName name="yt" localSheetId="10">#REF!</definedName>
    <definedName name="yt">#REF!</definedName>
    <definedName name="yuk" localSheetId="22">[4]Data!#REF!</definedName>
    <definedName name="yuk" localSheetId="3">[5]Data!#REF!</definedName>
    <definedName name="yuk" localSheetId="16">[6]Data!#REF!</definedName>
    <definedName name="yuk" localSheetId="11">[6]Data!#REF!</definedName>
    <definedName name="yuk" localSheetId="15">[6]Data!#REF!</definedName>
    <definedName name="yuk" localSheetId="12">[7]Data!#REF!</definedName>
    <definedName name="yuk" localSheetId="17">[6]Data!#REF!</definedName>
    <definedName name="yuk" localSheetId="23">[7]Data!#REF!</definedName>
    <definedName name="yuk" localSheetId="18">[6]Data!#REF!</definedName>
    <definedName name="yuk" localSheetId="14">[6]Data!#REF!</definedName>
    <definedName name="yuk" localSheetId="13">[7]Data!#REF!</definedName>
    <definedName name="yuk" localSheetId="6">[6]Data!#REF!</definedName>
    <definedName name="yuk" localSheetId="8">[8]Data!#REF!</definedName>
    <definedName name="yuk" localSheetId="9">[7]Data!#REF!</definedName>
    <definedName name="yuk" localSheetId="7">[8]Data!#REF!</definedName>
    <definedName name="yuk" localSheetId="10">[6]Data!#REF!</definedName>
    <definedName name="yuk">[5]Data!#REF!</definedName>
    <definedName name="z" localSheetId="22">#REF!</definedName>
    <definedName name="z" localSheetId="3">#REF!</definedName>
    <definedName name="z" localSheetId="16">#REF!</definedName>
    <definedName name="z" localSheetId="11">#REF!</definedName>
    <definedName name="z" localSheetId="15">#REF!</definedName>
    <definedName name="z" localSheetId="12">#REF!</definedName>
    <definedName name="z" localSheetId="17">#REF!</definedName>
    <definedName name="z" localSheetId="23">#REF!</definedName>
    <definedName name="z" localSheetId="18">#REF!</definedName>
    <definedName name="z" localSheetId="14">#REF!</definedName>
    <definedName name="z" localSheetId="13">#REF!</definedName>
    <definedName name="z" localSheetId="6">#REF!</definedName>
    <definedName name="z" localSheetId="8">#REF!</definedName>
    <definedName name="z" localSheetId="9">#REF!</definedName>
    <definedName name="z" localSheetId="7">#REF!</definedName>
    <definedName name="z" localSheetId="10">#REF!</definedName>
    <definedName name="z">#REF!</definedName>
    <definedName name="Zx" localSheetId="23">#REF!</definedName>
    <definedName name="Zx" localSheetId="13">#REF!</definedName>
    <definedName name="Zx" localSheetId="8">#REF!</definedName>
    <definedName name="Zx" localSheetId="7">#REF!</definedName>
    <definedName name="Zx">#REF!</definedName>
    <definedName name="zxv" localSheetId="23">#REF!</definedName>
    <definedName name="zxv" localSheetId="13">#REF!</definedName>
    <definedName name="zxv" localSheetId="8">#REF!</definedName>
    <definedName name="zxv" localSheetId="7">#REF!</definedName>
    <definedName name="zxv">#REF!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123" i="73"/>
  <c r="H2122"/>
  <c r="H2121"/>
  <c r="H2120"/>
  <c r="H2119"/>
  <c r="H2118"/>
  <c r="I2117"/>
  <c r="H2117"/>
  <c r="H2116"/>
  <c r="H2115"/>
  <c r="H2114"/>
  <c r="H2113"/>
  <c r="H2112"/>
  <c r="I2111"/>
  <c r="H2111"/>
  <c r="H2110"/>
  <c r="H2109"/>
  <c r="H2108"/>
  <c r="H2107"/>
  <c r="H2106"/>
  <c r="I2105"/>
  <c r="H2105"/>
  <c r="H2104"/>
  <c r="H2097"/>
  <c r="I2092"/>
  <c r="H2091"/>
  <c r="I2086"/>
  <c r="H2085"/>
  <c r="I2080"/>
  <c r="H2080"/>
  <c r="H2079"/>
  <c r="I2125" l="1"/>
  <c r="J2125" s="1"/>
  <c r="H2125" s="1"/>
  <c r="G2126" s="1"/>
  <c r="H2081"/>
  <c r="H2082"/>
  <c r="I9" i="90"/>
  <c r="I108"/>
  <c r="I101"/>
  <c r="I76"/>
  <c r="I77"/>
  <c r="I83"/>
  <c r="I84"/>
  <c r="I85"/>
  <c r="I90"/>
  <c r="I91"/>
  <c r="I92"/>
  <c r="I93"/>
  <c r="I94"/>
  <c r="I95"/>
  <c r="I49"/>
  <c r="I50"/>
  <c r="I51"/>
  <c r="I52"/>
  <c r="I48"/>
  <c r="I54" s="1"/>
  <c r="I63"/>
  <c r="I64"/>
  <c r="I36"/>
  <c r="I38"/>
  <c r="I39"/>
  <c r="I40"/>
  <c r="I34"/>
  <c r="I15"/>
  <c r="I16"/>
  <c r="I17"/>
  <c r="I18"/>
  <c r="I19"/>
  <c r="I20"/>
  <c r="I14"/>
  <c r="I22" s="1"/>
  <c r="I25"/>
  <c r="I26"/>
  <c r="I27"/>
  <c r="I28"/>
  <c r="I29"/>
  <c r="I30"/>
  <c r="I24"/>
  <c r="I32" s="1"/>
  <c r="I29" i="86"/>
  <c r="I17"/>
  <c r="I9"/>
  <c r="H2065" i="73"/>
  <c r="H2066"/>
  <c r="H2067"/>
  <c r="H2068"/>
  <c r="H2069"/>
  <c r="H2070"/>
  <c r="H2071"/>
  <c r="H2064"/>
  <c r="H2124" l="1"/>
  <c r="I2072"/>
  <c r="I2073" s="1"/>
  <c r="H2084"/>
  <c r="H2083"/>
  <c r="I48" i="86"/>
  <c r="I49"/>
  <c r="F24"/>
  <c r="I24" s="1"/>
  <c r="H1710" i="73"/>
  <c r="H46"/>
  <c r="H31"/>
  <c r="H20"/>
  <c r="H11"/>
  <c r="H2086" l="1"/>
  <c r="I8" i="94"/>
  <c r="H8" s="1"/>
  <c r="H10" s="1"/>
  <c r="G11" s="1"/>
  <c r="H2087" i="73" l="1"/>
  <c r="H2072"/>
  <c r="H2073"/>
  <c r="G2074" s="1"/>
  <c r="H215" i="82"/>
  <c r="G216" s="1"/>
  <c r="H214"/>
  <c r="H210"/>
  <c r="H209"/>
  <c r="H211" s="1"/>
  <c r="G212" s="1"/>
  <c r="H188"/>
  <c r="H179"/>
  <c r="H183"/>
  <c r="H182"/>
  <c r="H184" s="1"/>
  <c r="G185" s="1"/>
  <c r="H187"/>
  <c r="H189" s="1"/>
  <c r="G190" s="1"/>
  <c r="G180"/>
  <c r="H131"/>
  <c r="H134" s="1"/>
  <c r="G135" s="1"/>
  <c r="H132"/>
  <c r="H133"/>
  <c r="H130"/>
  <c r="H121"/>
  <c r="H122" s="1"/>
  <c r="H90"/>
  <c r="H89"/>
  <c r="H85"/>
  <c r="H74"/>
  <c r="H69"/>
  <c r="H205"/>
  <c r="H206" s="1"/>
  <c r="G207" s="1"/>
  <c r="H201"/>
  <c r="H202" s="1"/>
  <c r="G203" s="1"/>
  <c r="H198"/>
  <c r="G199" s="1"/>
  <c r="H195"/>
  <c r="G196" s="1"/>
  <c r="H192"/>
  <c r="G193" s="1"/>
  <c r="H176"/>
  <c r="G177" s="1"/>
  <c r="H173"/>
  <c r="G174" s="1"/>
  <c r="H170"/>
  <c r="G171" s="1"/>
  <c r="H166"/>
  <c r="G167" s="1"/>
  <c r="H163"/>
  <c r="G164" s="1"/>
  <c r="H160"/>
  <c r="G161" s="1"/>
  <c r="H156"/>
  <c r="H157" s="1"/>
  <c r="G158" s="1"/>
  <c r="H153"/>
  <c r="G154" s="1"/>
  <c r="H150"/>
  <c r="G151" s="1"/>
  <c r="H147"/>
  <c r="G148" s="1"/>
  <c r="H144"/>
  <c r="G145" s="1"/>
  <c r="H127"/>
  <c r="G128" s="1"/>
  <c r="H113"/>
  <c r="H112"/>
  <c r="H2088" i="73" l="1"/>
  <c r="H90" i="91"/>
  <c r="H89"/>
  <c r="K86"/>
  <c r="I86" s="1"/>
  <c r="H2090" i="73" l="1"/>
  <c r="H2089"/>
  <c r="H92" i="91"/>
  <c r="G93" s="1"/>
  <c r="H2092" i="73" l="1"/>
  <c r="H2093" l="1"/>
  <c r="G123" i="82"/>
  <c r="H117"/>
  <c r="H118" s="1"/>
  <c r="G119" s="1"/>
  <c r="H114"/>
  <c r="G115" s="1"/>
  <c r="H107"/>
  <c r="G108" s="1"/>
  <c r="H103"/>
  <c r="H104" s="1"/>
  <c r="G105" s="1"/>
  <c r="H99"/>
  <c r="H100" s="1"/>
  <c r="G101" s="1"/>
  <c r="H95"/>
  <c r="H94"/>
  <c r="H91"/>
  <c r="G92" s="1"/>
  <c r="H86"/>
  <c r="G87" s="1"/>
  <c r="H80"/>
  <c r="G81" s="1"/>
  <c r="H75"/>
  <c r="G76" s="1"/>
  <c r="H2094" i="73" l="1"/>
  <c r="H96" i="82"/>
  <c r="G97" s="1"/>
  <c r="H2056" i="73"/>
  <c r="H2047"/>
  <c r="H2048"/>
  <c r="H2049"/>
  <c r="H2050"/>
  <c r="H2051"/>
  <c r="H2052"/>
  <c r="H2053"/>
  <c r="H2054"/>
  <c r="H2055"/>
  <c r="H2057"/>
  <c r="H2058"/>
  <c r="H2046"/>
  <c r="H2096" l="1"/>
  <c r="H2098"/>
  <c r="H2095"/>
  <c r="I2060"/>
  <c r="J2060" s="1"/>
  <c r="H2060" s="1"/>
  <c r="G2061" s="1"/>
  <c r="H188" i="93"/>
  <c r="G189" s="1"/>
  <c r="H185"/>
  <c r="G186" s="1"/>
  <c r="H182"/>
  <c r="G183" s="1"/>
  <c r="H178"/>
  <c r="G179" s="1"/>
  <c r="H175"/>
  <c r="G176" s="1"/>
  <c r="H171"/>
  <c r="G172" s="1"/>
  <c r="H167"/>
  <c r="G168" s="1"/>
  <c r="H164"/>
  <c r="G165" s="1"/>
  <c r="H161"/>
  <c r="G162" s="1"/>
  <c r="H157"/>
  <c r="H156"/>
  <c r="H155"/>
  <c r="H137"/>
  <c r="H136"/>
  <c r="H135"/>
  <c r="H134"/>
  <c r="H133"/>
  <c r="H132"/>
  <c r="H131"/>
  <c r="H130"/>
  <c r="H124"/>
  <c r="H123"/>
  <c r="H120"/>
  <c r="G121" s="1"/>
  <c r="H115"/>
  <c r="H114"/>
  <c r="H117" s="1"/>
  <c r="G118" s="1"/>
  <c r="H109"/>
  <c r="H108"/>
  <c r="H107"/>
  <c r="H106"/>
  <c r="H105"/>
  <c r="H104"/>
  <c r="H103"/>
  <c r="H102"/>
  <c r="H100"/>
  <c r="H99"/>
  <c r="H98"/>
  <c r="H97"/>
  <c r="H96"/>
  <c r="H90"/>
  <c r="E89"/>
  <c r="H89" s="1"/>
  <c r="H88"/>
  <c r="H87"/>
  <c r="H86"/>
  <c r="H81"/>
  <c r="H83" s="1"/>
  <c r="G84" s="1"/>
  <c r="H76"/>
  <c r="H75"/>
  <c r="F74"/>
  <c r="H74" s="1"/>
  <c r="H71"/>
  <c r="G72" s="1"/>
  <c r="J70"/>
  <c r="H69"/>
  <c r="J64"/>
  <c r="H64"/>
  <c r="H63"/>
  <c r="H66" s="1"/>
  <c r="G67" s="1"/>
  <c r="H55"/>
  <c r="E54"/>
  <c r="H54" s="1"/>
  <c r="H53"/>
  <c r="H52"/>
  <c r="H51"/>
  <c r="H50"/>
  <c r="H49"/>
  <c r="G48"/>
  <c r="H48" s="1"/>
  <c r="H47"/>
  <c r="H46"/>
  <c r="H41"/>
  <c r="H40"/>
  <c r="E40"/>
  <c r="H39"/>
  <c r="H38"/>
  <c r="H33"/>
  <c r="H32"/>
  <c r="J31"/>
  <c r="H31"/>
  <c r="H30"/>
  <c r="H29"/>
  <c r="H24"/>
  <c r="H23"/>
  <c r="H26" s="1"/>
  <c r="G27" s="1"/>
  <c r="H20"/>
  <c r="G21" s="1"/>
  <c r="H18"/>
  <c r="H13"/>
  <c r="H15" s="1"/>
  <c r="G16" s="1"/>
  <c r="A12"/>
  <c r="A17" s="1"/>
  <c r="A22" s="1"/>
  <c r="A28" s="1"/>
  <c r="A37" s="1"/>
  <c r="A45" s="1"/>
  <c r="A59" s="1"/>
  <c r="A62" s="1"/>
  <c r="A68" s="1"/>
  <c r="A73" s="1"/>
  <c r="A80" s="1"/>
  <c r="A85" s="1"/>
  <c r="A94" s="1"/>
  <c r="A113" s="1"/>
  <c r="A119" s="1"/>
  <c r="A122" s="1"/>
  <c r="A128" s="1"/>
  <c r="A141" s="1"/>
  <c r="A143" s="1"/>
  <c r="A148" s="1"/>
  <c r="A153" s="1"/>
  <c r="A163" s="1"/>
  <c r="H8"/>
  <c r="H10" s="1"/>
  <c r="G11" s="1"/>
  <c r="M346" i="92"/>
  <c r="H72"/>
  <c r="H70"/>
  <c r="H69"/>
  <c r="H67"/>
  <c r="H66"/>
  <c r="H63"/>
  <c r="H64" s="1"/>
  <c r="H58"/>
  <c r="H56"/>
  <c r="H52"/>
  <c r="H51"/>
  <c r="H54" s="1"/>
  <c r="H47"/>
  <c r="H49" s="1"/>
  <c r="H44"/>
  <c r="H43"/>
  <c r="H39"/>
  <c r="H40" s="1"/>
  <c r="H41" s="1"/>
  <c r="H36"/>
  <c r="H37" s="1"/>
  <c r="H35"/>
  <c r="H34"/>
  <c r="H29"/>
  <c r="H28"/>
  <c r="H27"/>
  <c r="H26"/>
  <c r="H25"/>
  <c r="H31" s="1"/>
  <c r="H24"/>
  <c r="F19"/>
  <c r="F15"/>
  <c r="E15"/>
  <c r="E19" s="1"/>
  <c r="H19" s="1"/>
  <c r="H21" s="1"/>
  <c r="H13"/>
  <c r="H11"/>
  <c r="K31" l="1"/>
  <c r="F60"/>
  <c r="H60" s="1"/>
  <c r="H61" s="1"/>
  <c r="H43" i="93"/>
  <c r="G44" s="1"/>
  <c r="H78"/>
  <c r="G79" s="1"/>
  <c r="H139"/>
  <c r="H158"/>
  <c r="G159" s="1"/>
  <c r="H57"/>
  <c r="G58" s="1"/>
  <c r="H15" i="92"/>
  <c r="H17" s="1"/>
  <c r="H35" i="93"/>
  <c r="G36" s="1"/>
  <c r="H92"/>
  <c r="G93" s="1"/>
  <c r="H111"/>
  <c r="H126"/>
  <c r="G127" s="1"/>
  <c r="I2100" i="73"/>
  <c r="J2100" s="1"/>
  <c r="H2059"/>
  <c r="H149" i="93"/>
  <c r="H144"/>
  <c r="G112"/>
  <c r="A174"/>
  <c r="A177" s="1"/>
  <c r="A180" s="1"/>
  <c r="A187" s="1"/>
  <c r="A166"/>
  <c r="A170" s="1"/>
  <c r="H145"/>
  <c r="G140"/>
  <c r="F60" l="1"/>
  <c r="H60" s="1"/>
  <c r="G61" s="1"/>
  <c r="G142"/>
  <c r="H150"/>
  <c r="H2099" i="73"/>
  <c r="H2100"/>
  <c r="F2101" s="1"/>
  <c r="H2101" s="1"/>
  <c r="G2102" s="1"/>
  <c r="H146" i="93"/>
  <c r="G147" s="1"/>
  <c r="H151"/>
  <c r="G152" s="1"/>
  <c r="I11" i="72" l="1"/>
  <c r="I81" i="91"/>
  <c r="E81"/>
  <c r="I80"/>
  <c r="E80"/>
  <c r="F63" i="80"/>
  <c r="I63" s="1"/>
  <c r="H81" i="91" l="1"/>
  <c r="H9"/>
  <c r="H46"/>
  <c r="H45"/>
  <c r="H48" s="1"/>
  <c r="H55" i="74"/>
  <c r="H22"/>
  <c r="H19"/>
  <c r="H11" i="72"/>
  <c r="I32" i="80"/>
  <c r="I25"/>
  <c r="I28" s="1"/>
  <c r="I18"/>
  <c r="I12"/>
  <c r="I11"/>
  <c r="I56"/>
  <c r="I49"/>
  <c r="I42"/>
  <c r="I34"/>
  <c r="I33"/>
  <c r="I36" s="1"/>
  <c r="I26"/>
  <c r="I19"/>
  <c r="I21" s="1"/>
  <c r="I109" i="90"/>
  <c r="I102"/>
  <c r="I65"/>
  <c r="I66"/>
  <c r="I67"/>
  <c r="H10" i="82"/>
  <c r="I14" i="80" l="1"/>
  <c r="H51" i="83" l="1"/>
  <c r="H10" i="91"/>
  <c r="H12" s="1"/>
  <c r="E18"/>
  <c r="H18" s="1"/>
  <c r="H157" i="72" l="1"/>
  <c r="H158"/>
  <c r="H159"/>
  <c r="H160"/>
  <c r="H156"/>
  <c r="H103"/>
  <c r="H25"/>
  <c r="H191"/>
  <c r="H97"/>
  <c r="H104"/>
  <c r="H105"/>
  <c r="H106"/>
  <c r="H107"/>
  <c r="H108"/>
  <c r="H74" i="91" l="1"/>
  <c r="F53"/>
  <c r="F60" s="1"/>
  <c r="F67" s="1"/>
  <c r="E53"/>
  <c r="F52"/>
  <c r="F59" s="1"/>
  <c r="F66" s="1"/>
  <c r="F73" s="1"/>
  <c r="F80" s="1"/>
  <c r="H80" s="1"/>
  <c r="H83" s="1"/>
  <c r="G84" s="1"/>
  <c r="E52"/>
  <c r="K21"/>
  <c r="I21" s="1"/>
  <c r="E25"/>
  <c r="H25" s="1"/>
  <c r="E17"/>
  <c r="H73" l="1"/>
  <c r="H76" s="1"/>
  <c r="E59"/>
  <c r="H52"/>
  <c r="E24"/>
  <c r="H24" s="1"/>
  <c r="H27" s="1"/>
  <c r="H17"/>
  <c r="H19" s="1"/>
  <c r="E60"/>
  <c r="H53"/>
  <c r="G49"/>
  <c r="G77"/>
  <c r="G13"/>
  <c r="E32"/>
  <c r="H32" s="1"/>
  <c r="H59"/>
  <c r="E66"/>
  <c r="H66" s="1"/>
  <c r="E31"/>
  <c r="H31" s="1"/>
  <c r="H34" s="1"/>
  <c r="H55" l="1"/>
  <c r="G56"/>
  <c r="E67"/>
  <c r="H67" s="1"/>
  <c r="H60"/>
  <c r="H62" s="1"/>
  <c r="G20"/>
  <c r="G28"/>
  <c r="E38"/>
  <c r="H38" s="1"/>
  <c r="E39"/>
  <c r="H39" s="1"/>
  <c r="G70" l="1"/>
  <c r="H69"/>
  <c r="H41"/>
  <c r="G63"/>
  <c r="G42"/>
  <c r="G35"/>
  <c r="H120" i="90" l="1"/>
  <c r="F120"/>
  <c r="I116"/>
  <c r="K118" s="1"/>
  <c r="I110"/>
  <c r="I103"/>
  <c r="I89"/>
  <c r="I97" s="1"/>
  <c r="E82"/>
  <c r="I82" s="1"/>
  <c r="I81"/>
  <c r="I75"/>
  <c r="I62"/>
  <c r="I69" s="1"/>
  <c r="I57"/>
  <c r="E44"/>
  <c r="I44" s="1"/>
  <c r="I46" s="1"/>
  <c r="E37"/>
  <c r="I37" s="1"/>
  <c r="E35"/>
  <c r="I35" s="1"/>
  <c r="I42" s="1"/>
  <c r="G71" s="1"/>
  <c r="F29" i="89"/>
  <c r="F24"/>
  <c r="F18"/>
  <c r="F14"/>
  <c r="I14" s="1"/>
  <c r="F10"/>
  <c r="I10" s="1"/>
  <c r="I6"/>
  <c r="I87" i="90" l="1"/>
  <c r="I79"/>
  <c r="I71"/>
  <c r="I72" s="1"/>
  <c r="I59"/>
  <c r="I114"/>
  <c r="I18" i="89"/>
  <c r="I19" s="1"/>
  <c r="I7"/>
  <c r="I24"/>
  <c r="I25" s="1"/>
  <c r="I11"/>
  <c r="I29"/>
  <c r="I30" s="1"/>
  <c r="I15"/>
  <c r="I120" i="90"/>
  <c r="I117"/>
  <c r="I118" s="1"/>
  <c r="F107"/>
  <c r="I107" s="1"/>
  <c r="I100"/>
  <c r="I166" i="88"/>
  <c r="I168" s="1"/>
  <c r="I161"/>
  <c r="I162" s="1"/>
  <c r="I163" s="1"/>
  <c r="J156"/>
  <c r="I153"/>
  <c r="I152"/>
  <c r="I150"/>
  <c r="I149"/>
  <c r="I147"/>
  <c r="I146"/>
  <c r="I145"/>
  <c r="I140"/>
  <c r="I139"/>
  <c r="I137"/>
  <c r="I136"/>
  <c r="I134"/>
  <c r="I133"/>
  <c r="I132"/>
  <c r="K130"/>
  <c r="H126"/>
  <c r="F126"/>
  <c r="F125"/>
  <c r="I125" s="1"/>
  <c r="I124"/>
  <c r="I123"/>
  <c r="I121"/>
  <c r="I120"/>
  <c r="I119"/>
  <c r="I118"/>
  <c r="I116"/>
  <c r="I115"/>
  <c r="I114"/>
  <c r="I113"/>
  <c r="I112"/>
  <c r="I111"/>
  <c r="I110"/>
  <c r="I106"/>
  <c r="I104"/>
  <c r="I102"/>
  <c r="I97"/>
  <c r="I96"/>
  <c r="I94"/>
  <c r="I93"/>
  <c r="I92"/>
  <c r="I88"/>
  <c r="I83"/>
  <c r="I82"/>
  <c r="I80"/>
  <c r="J79"/>
  <c r="I79"/>
  <c r="E77"/>
  <c r="I77" s="1"/>
  <c r="I76"/>
  <c r="I75"/>
  <c r="I74"/>
  <c r="I69"/>
  <c r="J67"/>
  <c r="I67"/>
  <c r="E65"/>
  <c r="K65" s="1"/>
  <c r="I65" s="1"/>
  <c r="I64"/>
  <c r="I63"/>
  <c r="L62"/>
  <c r="H57"/>
  <c r="I57" s="1"/>
  <c r="I56"/>
  <c r="I54"/>
  <c r="I53"/>
  <c r="F52"/>
  <c r="I52" s="1"/>
  <c r="I47"/>
  <c r="I49" s="1"/>
  <c r="I42"/>
  <c r="I41"/>
  <c r="I40"/>
  <c r="I39"/>
  <c r="I38"/>
  <c r="I36"/>
  <c r="I35"/>
  <c r="I34"/>
  <c r="I33"/>
  <c r="I32"/>
  <c r="I31"/>
  <c r="I25"/>
  <c r="I24"/>
  <c r="I22"/>
  <c r="I21"/>
  <c r="I20"/>
  <c r="I15"/>
  <c r="N14"/>
  <c r="L14"/>
  <c r="I14"/>
  <c r="I12"/>
  <c r="I11"/>
  <c r="N10"/>
  <c r="L10"/>
  <c r="I10"/>
  <c r="M8"/>
  <c r="H200" i="87"/>
  <c r="H199"/>
  <c r="H197"/>
  <c r="D195"/>
  <c r="H195" s="1"/>
  <c r="H193"/>
  <c r="G188"/>
  <c r="E188"/>
  <c r="D188"/>
  <c r="G187"/>
  <c r="E187"/>
  <c r="D187"/>
  <c r="G186"/>
  <c r="E186"/>
  <c r="D186"/>
  <c r="D185"/>
  <c r="G184"/>
  <c r="D184"/>
  <c r="H172"/>
  <c r="H171"/>
  <c r="H168"/>
  <c r="H169" s="1"/>
  <c r="C177" s="1"/>
  <c r="H177" s="1"/>
  <c r="E164"/>
  <c r="G185" s="1"/>
  <c r="H185" s="1"/>
  <c r="H160"/>
  <c r="H162" s="1"/>
  <c r="C175" s="1"/>
  <c r="H175" s="1"/>
  <c r="H154"/>
  <c r="H156" s="1"/>
  <c r="G157" s="1"/>
  <c r="H149"/>
  <c r="H148"/>
  <c r="H147"/>
  <c r="H146"/>
  <c r="H141"/>
  <c r="H140"/>
  <c r="H139"/>
  <c r="H138"/>
  <c r="H133"/>
  <c r="H132"/>
  <c r="H131"/>
  <c r="H130"/>
  <c r="H129"/>
  <c r="G128"/>
  <c r="H123"/>
  <c r="H122"/>
  <c r="H121"/>
  <c r="H120"/>
  <c r="H119"/>
  <c r="G117"/>
  <c r="G109"/>
  <c r="E109"/>
  <c r="G104"/>
  <c r="E104"/>
  <c r="D104"/>
  <c r="G97"/>
  <c r="G96"/>
  <c r="E96"/>
  <c r="H90"/>
  <c r="H92" s="1"/>
  <c r="G93" s="1"/>
  <c r="A88"/>
  <c r="A94" s="1"/>
  <c r="A113" s="1"/>
  <c r="A116" s="1"/>
  <c r="A127" s="1"/>
  <c r="A137" s="1"/>
  <c r="A145" s="1"/>
  <c r="A153" s="1"/>
  <c r="A158" s="1"/>
  <c r="A183" s="1"/>
  <c r="A191" s="1"/>
  <c r="A194" s="1"/>
  <c r="A196" s="1"/>
  <c r="A198" s="1"/>
  <c r="H84"/>
  <c r="H86" s="1"/>
  <c r="G87" s="1"/>
  <c r="G78"/>
  <c r="F78"/>
  <c r="E78"/>
  <c r="D78"/>
  <c r="H77"/>
  <c r="H76"/>
  <c r="H75"/>
  <c r="H74"/>
  <c r="E68"/>
  <c r="F67"/>
  <c r="E67"/>
  <c r="D67"/>
  <c r="G65"/>
  <c r="G64"/>
  <c r="G63"/>
  <c r="G56"/>
  <c r="F56"/>
  <c r="G55"/>
  <c r="G54"/>
  <c r="G118" s="1"/>
  <c r="E48"/>
  <c r="F47"/>
  <c r="E47"/>
  <c r="D47"/>
  <c r="E45"/>
  <c r="D45"/>
  <c r="F40"/>
  <c r="G39"/>
  <c r="G40" s="1"/>
  <c r="H29"/>
  <c r="F28"/>
  <c r="F66" s="1"/>
  <c r="E28"/>
  <c r="E66" s="1"/>
  <c r="D28"/>
  <c r="D55" s="1"/>
  <c r="G27"/>
  <c r="G26"/>
  <c r="G25"/>
  <c r="E25"/>
  <c r="E63" s="1"/>
  <c r="D25"/>
  <c r="D63" s="1"/>
  <c r="F24"/>
  <c r="F27" s="1"/>
  <c r="E24"/>
  <c r="E62" s="1"/>
  <c r="D24"/>
  <c r="D62" s="1"/>
  <c r="E23"/>
  <c r="E61" s="1"/>
  <c r="E64" s="1"/>
  <c r="D23"/>
  <c r="D61" s="1"/>
  <c r="A22"/>
  <c r="A34" s="1"/>
  <c r="A44" s="1"/>
  <c r="A52" s="1"/>
  <c r="A60" s="1"/>
  <c r="A72" s="1"/>
  <c r="H18"/>
  <c r="G17"/>
  <c r="F17"/>
  <c r="E17"/>
  <c r="E27" s="1"/>
  <c r="D17"/>
  <c r="G16"/>
  <c r="F16"/>
  <c r="E16"/>
  <c r="D16"/>
  <c r="G15"/>
  <c r="F15"/>
  <c r="H14"/>
  <c r="F13"/>
  <c r="H13" s="1"/>
  <c r="F12"/>
  <c r="F23" s="1"/>
  <c r="I10" i="86"/>
  <c r="F13"/>
  <c r="I18"/>
  <c r="F22"/>
  <c r="I40"/>
  <c r="I41" s="1"/>
  <c r="I42" s="1"/>
  <c r="I47"/>
  <c r="I54"/>
  <c r="I55" s="1"/>
  <c r="I56" s="1"/>
  <c r="H47" i="87" l="1"/>
  <c r="F62"/>
  <c r="F65" s="1"/>
  <c r="H67"/>
  <c r="H78"/>
  <c r="I13" i="86"/>
  <c r="I14" s="1"/>
  <c r="H202" i="87"/>
  <c r="G203" s="1"/>
  <c r="I59" i="88"/>
  <c r="F23" i="86"/>
  <c r="I23" s="1"/>
  <c r="I22"/>
  <c r="I25" s="1"/>
  <c r="I122" i="90"/>
  <c r="I105"/>
  <c r="I112"/>
  <c r="H12" i="87"/>
  <c r="H24"/>
  <c r="F26"/>
  <c r="E38"/>
  <c r="E97" s="1"/>
  <c r="H188"/>
  <c r="I126" i="88"/>
  <c r="H143" i="87"/>
  <c r="G144" s="1"/>
  <c r="H151"/>
  <c r="G152" s="1"/>
  <c r="H187"/>
  <c r="H186"/>
  <c r="H15"/>
  <c r="E53"/>
  <c r="E128" s="1"/>
  <c r="H164"/>
  <c r="H166" s="1"/>
  <c r="C176" s="1"/>
  <c r="H176" s="1"/>
  <c r="I85" i="88"/>
  <c r="J85" s="1"/>
  <c r="I107"/>
  <c r="I142"/>
  <c r="H184" i="87"/>
  <c r="I17" i="88"/>
  <c r="J17" s="1"/>
  <c r="H16" i="87"/>
  <c r="H17"/>
  <c r="H62"/>
  <c r="E39"/>
  <c r="E98" s="1"/>
  <c r="H80"/>
  <c r="G81" s="1"/>
  <c r="H174"/>
  <c r="C178" s="1"/>
  <c r="H178" s="1"/>
  <c r="I27" i="88"/>
  <c r="J27" s="1"/>
  <c r="K71" i="90"/>
  <c r="H104" i="87"/>
  <c r="H106" s="1"/>
  <c r="G107" s="1"/>
  <c r="I44" i="88"/>
  <c r="J44" s="1"/>
  <c r="I99"/>
  <c r="I155"/>
  <c r="I71"/>
  <c r="J71" s="1"/>
  <c r="I128"/>
  <c r="F61" i="87"/>
  <c r="H61" s="1"/>
  <c r="F36"/>
  <c r="H23"/>
  <c r="D64"/>
  <c r="H20"/>
  <c r="G21" s="1"/>
  <c r="H189"/>
  <c r="G190" s="1"/>
  <c r="H179"/>
  <c r="H181" s="1"/>
  <c r="G182" s="1"/>
  <c r="E65"/>
  <c r="E40"/>
  <c r="E99" s="1"/>
  <c r="E56"/>
  <c r="F25"/>
  <c r="F63" s="1"/>
  <c r="H63" s="1"/>
  <c r="E26"/>
  <c r="D27"/>
  <c r="H28"/>
  <c r="E36"/>
  <c r="D39"/>
  <c r="D46"/>
  <c r="H46" s="1"/>
  <c r="D53"/>
  <c r="E54"/>
  <c r="E118" s="1"/>
  <c r="E55"/>
  <c r="H55" s="1"/>
  <c r="D38"/>
  <c r="G98"/>
  <c r="G99" s="1"/>
  <c r="E117"/>
  <c r="D30"/>
  <c r="F45"/>
  <c r="H45" s="1"/>
  <c r="F64"/>
  <c r="D66"/>
  <c r="H66" s="1"/>
  <c r="D26"/>
  <c r="H26" s="1"/>
  <c r="D36"/>
  <c r="D54"/>
  <c r="H54" i="84"/>
  <c r="H53"/>
  <c r="H52"/>
  <c r="H51"/>
  <c r="H50"/>
  <c r="H49"/>
  <c r="H48"/>
  <c r="H47"/>
  <c r="H45"/>
  <c r="H44"/>
  <c r="H43"/>
  <c r="H42"/>
  <c r="H41"/>
  <c r="H40"/>
  <c r="H39"/>
  <c r="H38"/>
  <c r="H37"/>
  <c r="H36"/>
  <c r="H35"/>
  <c r="H33"/>
  <c r="H32"/>
  <c r="H31"/>
  <c r="H30"/>
  <c r="H29"/>
  <c r="H24"/>
  <c r="H25" s="1"/>
  <c r="H20"/>
  <c r="H21" s="1"/>
  <c r="H16"/>
  <c r="H12"/>
  <c r="H13" s="1"/>
  <c r="H151" i="83"/>
  <c r="G152" s="1"/>
  <c r="H148"/>
  <c r="G149" s="1"/>
  <c r="H145"/>
  <c r="G146" s="1"/>
  <c r="H142"/>
  <c r="G143" s="1"/>
  <c r="H139"/>
  <c r="G140" s="1"/>
  <c r="A138"/>
  <c r="H136"/>
  <c r="G137" s="1"/>
  <c r="H132"/>
  <c r="H133" s="1"/>
  <c r="G134" s="1"/>
  <c r="H128"/>
  <c r="H127"/>
  <c r="H123"/>
  <c r="H122"/>
  <c r="H121"/>
  <c r="H120"/>
  <c r="H119"/>
  <c r="H118"/>
  <c r="H117"/>
  <c r="H116"/>
  <c r="H115"/>
  <c r="H113"/>
  <c r="H112"/>
  <c r="H111"/>
  <c r="H110"/>
  <c r="H109"/>
  <c r="H108"/>
  <c r="H107"/>
  <c r="H106"/>
  <c r="H104"/>
  <c r="H103"/>
  <c r="H102"/>
  <c r="H99"/>
  <c r="H98"/>
  <c r="H97"/>
  <c r="H96"/>
  <c r="H95"/>
  <c r="H94"/>
  <c r="H93"/>
  <c r="H92"/>
  <c r="H91"/>
  <c r="H90"/>
  <c r="H89"/>
  <c r="H82"/>
  <c r="H81"/>
  <c r="I78"/>
  <c r="H76"/>
  <c r="H75"/>
  <c r="H74"/>
  <c r="H73"/>
  <c r="H72"/>
  <c r="H71"/>
  <c r="H70"/>
  <c r="H68"/>
  <c r="H67"/>
  <c r="H66"/>
  <c r="H65"/>
  <c r="H64"/>
  <c r="H63"/>
  <c r="H62"/>
  <c r="H60"/>
  <c r="H59"/>
  <c r="H58"/>
  <c r="H57"/>
  <c r="H56"/>
  <c r="H55"/>
  <c r="I53"/>
  <c r="I49"/>
  <c r="A46"/>
  <c r="A49" s="1"/>
  <c r="A45"/>
  <c r="A48" s="1"/>
  <c r="A44"/>
  <c r="A47" s="1"/>
  <c r="I43"/>
  <c r="H39"/>
  <c r="G40" s="1"/>
  <c r="C36"/>
  <c r="H36" s="1"/>
  <c r="G37" s="1"/>
  <c r="H33"/>
  <c r="G34" s="1"/>
  <c r="A32"/>
  <c r="H29"/>
  <c r="H30" s="1"/>
  <c r="G31" s="1"/>
  <c r="H24"/>
  <c r="H25" s="1"/>
  <c r="G26" s="1"/>
  <c r="H19"/>
  <c r="H20" s="1"/>
  <c r="G21" s="1"/>
  <c r="H15"/>
  <c r="H16" s="1"/>
  <c r="G17" s="1"/>
  <c r="I12"/>
  <c r="L10"/>
  <c r="H10"/>
  <c r="G12" s="1"/>
  <c r="K8"/>
  <c r="L8" s="1"/>
  <c r="M8" s="1"/>
  <c r="H8"/>
  <c r="H9" s="1"/>
  <c r="I10" s="1"/>
  <c r="H70" i="82"/>
  <c r="G71" s="1"/>
  <c r="C62"/>
  <c r="C65" s="1"/>
  <c r="H65" s="1"/>
  <c r="G66" s="1"/>
  <c r="H59"/>
  <c r="G60" s="1"/>
  <c r="E56"/>
  <c r="H56" s="1"/>
  <c r="G57" s="1"/>
  <c r="G45"/>
  <c r="G42"/>
  <c r="G39"/>
  <c r="E38"/>
  <c r="G36"/>
  <c r="A27"/>
  <c r="A46" s="1"/>
  <c r="A53" s="1"/>
  <c r="A58" s="1"/>
  <c r="A61" s="1"/>
  <c r="A64" s="1"/>
  <c r="A68" s="1"/>
  <c r="A73" s="1"/>
  <c r="A78" s="1"/>
  <c r="A84" s="1"/>
  <c r="A88" s="1"/>
  <c r="A93" s="1"/>
  <c r="A98" s="1"/>
  <c r="A102" s="1"/>
  <c r="A106" s="1"/>
  <c r="A109" s="1"/>
  <c r="A125" s="1"/>
  <c r="A139" s="1"/>
  <c r="A142" s="1"/>
  <c r="A168" s="1"/>
  <c r="G26"/>
  <c r="G23"/>
  <c r="G20"/>
  <c r="G17"/>
  <c r="E13"/>
  <c r="C13"/>
  <c r="B13"/>
  <c r="B29" s="1"/>
  <c r="B32" s="1"/>
  <c r="G11"/>
  <c r="F52" i="81"/>
  <c r="F59" s="1"/>
  <c r="F66" s="1"/>
  <c r="E52"/>
  <c r="E59" s="1"/>
  <c r="F51"/>
  <c r="F58" s="1"/>
  <c r="F65" s="1"/>
  <c r="E51"/>
  <c r="E58" s="1"/>
  <c r="H45"/>
  <c r="H44"/>
  <c r="H29"/>
  <c r="H30" s="1"/>
  <c r="G31" s="1"/>
  <c r="K20"/>
  <c r="I20" s="1"/>
  <c r="E16"/>
  <c r="E23" s="1"/>
  <c r="H9"/>
  <c r="H11" s="1"/>
  <c r="G12" s="1"/>
  <c r="B17" i="80"/>
  <c r="B24" s="1"/>
  <c r="B31" s="1"/>
  <c r="B40" s="1"/>
  <c r="B47" s="1"/>
  <c r="B54" s="1"/>
  <c r="B61" s="1"/>
  <c r="A2" i="73"/>
  <c r="A1"/>
  <c r="B5" i="72"/>
  <c r="B5" i="73" s="1"/>
  <c r="A6" i="80" s="1"/>
  <c r="A4" i="92" s="1"/>
  <c r="A3" i="93" s="1"/>
  <c r="I26" i="86" l="1"/>
  <c r="H83" i="83"/>
  <c r="H17" i="84"/>
  <c r="H55"/>
  <c r="E56" s="1"/>
  <c r="H56" s="1"/>
  <c r="H25" i="87"/>
  <c r="H47" i="81"/>
  <c r="G48" s="1"/>
  <c r="I30" i="86"/>
  <c r="I31" s="1"/>
  <c r="A217" i="82"/>
  <c r="A218" s="1"/>
  <c r="A219" s="1"/>
  <c r="A220" s="1"/>
  <c r="H51" i="81"/>
  <c r="H13" i="82"/>
  <c r="G14" s="1"/>
  <c r="H62"/>
  <c r="G63" s="1"/>
  <c r="H129" i="83"/>
  <c r="G130" s="1"/>
  <c r="A35"/>
  <c r="H42"/>
  <c r="G43" s="1"/>
  <c r="G84"/>
  <c r="H124"/>
  <c r="G125" s="1"/>
  <c r="A141"/>
  <c r="H77"/>
  <c r="G78" s="1"/>
  <c r="A2" i="81"/>
  <c r="A3" i="83" s="1"/>
  <c r="A2" i="89"/>
  <c r="A3" i="87" s="1"/>
  <c r="J128" i="88"/>
  <c r="I157"/>
  <c r="I158" s="1"/>
  <c r="H54" i="87"/>
  <c r="D118"/>
  <c r="H118" s="1"/>
  <c r="D96"/>
  <c r="H96" s="1"/>
  <c r="D37"/>
  <c r="H36"/>
  <c r="H53"/>
  <c r="D128"/>
  <c r="H128" s="1"/>
  <c r="H135" s="1"/>
  <c r="G136" s="1"/>
  <c r="D117"/>
  <c r="H117" s="1"/>
  <c r="H125" s="1"/>
  <c r="G126" s="1"/>
  <c r="H30"/>
  <c r="D68"/>
  <c r="H68" s="1"/>
  <c r="D48"/>
  <c r="H48" s="1"/>
  <c r="H50" s="1"/>
  <c r="G51" s="1"/>
  <c r="D97"/>
  <c r="H97" s="1"/>
  <c r="H38"/>
  <c r="D56"/>
  <c r="H56" s="1"/>
  <c r="D65"/>
  <c r="H65" s="1"/>
  <c r="D40"/>
  <c r="H27"/>
  <c r="H32" s="1"/>
  <c r="G33" s="1"/>
  <c r="D98"/>
  <c r="H98" s="1"/>
  <c r="H39"/>
  <c r="H64"/>
  <c r="G52" i="83"/>
  <c r="B48" i="82"/>
  <c r="B56" s="1"/>
  <c r="B59" s="1"/>
  <c r="B62" s="1"/>
  <c r="B65" s="1"/>
  <c r="B35"/>
  <c r="B16"/>
  <c r="B19" s="1"/>
  <c r="B22" s="1"/>
  <c r="B25" s="1"/>
  <c r="C16"/>
  <c r="C19" s="1"/>
  <c r="C22" s="1"/>
  <c r="C25" s="1"/>
  <c r="C29"/>
  <c r="E16"/>
  <c r="E66" i="81"/>
  <c r="H66" s="1"/>
  <c r="H59"/>
  <c r="H23"/>
  <c r="H25" s="1"/>
  <c r="G26" s="1"/>
  <c r="E34"/>
  <c r="H58"/>
  <c r="E65"/>
  <c r="H65" s="1"/>
  <c r="H16"/>
  <c r="H18" s="1"/>
  <c r="G19" s="1"/>
  <c r="H52"/>
  <c r="H54" s="1"/>
  <c r="G55" s="1"/>
  <c r="A700" i="79"/>
  <c r="B700"/>
  <c r="C700"/>
  <c r="F700"/>
  <c r="G700"/>
  <c r="A701"/>
  <c r="B701"/>
  <c r="C701"/>
  <c r="D701"/>
  <c r="E701"/>
  <c r="F701"/>
  <c r="G701"/>
  <c r="A702"/>
  <c r="E702"/>
  <c r="F702"/>
  <c r="G702"/>
  <c r="A703"/>
  <c r="E703"/>
  <c r="F703"/>
  <c r="G703"/>
  <c r="A704"/>
  <c r="E704"/>
  <c r="F704"/>
  <c r="G704"/>
  <c r="A705"/>
  <c r="E705"/>
  <c r="F705"/>
  <c r="G705"/>
  <c r="A706"/>
  <c r="D706"/>
  <c r="E706"/>
  <c r="F706"/>
  <c r="G706"/>
  <c r="A707"/>
  <c r="B707"/>
  <c r="C707"/>
  <c r="D707"/>
  <c r="E707"/>
  <c r="F707"/>
  <c r="G707"/>
  <c r="A708"/>
  <c r="B708"/>
  <c r="C708"/>
  <c r="E708"/>
  <c r="G708"/>
  <c r="A709"/>
  <c r="B709"/>
  <c r="C709"/>
  <c r="D709"/>
  <c r="E709"/>
  <c r="F709"/>
  <c r="G709"/>
  <c r="A710"/>
  <c r="B710"/>
  <c r="C710"/>
  <c r="D710"/>
  <c r="E710"/>
  <c r="F710"/>
  <c r="G710"/>
  <c r="A711"/>
  <c r="B711"/>
  <c r="C711"/>
  <c r="D711"/>
  <c r="E711"/>
  <c r="F711"/>
  <c r="G711"/>
  <c r="B712"/>
  <c r="C712"/>
  <c r="E712"/>
  <c r="G712"/>
  <c r="A713"/>
  <c r="B713"/>
  <c r="C713"/>
  <c r="E713"/>
  <c r="G713"/>
  <c r="A714"/>
  <c r="B714"/>
  <c r="C714"/>
  <c r="E714"/>
  <c r="G714"/>
  <c r="A715"/>
  <c r="B715"/>
  <c r="C715"/>
  <c r="E715"/>
  <c r="G715"/>
  <c r="A716"/>
  <c r="B716"/>
  <c r="C716"/>
  <c r="D716"/>
  <c r="E716"/>
  <c r="F716"/>
  <c r="G716"/>
  <c r="A717"/>
  <c r="B717"/>
  <c r="C717"/>
  <c r="D717"/>
  <c r="E717"/>
  <c r="G717"/>
  <c r="A718"/>
  <c r="B718"/>
  <c r="C718"/>
  <c r="D718"/>
  <c r="E718"/>
  <c r="F718"/>
  <c r="G718"/>
  <c r="A719"/>
  <c r="B719"/>
  <c r="C719"/>
  <c r="D719"/>
  <c r="E719"/>
  <c r="G719"/>
  <c r="A720"/>
  <c r="B720"/>
  <c r="C720"/>
  <c r="D720"/>
  <c r="E720"/>
  <c r="F720"/>
  <c r="G720"/>
  <c r="A721"/>
  <c r="B721"/>
  <c r="C721"/>
  <c r="F721"/>
  <c r="G721"/>
  <c r="A722"/>
  <c r="B722"/>
  <c r="C722"/>
  <c r="D722"/>
  <c r="E722"/>
  <c r="F722"/>
  <c r="G722"/>
  <c r="A723"/>
  <c r="E723"/>
  <c r="F723"/>
  <c r="G723"/>
  <c r="A724"/>
  <c r="E724"/>
  <c r="F724"/>
  <c r="G724"/>
  <c r="A725"/>
  <c r="E725"/>
  <c r="F725"/>
  <c r="G725"/>
  <c r="A726"/>
  <c r="E726"/>
  <c r="F726"/>
  <c r="G726"/>
  <c r="A727"/>
  <c r="D727"/>
  <c r="E727"/>
  <c r="F727"/>
  <c r="G727"/>
  <c r="A728"/>
  <c r="B728"/>
  <c r="C728"/>
  <c r="D728"/>
  <c r="E728"/>
  <c r="F728"/>
  <c r="G728"/>
  <c r="A729"/>
  <c r="B729"/>
  <c r="C729"/>
  <c r="E729"/>
  <c r="F729"/>
  <c r="G729"/>
  <c r="A730"/>
  <c r="B730"/>
  <c r="C730"/>
  <c r="D730"/>
  <c r="E730"/>
  <c r="F730"/>
  <c r="G730"/>
  <c r="A731"/>
  <c r="B731"/>
  <c r="C731"/>
  <c r="D731"/>
  <c r="E731"/>
  <c r="F731"/>
  <c r="G731"/>
  <c r="A732"/>
  <c r="B732"/>
  <c r="C732"/>
  <c r="D732"/>
  <c r="E732"/>
  <c r="F732"/>
  <c r="G732"/>
  <c r="B733"/>
  <c r="C733"/>
  <c r="E733"/>
  <c r="G733"/>
  <c r="A734"/>
  <c r="B734"/>
  <c r="C734"/>
  <c r="E734"/>
  <c r="G734"/>
  <c r="A735"/>
  <c r="B735"/>
  <c r="C735"/>
  <c r="E735"/>
  <c r="G735"/>
  <c r="A736"/>
  <c r="B736"/>
  <c r="C736"/>
  <c r="E736"/>
  <c r="F736"/>
  <c r="G736"/>
  <c r="A737"/>
  <c r="B737"/>
  <c r="C737"/>
  <c r="D737"/>
  <c r="E737"/>
  <c r="F737"/>
  <c r="G737"/>
  <c r="A738"/>
  <c r="B738"/>
  <c r="C738"/>
  <c r="D738"/>
  <c r="E738"/>
  <c r="G738"/>
  <c r="A739"/>
  <c r="B739"/>
  <c r="C739"/>
  <c r="D739"/>
  <c r="E739"/>
  <c r="F739"/>
  <c r="G739"/>
  <c r="A740"/>
  <c r="B740"/>
  <c r="C740"/>
  <c r="D740"/>
  <c r="E740"/>
  <c r="G740"/>
  <c r="A741"/>
  <c r="D741"/>
  <c r="E741"/>
  <c r="F741"/>
  <c r="G741"/>
  <c r="A742"/>
  <c r="D742"/>
  <c r="E742"/>
  <c r="F742"/>
  <c r="G742"/>
  <c r="A743"/>
  <c r="B743"/>
  <c r="C743"/>
  <c r="D743"/>
  <c r="E743"/>
  <c r="F743"/>
  <c r="G743"/>
  <c r="A744"/>
  <c r="B744"/>
  <c r="C744"/>
  <c r="D744"/>
  <c r="E744"/>
  <c r="F744"/>
  <c r="G744"/>
  <c r="A745"/>
  <c r="B745"/>
  <c r="C745"/>
  <c r="E745"/>
  <c r="F745"/>
  <c r="G745"/>
  <c r="A746"/>
  <c r="B746"/>
  <c r="C746"/>
  <c r="D746"/>
  <c r="E746"/>
  <c r="F746"/>
  <c r="G746"/>
  <c r="A747"/>
  <c r="B747"/>
  <c r="C747"/>
  <c r="D747"/>
  <c r="E747"/>
  <c r="F747"/>
  <c r="G747"/>
  <c r="A748"/>
  <c r="B748"/>
  <c r="C748"/>
  <c r="D748"/>
  <c r="E748"/>
  <c r="F748"/>
  <c r="G748"/>
  <c r="A749"/>
  <c r="B749"/>
  <c r="C749"/>
  <c r="E749"/>
  <c r="G749"/>
  <c r="A750"/>
  <c r="B750"/>
  <c r="C750"/>
  <c r="E750"/>
  <c r="G750"/>
  <c r="A751"/>
  <c r="B751"/>
  <c r="C751"/>
  <c r="E751"/>
  <c r="G751"/>
  <c r="A752"/>
  <c r="B752"/>
  <c r="C752"/>
  <c r="E752"/>
  <c r="G752"/>
  <c r="A753"/>
  <c r="B753"/>
  <c r="C753"/>
  <c r="D753"/>
  <c r="E753"/>
  <c r="F753"/>
  <c r="G753"/>
  <c r="A754"/>
  <c r="B754"/>
  <c r="C754"/>
  <c r="D754"/>
  <c r="E754"/>
  <c r="G754"/>
  <c r="A755"/>
  <c r="B755"/>
  <c r="C755"/>
  <c r="D755"/>
  <c r="E755"/>
  <c r="F755"/>
  <c r="G755"/>
  <c r="A756"/>
  <c r="B756"/>
  <c r="D756"/>
  <c r="E756"/>
  <c r="G756"/>
  <c r="B757"/>
  <c r="D757"/>
  <c r="E757"/>
  <c r="F757"/>
  <c r="G757"/>
  <c r="A758"/>
  <c r="B758"/>
  <c r="C758"/>
  <c r="D758"/>
  <c r="E758"/>
  <c r="F758"/>
  <c r="G758"/>
  <c r="A759"/>
  <c r="B759"/>
  <c r="D759"/>
  <c r="E759"/>
  <c r="F759"/>
  <c r="G759"/>
  <c r="A760"/>
  <c r="B760"/>
  <c r="D760"/>
  <c r="E760"/>
  <c r="F760"/>
  <c r="G760"/>
  <c r="H3845" i="1"/>
  <c r="D705" i="79" s="1"/>
  <c r="H3844" i="1"/>
  <c r="D704" i="79" s="1"/>
  <c r="H3843" i="1"/>
  <c r="D703" i="79" s="1"/>
  <c r="H3842" i="1"/>
  <c r="H3855"/>
  <c r="D715" i="79" s="1"/>
  <c r="G59" i="86" l="1"/>
  <c r="H68" i="81"/>
  <c r="G69" s="1"/>
  <c r="I34" i="86"/>
  <c r="J3855" i="1"/>
  <c r="F715" i="79" s="1"/>
  <c r="H3848" i="1"/>
  <c r="H70" i="87"/>
  <c r="G71" s="1"/>
  <c r="D702" i="79"/>
  <c r="A144" i="83"/>
  <c r="A3" i="90"/>
  <c r="A1" i="88"/>
  <c r="H58" i="87"/>
  <c r="G59" s="1"/>
  <c r="D99"/>
  <c r="H99" s="1"/>
  <c r="H40"/>
  <c r="D109"/>
  <c r="H109" s="1"/>
  <c r="H111" s="1"/>
  <c r="G112" s="1"/>
  <c r="H37"/>
  <c r="H101"/>
  <c r="G102" s="1"/>
  <c r="J26" i="82"/>
  <c r="J23"/>
  <c r="E35"/>
  <c r="H29"/>
  <c r="G30" s="1"/>
  <c r="C32"/>
  <c r="B51"/>
  <c r="B38"/>
  <c r="B41" s="1"/>
  <c r="B44" s="1"/>
  <c r="H61" i="81"/>
  <c r="G62" s="1"/>
  <c r="H34"/>
  <c r="H35" s="1"/>
  <c r="G36" s="1"/>
  <c r="E39"/>
  <c r="H39" s="1"/>
  <c r="H40" s="1"/>
  <c r="G41" s="1"/>
  <c r="D697" i="79"/>
  <c r="A410"/>
  <c r="B410"/>
  <c r="C410"/>
  <c r="D410"/>
  <c r="E410"/>
  <c r="F410"/>
  <c r="A411"/>
  <c r="B411"/>
  <c r="C411"/>
  <c r="D411"/>
  <c r="E411"/>
  <c r="F411"/>
  <c r="A412"/>
  <c r="B412"/>
  <c r="C412"/>
  <c r="D412"/>
  <c r="E412"/>
  <c r="F412"/>
  <c r="A413"/>
  <c r="B413"/>
  <c r="C413"/>
  <c r="D413"/>
  <c r="E413"/>
  <c r="F413"/>
  <c r="A414"/>
  <c r="B414"/>
  <c r="C414"/>
  <c r="D414"/>
  <c r="E414"/>
  <c r="F414"/>
  <c r="A415"/>
  <c r="B415"/>
  <c r="C415"/>
  <c r="D415"/>
  <c r="E415"/>
  <c r="F415"/>
  <c r="A416"/>
  <c r="B416"/>
  <c r="C416"/>
  <c r="E416"/>
  <c r="A417"/>
  <c r="B417"/>
  <c r="C417"/>
  <c r="E417"/>
  <c r="A418"/>
  <c r="B418"/>
  <c r="C418"/>
  <c r="E418"/>
  <c r="A419"/>
  <c r="B419"/>
  <c r="C419"/>
  <c r="E419"/>
  <c r="A420"/>
  <c r="B420"/>
  <c r="C420"/>
  <c r="D420"/>
  <c r="E420"/>
  <c r="A421"/>
  <c r="B421"/>
  <c r="C421"/>
  <c r="D421"/>
  <c r="E421"/>
  <c r="F421"/>
  <c r="A422"/>
  <c r="B422"/>
  <c r="C422"/>
  <c r="D422"/>
  <c r="E422"/>
  <c r="A423"/>
  <c r="B423"/>
  <c r="C423"/>
  <c r="D423"/>
  <c r="E423"/>
  <c r="A528"/>
  <c r="B528"/>
  <c r="C528"/>
  <c r="F528"/>
  <c r="A529"/>
  <c r="B529"/>
  <c r="C529"/>
  <c r="D529"/>
  <c r="E529"/>
  <c r="F529"/>
  <c r="A530"/>
  <c r="B530"/>
  <c r="C530"/>
  <c r="D530"/>
  <c r="E530"/>
  <c r="F530"/>
  <c r="A531"/>
  <c r="B531"/>
  <c r="C531"/>
  <c r="D531"/>
  <c r="E531"/>
  <c r="F531"/>
  <c r="A532"/>
  <c r="B532"/>
  <c r="D532"/>
  <c r="E532"/>
  <c r="F532"/>
  <c r="A533"/>
  <c r="B533"/>
  <c r="C533"/>
  <c r="D533"/>
  <c r="E533"/>
  <c r="A534"/>
  <c r="B534"/>
  <c r="C534"/>
  <c r="D534"/>
  <c r="E534"/>
  <c r="A535"/>
  <c r="B535"/>
  <c r="C535"/>
  <c r="D535"/>
  <c r="E535"/>
  <c r="A536"/>
  <c r="B536"/>
  <c r="C536"/>
  <c r="D536"/>
  <c r="E536"/>
  <c r="A537"/>
  <c r="B537"/>
  <c r="C537"/>
  <c r="D537"/>
  <c r="E537"/>
  <c r="A538"/>
  <c r="B538"/>
  <c r="C538"/>
  <c r="D538"/>
  <c r="E538"/>
  <c r="A539"/>
  <c r="B539"/>
  <c r="C539"/>
  <c r="D539"/>
  <c r="E539"/>
  <c r="A540"/>
  <c r="B540"/>
  <c r="C540"/>
  <c r="D540"/>
  <c r="E540"/>
  <c r="A541"/>
  <c r="B541"/>
  <c r="C541"/>
  <c r="D541"/>
  <c r="E541"/>
  <c r="A542"/>
  <c r="B542"/>
  <c r="C542"/>
  <c r="D542"/>
  <c r="E542"/>
  <c r="A543"/>
  <c r="B543"/>
  <c r="C543"/>
  <c r="D543"/>
  <c r="E543"/>
  <c r="A544"/>
  <c r="B544"/>
  <c r="C544"/>
  <c r="D544"/>
  <c r="E544"/>
  <c r="A545"/>
  <c r="B545"/>
  <c r="C545"/>
  <c r="D545"/>
  <c r="E545"/>
  <c r="A546"/>
  <c r="B546"/>
  <c r="C546"/>
  <c r="D546"/>
  <c r="E546"/>
  <c r="A547"/>
  <c r="B547"/>
  <c r="C547"/>
  <c r="D547"/>
  <c r="E547"/>
  <c r="A548"/>
  <c r="B548"/>
  <c r="C548"/>
  <c r="D548"/>
  <c r="E548"/>
  <c r="A549"/>
  <c r="B549"/>
  <c r="C549"/>
  <c r="D549"/>
  <c r="E549"/>
  <c r="A550"/>
  <c r="B550"/>
  <c r="C550"/>
  <c r="D550"/>
  <c r="E550"/>
  <c r="A551"/>
  <c r="B551"/>
  <c r="C551"/>
  <c r="E551"/>
  <c r="A552"/>
  <c r="B552"/>
  <c r="C552"/>
  <c r="E552"/>
  <c r="A553"/>
  <c r="B553"/>
  <c r="C553"/>
  <c r="E553"/>
  <c r="A554"/>
  <c r="B554"/>
  <c r="C554"/>
  <c r="D554"/>
  <c r="E554"/>
  <c r="F554"/>
  <c r="A555"/>
  <c r="B555"/>
  <c r="C555"/>
  <c r="D555"/>
  <c r="E555"/>
  <c r="F555"/>
  <c r="A556"/>
  <c r="B556"/>
  <c r="C556"/>
  <c r="D556"/>
  <c r="E556"/>
  <c r="A557"/>
  <c r="B557"/>
  <c r="C557"/>
  <c r="D557"/>
  <c r="E557"/>
  <c r="A558"/>
  <c r="B558"/>
  <c r="C558"/>
  <c r="D558"/>
  <c r="E558"/>
  <c r="A67"/>
  <c r="B67"/>
  <c r="C67"/>
  <c r="D67"/>
  <c r="E67"/>
  <c r="F67"/>
  <c r="A68"/>
  <c r="B68"/>
  <c r="C68"/>
  <c r="D68"/>
  <c r="E68"/>
  <c r="F68"/>
  <c r="A69"/>
  <c r="B69"/>
  <c r="C69"/>
  <c r="D69"/>
  <c r="E69"/>
  <c r="F69"/>
  <c r="A70"/>
  <c r="B70"/>
  <c r="C70"/>
  <c r="D70"/>
  <c r="E70"/>
  <c r="F70"/>
  <c r="A71"/>
  <c r="B71"/>
  <c r="C71"/>
  <c r="D71"/>
  <c r="E71"/>
  <c r="A72"/>
  <c r="B72"/>
  <c r="C72"/>
  <c r="D72"/>
  <c r="E72"/>
  <c r="A73"/>
  <c r="B73"/>
  <c r="C73"/>
  <c r="D73"/>
  <c r="E73"/>
  <c r="A74"/>
  <c r="B74"/>
  <c r="C74"/>
  <c r="D74"/>
  <c r="E74"/>
  <c r="A75"/>
  <c r="B75"/>
  <c r="C75"/>
  <c r="D75"/>
  <c r="E75"/>
  <c r="A76"/>
  <c r="B76"/>
  <c r="C76"/>
  <c r="D76"/>
  <c r="E76"/>
  <c r="A77"/>
  <c r="B77"/>
  <c r="C77"/>
  <c r="D77"/>
  <c r="E77"/>
  <c r="A78"/>
  <c r="B78"/>
  <c r="C78"/>
  <c r="E78"/>
  <c r="A79"/>
  <c r="B79"/>
  <c r="C79"/>
  <c r="D79"/>
  <c r="E79"/>
  <c r="A80"/>
  <c r="B80"/>
  <c r="C80"/>
  <c r="D80"/>
  <c r="E80"/>
  <c r="A81"/>
  <c r="B81"/>
  <c r="C81"/>
  <c r="D81"/>
  <c r="E81"/>
  <c r="A82"/>
  <c r="B82"/>
  <c r="C82"/>
  <c r="D82"/>
  <c r="E82"/>
  <c r="F82"/>
  <c r="A83"/>
  <c r="B83"/>
  <c r="C83"/>
  <c r="D83"/>
  <c r="E83"/>
  <c r="A84"/>
  <c r="B84"/>
  <c r="C84"/>
  <c r="D84"/>
  <c r="E84"/>
  <c r="A85"/>
  <c r="B85"/>
  <c r="C85"/>
  <c r="D85"/>
  <c r="E85"/>
  <c r="F85"/>
  <c r="A86"/>
  <c r="B86"/>
  <c r="C86"/>
  <c r="D86"/>
  <c r="E86"/>
  <c r="F86"/>
  <c r="A87"/>
  <c r="B87"/>
  <c r="C87"/>
  <c r="E87"/>
  <c r="A88"/>
  <c r="B88"/>
  <c r="C88"/>
  <c r="E88"/>
  <c r="A89"/>
  <c r="B89"/>
  <c r="C89"/>
  <c r="D89"/>
  <c r="E89"/>
  <c r="A57"/>
  <c r="B57"/>
  <c r="C57"/>
  <c r="D57"/>
  <c r="E57"/>
  <c r="F57"/>
  <c r="A58"/>
  <c r="B58"/>
  <c r="C58"/>
  <c r="D58"/>
  <c r="E58"/>
  <c r="F58"/>
  <c r="A59"/>
  <c r="B59"/>
  <c r="C59"/>
  <c r="D59"/>
  <c r="E59"/>
  <c r="F59"/>
  <c r="A60"/>
  <c r="B60"/>
  <c r="C60"/>
  <c r="D60"/>
  <c r="E60"/>
  <c r="F60"/>
  <c r="A61"/>
  <c r="B61"/>
  <c r="C61"/>
  <c r="D61"/>
  <c r="E61"/>
  <c r="A62"/>
  <c r="B62"/>
  <c r="C62"/>
  <c r="E62"/>
  <c r="A63"/>
  <c r="B63"/>
  <c r="C63"/>
  <c r="D63"/>
  <c r="E63"/>
  <c r="A64"/>
  <c r="B64"/>
  <c r="C64"/>
  <c r="D64"/>
  <c r="E64"/>
  <c r="F64"/>
  <c r="A65"/>
  <c r="B65"/>
  <c r="C65"/>
  <c r="D65"/>
  <c r="E65"/>
  <c r="A26"/>
  <c r="B26"/>
  <c r="C26"/>
  <c r="D26"/>
  <c r="E26"/>
  <c r="F26"/>
  <c r="A27"/>
  <c r="B27"/>
  <c r="C27"/>
  <c r="D27"/>
  <c r="E27"/>
  <c r="F27"/>
  <c r="A28"/>
  <c r="B28"/>
  <c r="C28"/>
  <c r="D28"/>
  <c r="E28"/>
  <c r="F28"/>
  <c r="A29"/>
  <c r="B29"/>
  <c r="C29"/>
  <c r="E29"/>
  <c r="A30"/>
  <c r="B30"/>
  <c r="C30"/>
  <c r="D30"/>
  <c r="E30"/>
  <c r="A31"/>
  <c r="B31"/>
  <c r="C31"/>
  <c r="D31"/>
  <c r="E31"/>
  <c r="F31"/>
  <c r="A32"/>
  <c r="B32"/>
  <c r="C32"/>
  <c r="D32"/>
  <c r="E32"/>
  <c r="A33"/>
  <c r="B33"/>
  <c r="C33"/>
  <c r="E33"/>
  <c r="A34"/>
  <c r="B34"/>
  <c r="C34"/>
  <c r="E34"/>
  <c r="A35"/>
  <c r="B35"/>
  <c r="C35"/>
  <c r="E35"/>
  <c r="A36"/>
  <c r="B36"/>
  <c r="C36"/>
  <c r="D36"/>
  <c r="E36"/>
  <c r="A37"/>
  <c r="B37"/>
  <c r="C37"/>
  <c r="D37"/>
  <c r="E37"/>
  <c r="A14"/>
  <c r="B14"/>
  <c r="C14"/>
  <c r="D14"/>
  <c r="E14"/>
  <c r="F14"/>
  <c r="A15"/>
  <c r="B15"/>
  <c r="C15"/>
  <c r="D15"/>
  <c r="E15"/>
  <c r="F15"/>
  <c r="A16"/>
  <c r="B16"/>
  <c r="C16"/>
  <c r="D16"/>
  <c r="E16"/>
  <c r="F16"/>
  <c r="A17"/>
  <c r="B17"/>
  <c r="C17"/>
  <c r="D17"/>
  <c r="E17"/>
  <c r="F17"/>
  <c r="A18"/>
  <c r="B18"/>
  <c r="C18"/>
  <c r="D18"/>
  <c r="E18"/>
  <c r="F18"/>
  <c r="A19"/>
  <c r="B19"/>
  <c r="C19"/>
  <c r="D19"/>
  <c r="E19"/>
  <c r="F19"/>
  <c r="A20"/>
  <c r="B20"/>
  <c r="C20"/>
  <c r="D20"/>
  <c r="E20"/>
  <c r="A21"/>
  <c r="B21"/>
  <c r="C21"/>
  <c r="D21"/>
  <c r="E21"/>
  <c r="A22"/>
  <c r="B22"/>
  <c r="C22"/>
  <c r="E22"/>
  <c r="A23"/>
  <c r="B23"/>
  <c r="C23"/>
  <c r="D23"/>
  <c r="E23"/>
  <c r="F23"/>
  <c r="A24"/>
  <c r="B24"/>
  <c r="C24"/>
  <c r="D24"/>
  <c r="E24"/>
  <c r="A3"/>
  <c r="B3"/>
  <c r="C3"/>
  <c r="D3"/>
  <c r="E3"/>
  <c r="F3"/>
  <c r="A4"/>
  <c r="B4"/>
  <c r="C4"/>
  <c r="D4"/>
  <c r="E4"/>
  <c r="F4"/>
  <c r="A5"/>
  <c r="B5"/>
  <c r="C5"/>
  <c r="D5"/>
  <c r="E5"/>
  <c r="F5"/>
  <c r="A6"/>
  <c r="B6"/>
  <c r="C6"/>
  <c r="D6"/>
  <c r="E6"/>
  <c r="F6"/>
  <c r="A7"/>
  <c r="B7"/>
  <c r="C7"/>
  <c r="D7"/>
  <c r="E7"/>
  <c r="F7"/>
  <c r="A8"/>
  <c r="B8"/>
  <c r="C8"/>
  <c r="D8"/>
  <c r="E8"/>
  <c r="A9"/>
  <c r="B9"/>
  <c r="C9"/>
  <c r="E9"/>
  <c r="A10"/>
  <c r="B10"/>
  <c r="C10"/>
  <c r="E10"/>
  <c r="A11"/>
  <c r="B11"/>
  <c r="C11"/>
  <c r="D11"/>
  <c r="E11"/>
  <c r="F11"/>
  <c r="A12"/>
  <c r="B12"/>
  <c r="C12"/>
  <c r="D12"/>
  <c r="E12"/>
  <c r="A674"/>
  <c r="B674"/>
  <c r="C674"/>
  <c r="D674"/>
  <c r="E674"/>
  <c r="F674"/>
  <c r="A675"/>
  <c r="B675"/>
  <c r="C675"/>
  <c r="D675"/>
  <c r="E675"/>
  <c r="F675"/>
  <c r="A676"/>
  <c r="B676"/>
  <c r="C676"/>
  <c r="D676"/>
  <c r="E676"/>
  <c r="F676"/>
  <c r="A677"/>
  <c r="B677"/>
  <c r="C677"/>
  <c r="E677"/>
  <c r="A678"/>
  <c r="B678"/>
  <c r="C678"/>
  <c r="E678"/>
  <c r="A679"/>
  <c r="B679"/>
  <c r="C679"/>
  <c r="D679"/>
  <c r="E679"/>
  <c r="A680"/>
  <c r="B680"/>
  <c r="C680"/>
  <c r="D680"/>
  <c r="E680"/>
  <c r="F680"/>
  <c r="A681"/>
  <c r="B681"/>
  <c r="C681"/>
  <c r="D681"/>
  <c r="E681"/>
  <c r="A682"/>
  <c r="B682"/>
  <c r="C682"/>
  <c r="D682"/>
  <c r="E682"/>
  <c r="F682"/>
  <c r="A683"/>
  <c r="B683"/>
  <c r="C683"/>
  <c r="D683"/>
  <c r="E683"/>
  <c r="F683"/>
  <c r="A684"/>
  <c r="B684"/>
  <c r="C684"/>
  <c r="D684"/>
  <c r="E684"/>
  <c r="F684"/>
  <c r="A685"/>
  <c r="B685"/>
  <c r="C685"/>
  <c r="A686"/>
  <c r="B686"/>
  <c r="C686"/>
  <c r="A687"/>
  <c r="B687"/>
  <c r="C687"/>
  <c r="A656"/>
  <c r="B656"/>
  <c r="C656"/>
  <c r="F656"/>
  <c r="A657"/>
  <c r="B657"/>
  <c r="C657"/>
  <c r="D657"/>
  <c r="E657"/>
  <c r="F657"/>
  <c r="A658"/>
  <c r="B658"/>
  <c r="C658"/>
  <c r="D658"/>
  <c r="E658"/>
  <c r="F658"/>
  <c r="A659"/>
  <c r="B659"/>
  <c r="D659"/>
  <c r="E659"/>
  <c r="F659"/>
  <c r="A660"/>
  <c r="B660"/>
  <c r="C660"/>
  <c r="E660"/>
  <c r="A661"/>
  <c r="B661"/>
  <c r="C661"/>
  <c r="D661"/>
  <c r="E661"/>
  <c r="F661"/>
  <c r="A662"/>
  <c r="B662"/>
  <c r="C662"/>
  <c r="E662"/>
  <c r="A663"/>
  <c r="B663"/>
  <c r="C663"/>
  <c r="E663"/>
  <c r="A664"/>
  <c r="B664"/>
  <c r="C664"/>
  <c r="E664"/>
  <c r="A665"/>
  <c r="B665"/>
  <c r="C665"/>
  <c r="D665"/>
  <c r="E665"/>
  <c r="F665"/>
  <c r="A666"/>
  <c r="B666"/>
  <c r="C666"/>
  <c r="E666"/>
  <c r="A667"/>
  <c r="B667"/>
  <c r="C667"/>
  <c r="E667"/>
  <c r="A668"/>
  <c r="B668"/>
  <c r="C668"/>
  <c r="E668"/>
  <c r="F668"/>
  <c r="A669"/>
  <c r="B669"/>
  <c r="C669"/>
  <c r="D669"/>
  <c r="E669"/>
  <c r="F669"/>
  <c r="A670"/>
  <c r="B670"/>
  <c r="C670"/>
  <c r="D670"/>
  <c r="E670"/>
  <c r="F670"/>
  <c r="A671"/>
  <c r="B671"/>
  <c r="C671"/>
  <c r="D671"/>
  <c r="E671"/>
  <c r="F671"/>
  <c r="A672"/>
  <c r="B672"/>
  <c r="C672"/>
  <c r="D672"/>
  <c r="E672"/>
  <c r="A636"/>
  <c r="B636"/>
  <c r="C636"/>
  <c r="D636"/>
  <c r="E636"/>
  <c r="F636"/>
  <c r="A637"/>
  <c r="B637"/>
  <c r="C637"/>
  <c r="D637"/>
  <c r="E637"/>
  <c r="F637"/>
  <c r="A638"/>
  <c r="B638"/>
  <c r="C638"/>
  <c r="D638"/>
  <c r="E638"/>
  <c r="F638"/>
  <c r="A639"/>
  <c r="B639"/>
  <c r="C639"/>
  <c r="D639"/>
  <c r="E639"/>
  <c r="F639"/>
  <c r="A640"/>
  <c r="B640"/>
  <c r="D640"/>
  <c r="E640"/>
  <c r="F640"/>
  <c r="A641"/>
  <c r="B641"/>
  <c r="C641"/>
  <c r="E641"/>
  <c r="A642"/>
  <c r="B642"/>
  <c r="C642"/>
  <c r="E642"/>
  <c r="A643"/>
  <c r="B643"/>
  <c r="C643"/>
  <c r="E643"/>
  <c r="F643"/>
  <c r="A644"/>
  <c r="B644"/>
  <c r="C644"/>
  <c r="E644"/>
  <c r="A645"/>
  <c r="B645"/>
  <c r="C645"/>
  <c r="E645"/>
  <c r="F645"/>
  <c r="A646"/>
  <c r="B646"/>
  <c r="C646"/>
  <c r="E646"/>
  <c r="A647"/>
  <c r="B647"/>
  <c r="C647"/>
  <c r="D647"/>
  <c r="E647"/>
  <c r="F647"/>
  <c r="A648"/>
  <c r="B648"/>
  <c r="C648"/>
  <c r="E648"/>
  <c r="A649"/>
  <c r="B649"/>
  <c r="C649"/>
  <c r="E649"/>
  <c r="A650"/>
  <c r="B650"/>
  <c r="C650"/>
  <c r="E650"/>
  <c r="A651"/>
  <c r="B651"/>
  <c r="C651"/>
  <c r="E651"/>
  <c r="F651"/>
  <c r="A652"/>
  <c r="B652"/>
  <c r="C652"/>
  <c r="D652"/>
  <c r="E652"/>
  <c r="F652"/>
  <c r="A653"/>
  <c r="B653"/>
  <c r="C653"/>
  <c r="D653"/>
  <c r="E653"/>
  <c r="F653"/>
  <c r="A654"/>
  <c r="B654"/>
  <c r="C654"/>
  <c r="D654"/>
  <c r="E654"/>
  <c r="A619"/>
  <c r="B619"/>
  <c r="C619"/>
  <c r="D619"/>
  <c r="E619"/>
  <c r="F619"/>
  <c r="A620"/>
  <c r="B620"/>
  <c r="C620"/>
  <c r="D620"/>
  <c r="E620"/>
  <c r="F620"/>
  <c r="A621"/>
  <c r="B621"/>
  <c r="C621"/>
  <c r="D621"/>
  <c r="E621"/>
  <c r="F621"/>
  <c r="A622"/>
  <c r="B622"/>
  <c r="C622"/>
  <c r="D622"/>
  <c r="E622"/>
  <c r="F622"/>
  <c r="A623"/>
  <c r="B623"/>
  <c r="D623"/>
  <c r="E623"/>
  <c r="F623"/>
  <c r="A624"/>
  <c r="B624"/>
  <c r="C624"/>
  <c r="E624"/>
  <c r="A625"/>
  <c r="B625"/>
  <c r="C625"/>
  <c r="E625"/>
  <c r="A626"/>
  <c r="B626"/>
  <c r="C626"/>
  <c r="E626"/>
  <c r="A627"/>
  <c r="B627"/>
  <c r="C627"/>
  <c r="E627"/>
  <c r="A628"/>
  <c r="B628"/>
  <c r="C628"/>
  <c r="E628"/>
  <c r="A629"/>
  <c r="B629"/>
  <c r="C629"/>
  <c r="E629"/>
  <c r="A630"/>
  <c r="B630"/>
  <c r="C630"/>
  <c r="E630"/>
  <c r="A631"/>
  <c r="B631"/>
  <c r="C631"/>
  <c r="E631"/>
  <c r="F631"/>
  <c r="A632"/>
  <c r="B632"/>
  <c r="C632"/>
  <c r="D632"/>
  <c r="E632"/>
  <c r="F632"/>
  <c r="A633"/>
  <c r="B633"/>
  <c r="C633"/>
  <c r="D633"/>
  <c r="E633"/>
  <c r="F633"/>
  <c r="A634"/>
  <c r="B634"/>
  <c r="C634"/>
  <c r="D634"/>
  <c r="E634"/>
  <c r="A600"/>
  <c r="B600"/>
  <c r="F600"/>
  <c r="A601"/>
  <c r="B601"/>
  <c r="C601"/>
  <c r="D601"/>
  <c r="E601"/>
  <c r="A602"/>
  <c r="B602"/>
  <c r="C602"/>
  <c r="E602"/>
  <c r="A603"/>
  <c r="B603"/>
  <c r="C603"/>
  <c r="E603"/>
  <c r="A604"/>
  <c r="B604"/>
  <c r="C604"/>
  <c r="E604"/>
  <c r="A605"/>
  <c r="B605"/>
  <c r="C605"/>
  <c r="E605"/>
  <c r="A606"/>
  <c r="B606"/>
  <c r="C606"/>
  <c r="E606"/>
  <c r="A607"/>
  <c r="B607"/>
  <c r="C607"/>
  <c r="E607"/>
  <c r="A608"/>
  <c r="B608"/>
  <c r="C608"/>
  <c r="D608"/>
  <c r="E608"/>
  <c r="A609"/>
  <c r="B609"/>
  <c r="C609"/>
  <c r="E609"/>
  <c r="A610"/>
  <c r="B610"/>
  <c r="C610"/>
  <c r="D610"/>
  <c r="E610"/>
  <c r="A611"/>
  <c r="B611"/>
  <c r="C611"/>
  <c r="E611"/>
  <c r="A612"/>
  <c r="B612"/>
  <c r="C612"/>
  <c r="D612"/>
  <c r="E612"/>
  <c r="A613"/>
  <c r="B613"/>
  <c r="C613"/>
  <c r="D613"/>
  <c r="E613"/>
  <c r="F613"/>
  <c r="A614"/>
  <c r="B614"/>
  <c r="C614"/>
  <c r="D614"/>
  <c r="E614"/>
  <c r="A615"/>
  <c r="B615"/>
  <c r="C615"/>
  <c r="D615"/>
  <c r="E615"/>
  <c r="A616"/>
  <c r="B616"/>
  <c r="C616"/>
  <c r="D616"/>
  <c r="E616"/>
  <c r="A617"/>
  <c r="B617"/>
  <c r="C617"/>
  <c r="D617"/>
  <c r="E617"/>
  <c r="A580"/>
  <c r="B580"/>
  <c r="C580"/>
  <c r="D580"/>
  <c r="E580"/>
  <c r="F580"/>
  <c r="A581"/>
  <c r="B581"/>
  <c r="C581"/>
  <c r="D581"/>
  <c r="E581"/>
  <c r="F581"/>
  <c r="A582"/>
  <c r="B582"/>
  <c r="C582"/>
  <c r="D582"/>
  <c r="E582"/>
  <c r="F582"/>
  <c r="A583"/>
  <c r="B583"/>
  <c r="C583"/>
  <c r="D583"/>
  <c r="E583"/>
  <c r="A584"/>
  <c r="B584"/>
  <c r="C584"/>
  <c r="E584"/>
  <c r="A585"/>
  <c r="B585"/>
  <c r="C585"/>
  <c r="E585"/>
  <c r="A586"/>
  <c r="B586"/>
  <c r="C586"/>
  <c r="E586"/>
  <c r="A587"/>
  <c r="B587"/>
  <c r="C587"/>
  <c r="E587"/>
  <c r="A588"/>
  <c r="B588"/>
  <c r="C588"/>
  <c r="E588"/>
  <c r="A589"/>
  <c r="B589"/>
  <c r="C589"/>
  <c r="E589"/>
  <c r="A590"/>
  <c r="B590"/>
  <c r="C590"/>
  <c r="E590"/>
  <c r="A591"/>
  <c r="B591"/>
  <c r="C591"/>
  <c r="E591"/>
  <c r="A592"/>
  <c r="B592"/>
  <c r="C592"/>
  <c r="E592"/>
  <c r="A593"/>
  <c r="B593"/>
  <c r="C593"/>
  <c r="E593"/>
  <c r="A594"/>
  <c r="B594"/>
  <c r="C594"/>
  <c r="D594"/>
  <c r="E594"/>
  <c r="F594"/>
  <c r="A595"/>
  <c r="B595"/>
  <c r="C595"/>
  <c r="D595"/>
  <c r="E595"/>
  <c r="F595"/>
  <c r="A596"/>
  <c r="B596"/>
  <c r="C596"/>
  <c r="D596"/>
  <c r="E596"/>
  <c r="A597"/>
  <c r="B597"/>
  <c r="C597"/>
  <c r="D597"/>
  <c r="E597"/>
  <c r="F597"/>
  <c r="A598"/>
  <c r="B598"/>
  <c r="C598"/>
  <c r="D598"/>
  <c r="E598"/>
  <c r="A560"/>
  <c r="B560"/>
  <c r="C560"/>
  <c r="D560"/>
  <c r="E560"/>
  <c r="F560"/>
  <c r="A561"/>
  <c r="B561"/>
  <c r="C561"/>
  <c r="D561"/>
  <c r="E561"/>
  <c r="F561"/>
  <c r="A562"/>
  <c r="B562"/>
  <c r="C562"/>
  <c r="D562"/>
  <c r="E562"/>
  <c r="F562"/>
  <c r="A563"/>
  <c r="B563"/>
  <c r="C563"/>
  <c r="D563"/>
  <c r="E563"/>
  <c r="A564"/>
  <c r="B564"/>
  <c r="C564"/>
  <c r="E564"/>
  <c r="A565"/>
  <c r="B565"/>
  <c r="C565"/>
  <c r="E565"/>
  <c r="A566"/>
  <c r="B566"/>
  <c r="C566"/>
  <c r="E566"/>
  <c r="A567"/>
  <c r="B567"/>
  <c r="C567"/>
  <c r="E567"/>
  <c r="A568"/>
  <c r="B568"/>
  <c r="C568"/>
  <c r="E568"/>
  <c r="A569"/>
  <c r="B569"/>
  <c r="C569"/>
  <c r="E569"/>
  <c r="A570"/>
  <c r="B570"/>
  <c r="C570"/>
  <c r="E570"/>
  <c r="A571"/>
  <c r="B571"/>
  <c r="C571"/>
  <c r="E571"/>
  <c r="A572"/>
  <c r="B572"/>
  <c r="C572"/>
  <c r="E572"/>
  <c r="A573"/>
  <c r="B573"/>
  <c r="C573"/>
  <c r="E573"/>
  <c r="A574"/>
  <c r="B574"/>
  <c r="C574"/>
  <c r="D574"/>
  <c r="E574"/>
  <c r="F574"/>
  <c r="B575"/>
  <c r="C575"/>
  <c r="D575"/>
  <c r="E575"/>
  <c r="F575"/>
  <c r="A576"/>
  <c r="B576"/>
  <c r="C576"/>
  <c r="D576"/>
  <c r="E576"/>
  <c r="A577"/>
  <c r="B577"/>
  <c r="C577"/>
  <c r="D577"/>
  <c r="E577"/>
  <c r="F577"/>
  <c r="A578"/>
  <c r="B578"/>
  <c r="C578"/>
  <c r="D578"/>
  <c r="E578"/>
  <c r="A520"/>
  <c r="B520"/>
  <c r="C520"/>
  <c r="D520"/>
  <c r="E520"/>
  <c r="F520"/>
  <c r="A521"/>
  <c r="B521"/>
  <c r="C521"/>
  <c r="D521"/>
  <c r="E521"/>
  <c r="A522"/>
  <c r="B522"/>
  <c r="C522"/>
  <c r="D522"/>
  <c r="E522"/>
  <c r="A523"/>
  <c r="B523"/>
  <c r="C523"/>
  <c r="E523"/>
  <c r="A524"/>
  <c r="B524"/>
  <c r="C524"/>
  <c r="D524"/>
  <c r="E524"/>
  <c r="F524"/>
  <c r="A525"/>
  <c r="B525"/>
  <c r="C525"/>
  <c r="D525"/>
  <c r="E525"/>
  <c r="A526"/>
  <c r="B526"/>
  <c r="C526"/>
  <c r="D526"/>
  <c r="E526"/>
  <c r="A507"/>
  <c r="B507"/>
  <c r="C507"/>
  <c r="F507"/>
  <c r="A508"/>
  <c r="B508"/>
  <c r="C508"/>
  <c r="D508"/>
  <c r="E508"/>
  <c r="F508"/>
  <c r="A509"/>
  <c r="B509"/>
  <c r="C509"/>
  <c r="D509"/>
  <c r="E509"/>
  <c r="F509"/>
  <c r="A510"/>
  <c r="B510"/>
  <c r="D510"/>
  <c r="E510"/>
  <c r="F510"/>
  <c r="A511"/>
  <c r="B511"/>
  <c r="C511"/>
  <c r="D511"/>
  <c r="E511"/>
  <c r="A512"/>
  <c r="B512"/>
  <c r="C512"/>
  <c r="E512"/>
  <c r="A513"/>
  <c r="B513"/>
  <c r="C513"/>
  <c r="E513"/>
  <c r="A514"/>
  <c r="B514"/>
  <c r="C514"/>
  <c r="D514"/>
  <c r="E514"/>
  <c r="F514"/>
  <c r="A515"/>
  <c r="B515"/>
  <c r="C515"/>
  <c r="D515"/>
  <c r="E515"/>
  <c r="F515"/>
  <c r="A516"/>
  <c r="B516"/>
  <c r="C516"/>
  <c r="D516"/>
  <c r="E516"/>
  <c r="A517"/>
  <c r="B517"/>
  <c r="C517"/>
  <c r="D517"/>
  <c r="E517"/>
  <c r="A518"/>
  <c r="B518"/>
  <c r="C518"/>
  <c r="D518"/>
  <c r="E518"/>
  <c r="A499"/>
  <c r="B499"/>
  <c r="C499"/>
  <c r="D499"/>
  <c r="E499"/>
  <c r="F499"/>
  <c r="A500"/>
  <c r="B500"/>
  <c r="C500"/>
  <c r="D500"/>
  <c r="E500"/>
  <c r="F500"/>
  <c r="A501"/>
  <c r="B501"/>
  <c r="C501"/>
  <c r="D501"/>
  <c r="E501"/>
  <c r="F501"/>
  <c r="A502"/>
  <c r="B502"/>
  <c r="C502"/>
  <c r="D502"/>
  <c r="E502"/>
  <c r="F502"/>
  <c r="A503"/>
  <c r="B503"/>
  <c r="C503"/>
  <c r="D503"/>
  <c r="E503"/>
  <c r="A504"/>
  <c r="B504"/>
  <c r="C504"/>
  <c r="D504"/>
  <c r="E504"/>
  <c r="F504"/>
  <c r="A505"/>
  <c r="B505"/>
  <c r="C505"/>
  <c r="D505"/>
  <c r="E505"/>
  <c r="A489"/>
  <c r="B489"/>
  <c r="C489"/>
  <c r="D489"/>
  <c r="E489"/>
  <c r="F489"/>
  <c r="A490"/>
  <c r="B490"/>
  <c r="C490"/>
  <c r="D490"/>
  <c r="E490"/>
  <c r="F490"/>
  <c r="A491"/>
  <c r="B491"/>
  <c r="C491"/>
  <c r="D491"/>
  <c r="E491"/>
  <c r="F491"/>
  <c r="A492"/>
  <c r="B492"/>
  <c r="C492"/>
  <c r="D492"/>
  <c r="E492"/>
  <c r="F492"/>
  <c r="A493"/>
  <c r="B493"/>
  <c r="C493"/>
  <c r="E493"/>
  <c r="A494"/>
  <c r="B494"/>
  <c r="C494"/>
  <c r="E494"/>
  <c r="A495"/>
  <c r="B495"/>
  <c r="C495"/>
  <c r="D495"/>
  <c r="E495"/>
  <c r="A496"/>
  <c r="B496"/>
  <c r="C496"/>
  <c r="D496"/>
  <c r="E496"/>
  <c r="A497"/>
  <c r="B497"/>
  <c r="C497"/>
  <c r="D497"/>
  <c r="E497"/>
  <c r="A479"/>
  <c r="B479"/>
  <c r="C479"/>
  <c r="D479"/>
  <c r="E479"/>
  <c r="F479"/>
  <c r="A480"/>
  <c r="B480"/>
  <c r="C480"/>
  <c r="D480"/>
  <c r="E480"/>
  <c r="F480"/>
  <c r="A481"/>
  <c r="B481"/>
  <c r="C481"/>
  <c r="D481"/>
  <c r="E481"/>
  <c r="F481"/>
  <c r="A482"/>
  <c r="B482"/>
  <c r="C482"/>
  <c r="D482"/>
  <c r="E482"/>
  <c r="F482"/>
  <c r="A483"/>
  <c r="B483"/>
  <c r="E483"/>
  <c r="A484"/>
  <c r="B484"/>
  <c r="C484"/>
  <c r="E484"/>
  <c r="A485"/>
  <c r="B485"/>
  <c r="C485"/>
  <c r="D485"/>
  <c r="E485"/>
  <c r="A486"/>
  <c r="B486"/>
  <c r="C486"/>
  <c r="D486"/>
  <c r="E486"/>
  <c r="F486"/>
  <c r="A487"/>
  <c r="B487"/>
  <c r="C487"/>
  <c r="D487"/>
  <c r="E487"/>
  <c r="A469"/>
  <c r="B469"/>
  <c r="C469"/>
  <c r="D469"/>
  <c r="E469"/>
  <c r="A470"/>
  <c r="B470"/>
  <c r="C470"/>
  <c r="D470"/>
  <c r="E470"/>
  <c r="F470"/>
  <c r="A471"/>
  <c r="B471"/>
  <c r="C471"/>
  <c r="E471"/>
  <c r="A472"/>
  <c r="B472"/>
  <c r="C472"/>
  <c r="D472"/>
  <c r="E472"/>
  <c r="F472"/>
  <c r="A473"/>
  <c r="B473"/>
  <c r="C473"/>
  <c r="D473"/>
  <c r="E473"/>
  <c r="F473"/>
  <c r="A474"/>
  <c r="B474"/>
  <c r="C474"/>
  <c r="E474"/>
  <c r="A475"/>
  <c r="B475"/>
  <c r="C475"/>
  <c r="E475"/>
  <c r="A476"/>
  <c r="B476"/>
  <c r="C476"/>
  <c r="D476"/>
  <c r="E476"/>
  <c r="A477"/>
  <c r="B477"/>
  <c r="C477"/>
  <c r="D477"/>
  <c r="E477"/>
  <c r="A458"/>
  <c r="B458"/>
  <c r="C458"/>
  <c r="D458"/>
  <c r="E458"/>
  <c r="F458"/>
  <c r="A459"/>
  <c r="B459"/>
  <c r="C459"/>
  <c r="D459"/>
  <c r="E459"/>
  <c r="F459"/>
  <c r="A460"/>
  <c r="B460"/>
  <c r="C460"/>
  <c r="D460"/>
  <c r="E460"/>
  <c r="F460"/>
  <c r="A461"/>
  <c r="B461"/>
  <c r="C461"/>
  <c r="D461"/>
  <c r="E461"/>
  <c r="F461"/>
  <c r="A462"/>
  <c r="B462"/>
  <c r="C462"/>
  <c r="D462"/>
  <c r="E462"/>
  <c r="F462"/>
  <c r="A463"/>
  <c r="B463"/>
  <c r="C463"/>
  <c r="D463"/>
  <c r="E463"/>
  <c r="F463"/>
  <c r="A464"/>
  <c r="B464"/>
  <c r="C464"/>
  <c r="E464"/>
  <c r="A465"/>
  <c r="B465"/>
  <c r="C465"/>
  <c r="E465"/>
  <c r="A466"/>
  <c r="B466"/>
  <c r="C466"/>
  <c r="E466"/>
  <c r="A467"/>
  <c r="B467"/>
  <c r="C467"/>
  <c r="D467"/>
  <c r="E467"/>
  <c r="A468"/>
  <c r="B468"/>
  <c r="C468"/>
  <c r="D468"/>
  <c r="E468"/>
  <c r="F468"/>
  <c r="A449"/>
  <c r="B449"/>
  <c r="C449"/>
  <c r="D449"/>
  <c r="E449"/>
  <c r="F449"/>
  <c r="A450"/>
  <c r="B450"/>
  <c r="C450"/>
  <c r="D450"/>
  <c r="E450"/>
  <c r="F450"/>
  <c r="A451"/>
  <c r="B451"/>
  <c r="C451"/>
  <c r="D451"/>
  <c r="E451"/>
  <c r="F451"/>
  <c r="A452"/>
  <c r="B452"/>
  <c r="C452"/>
  <c r="D452"/>
  <c r="E452"/>
  <c r="A453"/>
  <c r="B453"/>
  <c r="C453"/>
  <c r="E453"/>
  <c r="A454"/>
  <c r="B454"/>
  <c r="C454"/>
  <c r="D454"/>
  <c r="E454"/>
  <c r="F454"/>
  <c r="A455"/>
  <c r="B455"/>
  <c r="C455"/>
  <c r="D455"/>
  <c r="E455"/>
  <c r="A456"/>
  <c r="B456"/>
  <c r="C456"/>
  <c r="D456"/>
  <c r="E456"/>
  <c r="A425"/>
  <c r="B425"/>
  <c r="C425"/>
  <c r="D425"/>
  <c r="E425"/>
  <c r="F425"/>
  <c r="A426"/>
  <c r="B426"/>
  <c r="C426"/>
  <c r="E426"/>
  <c r="A427"/>
  <c r="B427"/>
  <c r="C427"/>
  <c r="D427"/>
  <c r="E427"/>
  <c r="A428"/>
  <c r="B428"/>
  <c r="C428"/>
  <c r="E428"/>
  <c r="A429"/>
  <c r="B429"/>
  <c r="C429"/>
  <c r="E429"/>
  <c r="A430"/>
  <c r="B430"/>
  <c r="C430"/>
  <c r="E430"/>
  <c r="A431"/>
  <c r="B431"/>
  <c r="C431"/>
  <c r="D431"/>
  <c r="E431"/>
  <c r="F431"/>
  <c r="A432"/>
  <c r="B432"/>
  <c r="C432"/>
  <c r="D432"/>
  <c r="E432"/>
  <c r="A433"/>
  <c r="B433"/>
  <c r="C433"/>
  <c r="D433"/>
  <c r="E433"/>
  <c r="A434"/>
  <c r="B434"/>
  <c r="C434"/>
  <c r="D434"/>
  <c r="E434"/>
  <c r="F434"/>
  <c r="A435"/>
  <c r="B435"/>
  <c r="C435"/>
  <c r="D435"/>
  <c r="E435"/>
  <c r="F435"/>
  <c r="A436"/>
  <c r="B436"/>
  <c r="C436"/>
  <c r="E436"/>
  <c r="A437"/>
  <c r="B437"/>
  <c r="C437"/>
  <c r="E437"/>
  <c r="A438"/>
  <c r="B438"/>
  <c r="C438"/>
  <c r="D438"/>
  <c r="E438"/>
  <c r="F438"/>
  <c r="A439"/>
  <c r="B439"/>
  <c r="C439"/>
  <c r="D439"/>
  <c r="E439"/>
  <c r="A440"/>
  <c r="B440"/>
  <c r="C440"/>
  <c r="D440"/>
  <c r="E440"/>
  <c r="F440"/>
  <c r="A441"/>
  <c r="B441"/>
  <c r="C441"/>
  <c r="E441"/>
  <c r="A442"/>
  <c r="B442"/>
  <c r="C442"/>
  <c r="E442"/>
  <c r="A443"/>
  <c r="B443"/>
  <c r="C443"/>
  <c r="D443"/>
  <c r="E443"/>
  <c r="A444"/>
  <c r="B444"/>
  <c r="C444"/>
  <c r="D444"/>
  <c r="E444"/>
  <c r="F444"/>
  <c r="A445"/>
  <c r="B445"/>
  <c r="C445"/>
  <c r="D445"/>
  <c r="E445"/>
  <c r="A446"/>
  <c r="B446"/>
  <c r="C446"/>
  <c r="D446"/>
  <c r="E446"/>
  <c r="F446"/>
  <c r="A447"/>
  <c r="B447"/>
  <c r="C447"/>
  <c r="D447"/>
  <c r="E447"/>
  <c r="A398"/>
  <c r="B398"/>
  <c r="C398"/>
  <c r="D398"/>
  <c r="E398"/>
  <c r="F398"/>
  <c r="A399"/>
  <c r="B399"/>
  <c r="C399"/>
  <c r="D399"/>
  <c r="E399"/>
  <c r="F399"/>
  <c r="A400"/>
  <c r="B400"/>
  <c r="C400"/>
  <c r="D400"/>
  <c r="E400"/>
  <c r="F400"/>
  <c r="A401"/>
  <c r="B401"/>
  <c r="C401"/>
  <c r="D401"/>
  <c r="E401"/>
  <c r="F401"/>
  <c r="A402"/>
  <c r="B402"/>
  <c r="C402"/>
  <c r="D402"/>
  <c r="E402"/>
  <c r="F402"/>
  <c r="A403"/>
  <c r="B403"/>
  <c r="C403"/>
  <c r="D403"/>
  <c r="E403"/>
  <c r="A404"/>
  <c r="B404"/>
  <c r="C404"/>
  <c r="D404"/>
  <c r="E404"/>
  <c r="A405"/>
  <c r="B405"/>
  <c r="C405"/>
  <c r="E405"/>
  <c r="A406"/>
  <c r="B406"/>
  <c r="C406"/>
  <c r="D406"/>
  <c r="E406"/>
  <c r="F406"/>
  <c r="A407"/>
  <c r="B407"/>
  <c r="C407"/>
  <c r="D407"/>
  <c r="E407"/>
  <c r="A408"/>
  <c r="B408"/>
  <c r="C408"/>
  <c r="D408"/>
  <c r="E408"/>
  <c r="A392"/>
  <c r="B392"/>
  <c r="C392"/>
  <c r="D392"/>
  <c r="E392"/>
  <c r="F392"/>
  <c r="A393"/>
  <c r="B393"/>
  <c r="C393"/>
  <c r="D393"/>
  <c r="E393"/>
  <c r="A394"/>
  <c r="B394"/>
  <c r="C394"/>
  <c r="D394"/>
  <c r="E394"/>
  <c r="A395"/>
  <c r="B395"/>
  <c r="C395"/>
  <c r="D395"/>
  <c r="E395"/>
  <c r="A251"/>
  <c r="B251"/>
  <c r="C251"/>
  <c r="D251"/>
  <c r="E251"/>
  <c r="F251"/>
  <c r="A252"/>
  <c r="B252"/>
  <c r="C252"/>
  <c r="D252"/>
  <c r="E252"/>
  <c r="F252"/>
  <c r="A253"/>
  <c r="B253"/>
  <c r="C253"/>
  <c r="D253"/>
  <c r="E253"/>
  <c r="F253"/>
  <c r="A254"/>
  <c r="B254"/>
  <c r="C254"/>
  <c r="D254"/>
  <c r="E254"/>
  <c r="F254"/>
  <c r="A255"/>
  <c r="B255"/>
  <c r="C255"/>
  <c r="D255"/>
  <c r="E255"/>
  <c r="F255"/>
  <c r="A256"/>
  <c r="B256"/>
  <c r="C256"/>
  <c r="D256"/>
  <c r="E256"/>
  <c r="F256"/>
  <c r="A257"/>
  <c r="B257"/>
  <c r="C257"/>
  <c r="D257"/>
  <c r="E257"/>
  <c r="A258"/>
  <c r="B258"/>
  <c r="C258"/>
  <c r="D258"/>
  <c r="E258"/>
  <c r="A259"/>
  <c r="B259"/>
  <c r="C259"/>
  <c r="D259"/>
  <c r="E259"/>
  <c r="A260"/>
  <c r="B260"/>
  <c r="C260"/>
  <c r="E260"/>
  <c r="A261"/>
  <c r="B261"/>
  <c r="C261"/>
  <c r="D261"/>
  <c r="E261"/>
  <c r="A262"/>
  <c r="B262"/>
  <c r="C262"/>
  <c r="D262"/>
  <c r="E262"/>
  <c r="F262"/>
  <c r="A263"/>
  <c r="B263"/>
  <c r="C263"/>
  <c r="D263"/>
  <c r="E263"/>
  <c r="A264"/>
  <c r="B264"/>
  <c r="C264"/>
  <c r="E264"/>
  <c r="A265"/>
  <c r="B265"/>
  <c r="C265"/>
  <c r="D265"/>
  <c r="E265"/>
  <c r="A266"/>
  <c r="B266"/>
  <c r="C266"/>
  <c r="E266"/>
  <c r="A267"/>
  <c r="B267"/>
  <c r="C267"/>
  <c r="E267"/>
  <c r="A268"/>
  <c r="B268"/>
  <c r="C268"/>
  <c r="E268"/>
  <c r="A269"/>
  <c r="B269"/>
  <c r="C269"/>
  <c r="E269"/>
  <c r="A270"/>
  <c r="B270"/>
  <c r="C270"/>
  <c r="E270"/>
  <c r="A271"/>
  <c r="B271"/>
  <c r="C271"/>
  <c r="D271"/>
  <c r="E271"/>
  <c r="A272"/>
  <c r="B272"/>
  <c r="C272"/>
  <c r="D272"/>
  <c r="E272"/>
  <c r="F272"/>
  <c r="A273"/>
  <c r="B273"/>
  <c r="C273"/>
  <c r="D273"/>
  <c r="E273"/>
  <c r="A274"/>
  <c r="B274"/>
  <c r="C274"/>
  <c r="D274"/>
  <c r="E274"/>
  <c r="A275"/>
  <c r="B275"/>
  <c r="C275"/>
  <c r="D275"/>
  <c r="E275"/>
  <c r="F275"/>
  <c r="A276"/>
  <c r="B276"/>
  <c r="C276"/>
  <c r="E276"/>
  <c r="F276"/>
  <c r="A277"/>
  <c r="B277"/>
  <c r="C277"/>
  <c r="D277"/>
  <c r="E277"/>
  <c r="F277"/>
  <c r="A278"/>
  <c r="B278"/>
  <c r="C278"/>
  <c r="D278"/>
  <c r="E278"/>
  <c r="F278"/>
  <c r="A279"/>
  <c r="B279"/>
  <c r="C279"/>
  <c r="D279"/>
  <c r="E279"/>
  <c r="F279"/>
  <c r="A280"/>
  <c r="B280"/>
  <c r="C280"/>
  <c r="D280"/>
  <c r="E280"/>
  <c r="A281"/>
  <c r="B281"/>
  <c r="C281"/>
  <c r="D281"/>
  <c r="E281"/>
  <c r="A282"/>
  <c r="B282"/>
  <c r="C282"/>
  <c r="D282"/>
  <c r="E282"/>
  <c r="A283"/>
  <c r="B283"/>
  <c r="C283"/>
  <c r="D283"/>
  <c r="E283"/>
  <c r="A284"/>
  <c r="B284"/>
  <c r="C284"/>
  <c r="D284"/>
  <c r="E284"/>
  <c r="F284"/>
  <c r="A285"/>
  <c r="B285"/>
  <c r="C285"/>
  <c r="D285"/>
  <c r="E285"/>
  <c r="A286"/>
  <c r="B286"/>
  <c r="E286"/>
  <c r="A287"/>
  <c r="B287"/>
  <c r="C287"/>
  <c r="D287"/>
  <c r="E287"/>
  <c r="A288"/>
  <c r="B288"/>
  <c r="C288"/>
  <c r="D288"/>
  <c r="E288"/>
  <c r="F288"/>
  <c r="A289"/>
  <c r="B289"/>
  <c r="C289"/>
  <c r="D289"/>
  <c r="E289"/>
  <c r="F289"/>
  <c r="A290"/>
  <c r="B290"/>
  <c r="C290"/>
  <c r="D290"/>
  <c r="E290"/>
  <c r="F290"/>
  <c r="A291"/>
  <c r="B291"/>
  <c r="C291"/>
  <c r="D291"/>
  <c r="E291"/>
  <c r="F291"/>
  <c r="A292"/>
  <c r="B292"/>
  <c r="C292"/>
  <c r="D292"/>
  <c r="E292"/>
  <c r="F292"/>
  <c r="A293"/>
  <c r="B293"/>
  <c r="C293"/>
  <c r="D293"/>
  <c r="E293"/>
  <c r="A294"/>
  <c r="B294"/>
  <c r="C294"/>
  <c r="D294"/>
  <c r="E294"/>
  <c r="A295"/>
  <c r="B295"/>
  <c r="C295"/>
  <c r="D295"/>
  <c r="E295"/>
  <c r="A296"/>
  <c r="B296"/>
  <c r="C296"/>
  <c r="D296"/>
  <c r="E296"/>
  <c r="F296"/>
  <c r="A297"/>
  <c r="B297"/>
  <c r="C297"/>
  <c r="D297"/>
  <c r="E297"/>
  <c r="A298"/>
  <c r="B298"/>
  <c r="C298"/>
  <c r="D298"/>
  <c r="E298"/>
  <c r="A299"/>
  <c r="B299"/>
  <c r="C299"/>
  <c r="D299"/>
  <c r="E299"/>
  <c r="F299"/>
  <c r="A300"/>
  <c r="B300"/>
  <c r="C300"/>
  <c r="D300"/>
  <c r="E300"/>
  <c r="F300"/>
  <c r="A301"/>
  <c r="B301"/>
  <c r="C301"/>
  <c r="D301"/>
  <c r="E301"/>
  <c r="F301"/>
  <c r="A302"/>
  <c r="B302"/>
  <c r="C302"/>
  <c r="D302"/>
  <c r="E302"/>
  <c r="F302"/>
  <c r="A303"/>
  <c r="B303"/>
  <c r="C303"/>
  <c r="D303"/>
  <c r="E303"/>
  <c r="F303"/>
  <c r="A304"/>
  <c r="B304"/>
  <c r="C304"/>
  <c r="D304"/>
  <c r="E304"/>
  <c r="A305"/>
  <c r="B305"/>
  <c r="C305"/>
  <c r="D305"/>
  <c r="E305"/>
  <c r="A306"/>
  <c r="B306"/>
  <c r="C306"/>
  <c r="D306"/>
  <c r="E306"/>
  <c r="A307"/>
  <c r="B307"/>
  <c r="C307"/>
  <c r="D307"/>
  <c r="E307"/>
  <c r="A308"/>
  <c r="B308"/>
  <c r="C308"/>
  <c r="D308"/>
  <c r="E308"/>
  <c r="A309"/>
  <c r="B309"/>
  <c r="C309"/>
  <c r="D309"/>
  <c r="E309"/>
  <c r="A310"/>
  <c r="B310"/>
  <c r="C310"/>
  <c r="D310"/>
  <c r="E310"/>
  <c r="A311"/>
  <c r="B311"/>
  <c r="C311"/>
  <c r="D311"/>
  <c r="E311"/>
  <c r="F311"/>
  <c r="A312"/>
  <c r="B312"/>
  <c r="C312"/>
  <c r="D312"/>
  <c r="E312"/>
  <c r="A313"/>
  <c r="B313"/>
  <c r="C313"/>
  <c r="D313"/>
  <c r="E313"/>
  <c r="A314"/>
  <c r="B314"/>
  <c r="C314"/>
  <c r="D314"/>
  <c r="E314"/>
  <c r="F314"/>
  <c r="A315"/>
  <c r="B315"/>
  <c r="C315"/>
  <c r="D315"/>
  <c r="E315"/>
  <c r="F315"/>
  <c r="A316"/>
  <c r="B316"/>
  <c r="C316"/>
  <c r="D316"/>
  <c r="E316"/>
  <c r="F316"/>
  <c r="A317"/>
  <c r="B317"/>
  <c r="C317"/>
  <c r="D317"/>
  <c r="E317"/>
  <c r="F317"/>
  <c r="A318"/>
  <c r="B318"/>
  <c r="C318"/>
  <c r="D318"/>
  <c r="E318"/>
  <c r="F318"/>
  <c r="A319"/>
  <c r="B319"/>
  <c r="E319"/>
  <c r="A320"/>
  <c r="B320"/>
  <c r="E320"/>
  <c r="A321"/>
  <c r="B321"/>
  <c r="E321"/>
  <c r="A322"/>
  <c r="B322"/>
  <c r="E322"/>
  <c r="A323"/>
  <c r="B323"/>
  <c r="E323"/>
  <c r="A324"/>
  <c r="B324"/>
  <c r="E324"/>
  <c r="A325"/>
  <c r="B325"/>
  <c r="E325"/>
  <c r="A326"/>
  <c r="B326"/>
  <c r="C326"/>
  <c r="D326"/>
  <c r="E326"/>
  <c r="A327"/>
  <c r="B327"/>
  <c r="E327"/>
  <c r="A328"/>
  <c r="B328"/>
  <c r="C328"/>
  <c r="E328"/>
  <c r="A329"/>
  <c r="B329"/>
  <c r="E329"/>
  <c r="A330"/>
  <c r="B330"/>
  <c r="C330"/>
  <c r="E330"/>
  <c r="A331"/>
  <c r="B331"/>
  <c r="E331"/>
  <c r="A332"/>
  <c r="B332"/>
  <c r="C332"/>
  <c r="D332"/>
  <c r="E332"/>
  <c r="A333"/>
  <c r="B333"/>
  <c r="C333"/>
  <c r="D333"/>
  <c r="E333"/>
  <c r="F333"/>
  <c r="A334"/>
  <c r="B334"/>
  <c r="C334"/>
  <c r="D334"/>
  <c r="E334"/>
  <c r="A335"/>
  <c r="B335"/>
  <c r="C335"/>
  <c r="D335"/>
  <c r="E335"/>
  <c r="A336"/>
  <c r="B336"/>
  <c r="C336"/>
  <c r="D336"/>
  <c r="E336"/>
  <c r="F336"/>
  <c r="A337"/>
  <c r="B337"/>
  <c r="C337"/>
  <c r="E337"/>
  <c r="F337"/>
  <c r="A338"/>
  <c r="B338"/>
  <c r="C338"/>
  <c r="D338"/>
  <c r="E338"/>
  <c r="F338"/>
  <c r="A339"/>
  <c r="B339"/>
  <c r="C339"/>
  <c r="D339"/>
  <c r="E339"/>
  <c r="A340"/>
  <c r="B340"/>
  <c r="C340"/>
  <c r="D340"/>
  <c r="E340"/>
  <c r="F340"/>
  <c r="A341"/>
  <c r="B341"/>
  <c r="C341"/>
  <c r="D341"/>
  <c r="E341"/>
  <c r="F341"/>
  <c r="A342"/>
  <c r="B342"/>
  <c r="C342"/>
  <c r="D342"/>
  <c r="E342"/>
  <c r="F342"/>
  <c r="A343"/>
  <c r="B343"/>
  <c r="C343"/>
  <c r="D343"/>
  <c r="E343"/>
  <c r="F343"/>
  <c r="A344"/>
  <c r="B344"/>
  <c r="C344"/>
  <c r="E344"/>
  <c r="A345"/>
  <c r="B345"/>
  <c r="C345"/>
  <c r="E345"/>
  <c r="A346"/>
  <c r="B346"/>
  <c r="C346"/>
  <c r="E346"/>
  <c r="A347"/>
  <c r="B347"/>
  <c r="C347"/>
  <c r="E347"/>
  <c r="A348"/>
  <c r="B348"/>
  <c r="C348"/>
  <c r="E348"/>
  <c r="A349"/>
  <c r="B349"/>
  <c r="C349"/>
  <c r="E349"/>
  <c r="A350"/>
  <c r="B350"/>
  <c r="C350"/>
  <c r="E350"/>
  <c r="A351"/>
  <c r="B351"/>
  <c r="C351"/>
  <c r="E351"/>
  <c r="A352"/>
  <c r="B352"/>
  <c r="C352"/>
  <c r="E352"/>
  <c r="A353"/>
  <c r="B353"/>
  <c r="C353"/>
  <c r="E353"/>
  <c r="A354"/>
  <c r="B354"/>
  <c r="C354"/>
  <c r="E354"/>
  <c r="A355"/>
  <c r="B355"/>
  <c r="C355"/>
  <c r="D355"/>
  <c r="E355"/>
  <c r="A356"/>
  <c r="B356"/>
  <c r="C356"/>
  <c r="D356"/>
  <c r="E356"/>
  <c r="F356"/>
  <c r="A357"/>
  <c r="B357"/>
  <c r="C357"/>
  <c r="D357"/>
  <c r="E357"/>
  <c r="A358"/>
  <c r="B358"/>
  <c r="C358"/>
  <c r="D358"/>
  <c r="E358"/>
  <c r="A359"/>
  <c r="B359"/>
  <c r="C359"/>
  <c r="D359"/>
  <c r="E359"/>
  <c r="F359"/>
  <c r="A360"/>
  <c r="B360"/>
  <c r="C360"/>
  <c r="D360"/>
  <c r="E360"/>
  <c r="F360"/>
  <c r="A361"/>
  <c r="B361"/>
  <c r="C361"/>
  <c r="D361"/>
  <c r="E361"/>
  <c r="F361"/>
  <c r="A362"/>
  <c r="B362"/>
  <c r="C362"/>
  <c r="D362"/>
  <c r="E362"/>
  <c r="F362"/>
  <c r="A363"/>
  <c r="B363"/>
  <c r="C363"/>
  <c r="D363"/>
  <c r="E363"/>
  <c r="F363"/>
  <c r="A364"/>
  <c r="B364"/>
  <c r="C364"/>
  <c r="E364"/>
  <c r="A365"/>
  <c r="B365"/>
  <c r="C365"/>
  <c r="E365"/>
  <c r="A366"/>
  <c r="B366"/>
  <c r="C366"/>
  <c r="E366"/>
  <c r="A367"/>
  <c r="B367"/>
  <c r="C367"/>
  <c r="E367"/>
  <c r="A368"/>
  <c r="B368"/>
  <c r="C368"/>
  <c r="E368"/>
  <c r="A369"/>
  <c r="B369"/>
  <c r="C369"/>
  <c r="E369"/>
  <c r="A370"/>
  <c r="B370"/>
  <c r="C370"/>
  <c r="E370"/>
  <c r="A371"/>
  <c r="B371"/>
  <c r="C371"/>
  <c r="E371"/>
  <c r="A372"/>
  <c r="B372"/>
  <c r="C372"/>
  <c r="E372"/>
  <c r="A373"/>
  <c r="B373"/>
  <c r="C373"/>
  <c r="E373"/>
  <c r="A374"/>
  <c r="B374"/>
  <c r="C374"/>
  <c r="E374"/>
  <c r="A375"/>
  <c r="B375"/>
  <c r="C375"/>
  <c r="D375"/>
  <c r="E375"/>
  <c r="A376"/>
  <c r="B376"/>
  <c r="C376"/>
  <c r="D376"/>
  <c r="E376"/>
  <c r="F376"/>
  <c r="A377"/>
  <c r="B377"/>
  <c r="C377"/>
  <c r="D377"/>
  <c r="E377"/>
  <c r="A378"/>
  <c r="B378"/>
  <c r="C378"/>
  <c r="D378"/>
  <c r="E378"/>
  <c r="A379"/>
  <c r="B379"/>
  <c r="C379"/>
  <c r="D379"/>
  <c r="E379"/>
  <c r="F379"/>
  <c r="A380"/>
  <c r="B380"/>
  <c r="C380"/>
  <c r="D380"/>
  <c r="E380"/>
  <c r="F380"/>
  <c r="A381"/>
  <c r="B381"/>
  <c r="C381"/>
  <c r="D381"/>
  <c r="E381"/>
  <c r="F381"/>
  <c r="A382"/>
  <c r="B382"/>
  <c r="C382"/>
  <c r="D382"/>
  <c r="E382"/>
  <c r="F382"/>
  <c r="A383"/>
  <c r="B383"/>
  <c r="C383"/>
  <c r="D383"/>
  <c r="E383"/>
  <c r="F383"/>
  <c r="A384"/>
  <c r="B384"/>
  <c r="C384"/>
  <c r="D384"/>
  <c r="E384"/>
  <c r="F384"/>
  <c r="A385"/>
  <c r="B385"/>
  <c r="C385"/>
  <c r="E385"/>
  <c r="A386"/>
  <c r="B386"/>
  <c r="C386"/>
  <c r="E386"/>
  <c r="A387"/>
  <c r="B387"/>
  <c r="E387"/>
  <c r="A388"/>
  <c r="B388"/>
  <c r="C388"/>
  <c r="D388"/>
  <c r="E388"/>
  <c r="A389"/>
  <c r="B389"/>
  <c r="C389"/>
  <c r="D389"/>
  <c r="E389"/>
  <c r="F389"/>
  <c r="A390"/>
  <c r="B390"/>
  <c r="C390"/>
  <c r="D390"/>
  <c r="E390"/>
  <c r="A232"/>
  <c r="B232"/>
  <c r="C232"/>
  <c r="D232"/>
  <c r="E232"/>
  <c r="F232"/>
  <c r="A233"/>
  <c r="B233"/>
  <c r="C233"/>
  <c r="F233"/>
  <c r="A234"/>
  <c r="B234"/>
  <c r="C234"/>
  <c r="D234"/>
  <c r="E234"/>
  <c r="F234"/>
  <c r="A235"/>
  <c r="B235"/>
  <c r="C235"/>
  <c r="D235"/>
  <c r="E235"/>
  <c r="F235"/>
  <c r="A236"/>
  <c r="B236"/>
  <c r="D236"/>
  <c r="E236"/>
  <c r="F236"/>
  <c r="A237"/>
  <c r="B237"/>
  <c r="C237"/>
  <c r="D237"/>
  <c r="E237"/>
  <c r="A238"/>
  <c r="B238"/>
  <c r="C238"/>
  <c r="D238"/>
  <c r="E238"/>
  <c r="F238"/>
  <c r="A239"/>
  <c r="B239"/>
  <c r="C239"/>
  <c r="D239"/>
  <c r="E239"/>
  <c r="F239"/>
  <c r="A240"/>
  <c r="B240"/>
  <c r="C240"/>
  <c r="E240"/>
  <c r="A241"/>
  <c r="B241"/>
  <c r="C241"/>
  <c r="D241"/>
  <c r="E241"/>
  <c r="F241"/>
  <c r="A242"/>
  <c r="B242"/>
  <c r="C242"/>
  <c r="D242"/>
  <c r="E242"/>
  <c r="A243"/>
  <c r="B243"/>
  <c r="C243"/>
  <c r="D243"/>
  <c r="E243"/>
  <c r="F243"/>
  <c r="A244"/>
  <c r="B244"/>
  <c r="C244"/>
  <c r="E244"/>
  <c r="A245"/>
  <c r="B245"/>
  <c r="C245"/>
  <c r="E245"/>
  <c r="A246"/>
  <c r="B246"/>
  <c r="C246"/>
  <c r="E246"/>
  <c r="A247"/>
  <c r="B247"/>
  <c r="C247"/>
  <c r="D247"/>
  <c r="E247"/>
  <c r="F247"/>
  <c r="A248"/>
  <c r="B248"/>
  <c r="C248"/>
  <c r="D248"/>
  <c r="E248"/>
  <c r="A249"/>
  <c r="B249"/>
  <c r="C249"/>
  <c r="D249"/>
  <c r="E249"/>
  <c r="A250"/>
  <c r="B250"/>
  <c r="C250"/>
  <c r="D250"/>
  <c r="E250"/>
  <c r="B230"/>
  <c r="C230"/>
  <c r="D230"/>
  <c r="E230"/>
  <c r="A213"/>
  <c r="B213"/>
  <c r="C213"/>
  <c r="D213"/>
  <c r="E213"/>
  <c r="F213"/>
  <c r="A214"/>
  <c r="B214"/>
  <c r="D214"/>
  <c r="E214"/>
  <c r="F214"/>
  <c r="A215"/>
  <c r="B215"/>
  <c r="C215"/>
  <c r="E215"/>
  <c r="A216"/>
  <c r="B216"/>
  <c r="C216"/>
  <c r="E216"/>
  <c r="A217"/>
  <c r="B217"/>
  <c r="C217"/>
  <c r="E217"/>
  <c r="A218"/>
  <c r="B218"/>
  <c r="C218"/>
  <c r="E218"/>
  <c r="A219"/>
  <c r="B219"/>
  <c r="C219"/>
  <c r="E219"/>
  <c r="A220"/>
  <c r="B220"/>
  <c r="C220"/>
  <c r="E220"/>
  <c r="A221"/>
  <c r="B221"/>
  <c r="C221"/>
  <c r="E221"/>
  <c r="A222"/>
  <c r="B222"/>
  <c r="C222"/>
  <c r="E222"/>
  <c r="A223"/>
  <c r="B223"/>
  <c r="C223"/>
  <c r="E223"/>
  <c r="A224"/>
  <c r="B224"/>
  <c r="C224"/>
  <c r="E224"/>
  <c r="A225"/>
  <c r="B225"/>
  <c r="C225"/>
  <c r="E225"/>
  <c r="A226"/>
  <c r="B226"/>
  <c r="C226"/>
  <c r="D226"/>
  <c r="E226"/>
  <c r="A227"/>
  <c r="B227"/>
  <c r="C227"/>
  <c r="D227"/>
  <c r="E227"/>
  <c r="A228"/>
  <c r="B228"/>
  <c r="C228"/>
  <c r="D228"/>
  <c r="E228"/>
  <c r="A229"/>
  <c r="B229"/>
  <c r="C229"/>
  <c r="D229"/>
  <c r="E229"/>
  <c r="A181"/>
  <c r="B181"/>
  <c r="C181"/>
  <c r="D181"/>
  <c r="E181"/>
  <c r="F181"/>
  <c r="A182"/>
  <c r="B182"/>
  <c r="C182"/>
  <c r="D182"/>
  <c r="E182"/>
  <c r="F182"/>
  <c r="A183"/>
  <c r="B183"/>
  <c r="C183"/>
  <c r="D183"/>
  <c r="E183"/>
  <c r="F183"/>
  <c r="A184"/>
  <c r="D184"/>
  <c r="E184"/>
  <c r="F184"/>
  <c r="A185"/>
  <c r="D185"/>
  <c r="E185"/>
  <c r="F185"/>
  <c r="A186"/>
  <c r="D186"/>
  <c r="E186"/>
  <c r="F186"/>
  <c r="A187"/>
  <c r="B187"/>
  <c r="D187"/>
  <c r="E187"/>
  <c r="F187"/>
  <c r="A188"/>
  <c r="B188"/>
  <c r="C188"/>
  <c r="E188"/>
  <c r="F188"/>
  <c r="A189"/>
  <c r="B189"/>
  <c r="C189"/>
  <c r="D189"/>
  <c r="E189"/>
  <c r="F189"/>
  <c r="A190"/>
  <c r="B190"/>
  <c r="C190"/>
  <c r="D190"/>
  <c r="E190"/>
  <c r="F190"/>
  <c r="A191"/>
  <c r="D191"/>
  <c r="E191"/>
  <c r="F191"/>
  <c r="A192"/>
  <c r="D192"/>
  <c r="E192"/>
  <c r="F192"/>
  <c r="A193"/>
  <c r="B193"/>
  <c r="C193"/>
  <c r="E193"/>
  <c r="F193"/>
  <c r="A194"/>
  <c r="B194"/>
  <c r="C194"/>
  <c r="D194"/>
  <c r="E194"/>
  <c r="F194"/>
  <c r="A195"/>
  <c r="B195"/>
  <c r="C195"/>
  <c r="D195"/>
  <c r="E195"/>
  <c r="F195"/>
  <c r="B196"/>
  <c r="C196"/>
  <c r="E196"/>
  <c r="B197"/>
  <c r="C197"/>
  <c r="E197"/>
  <c r="B198"/>
  <c r="C198"/>
  <c r="E198"/>
  <c r="A199"/>
  <c r="B199"/>
  <c r="C199"/>
  <c r="E199"/>
  <c r="A200"/>
  <c r="B200"/>
  <c r="C200"/>
  <c r="E200"/>
  <c r="A201"/>
  <c r="B201"/>
  <c r="C201"/>
  <c r="E201"/>
  <c r="A202"/>
  <c r="B202"/>
  <c r="C202"/>
  <c r="E202"/>
  <c r="A203"/>
  <c r="B203"/>
  <c r="C203"/>
  <c r="E203"/>
  <c r="A204"/>
  <c r="B204"/>
  <c r="C204"/>
  <c r="E204"/>
  <c r="A205"/>
  <c r="B205"/>
  <c r="C205"/>
  <c r="E205"/>
  <c r="A206"/>
  <c r="B206"/>
  <c r="C206"/>
  <c r="E206"/>
  <c r="A207"/>
  <c r="B207"/>
  <c r="C207"/>
  <c r="D207"/>
  <c r="E207"/>
  <c r="F207"/>
  <c r="A208"/>
  <c r="B208"/>
  <c r="C208"/>
  <c r="D208"/>
  <c r="E208"/>
  <c r="A209"/>
  <c r="B209"/>
  <c r="C209"/>
  <c r="D209"/>
  <c r="E209"/>
  <c r="F209"/>
  <c r="A210"/>
  <c r="B210"/>
  <c r="C210"/>
  <c r="D210"/>
  <c r="E210"/>
  <c r="A211"/>
  <c r="B211"/>
  <c r="C211"/>
  <c r="D211"/>
  <c r="E211"/>
  <c r="F211"/>
  <c r="A161"/>
  <c r="A151"/>
  <c r="B151"/>
  <c r="C151"/>
  <c r="F151"/>
  <c r="A152"/>
  <c r="B152"/>
  <c r="C152"/>
  <c r="D152"/>
  <c r="E152"/>
  <c r="F152"/>
  <c r="A153"/>
  <c r="E153"/>
  <c r="F153"/>
  <c r="A154"/>
  <c r="D154"/>
  <c r="E154"/>
  <c r="F154"/>
  <c r="A155"/>
  <c r="E155"/>
  <c r="F155"/>
  <c r="A156"/>
  <c r="B156"/>
  <c r="E156"/>
  <c r="F156"/>
  <c r="A157"/>
  <c r="B157"/>
  <c r="C157"/>
  <c r="E157"/>
  <c r="F157"/>
  <c r="A158"/>
  <c r="B158"/>
  <c r="C158"/>
  <c r="D158"/>
  <c r="E158"/>
  <c r="F158"/>
  <c r="A159"/>
  <c r="B159"/>
  <c r="C159"/>
  <c r="D159"/>
  <c r="E159"/>
  <c r="F159"/>
  <c r="A160"/>
  <c r="E160"/>
  <c r="F160"/>
  <c r="E161"/>
  <c r="F161"/>
  <c r="A162"/>
  <c r="B162"/>
  <c r="C162"/>
  <c r="E162"/>
  <c r="F162"/>
  <c r="A163"/>
  <c r="B163"/>
  <c r="C163"/>
  <c r="D163"/>
  <c r="E163"/>
  <c r="F163"/>
  <c r="A164"/>
  <c r="B164"/>
  <c r="C164"/>
  <c r="D164"/>
  <c r="E164"/>
  <c r="F164"/>
  <c r="B165"/>
  <c r="C165"/>
  <c r="E165"/>
  <c r="B166"/>
  <c r="C166"/>
  <c r="E166"/>
  <c r="B167"/>
  <c r="C167"/>
  <c r="E167"/>
  <c r="B168"/>
  <c r="C168"/>
  <c r="E168"/>
  <c r="A169"/>
  <c r="B169"/>
  <c r="C169"/>
  <c r="D169"/>
  <c r="E169"/>
  <c r="A170"/>
  <c r="B170"/>
  <c r="C170"/>
  <c r="D170"/>
  <c r="E170"/>
  <c r="A171"/>
  <c r="B171"/>
  <c r="C171"/>
  <c r="D171"/>
  <c r="E171"/>
  <c r="A172"/>
  <c r="B172"/>
  <c r="C172"/>
  <c r="D172"/>
  <c r="E172"/>
  <c r="A173"/>
  <c r="B173"/>
  <c r="C173"/>
  <c r="D173"/>
  <c r="E173"/>
  <c r="A174"/>
  <c r="B174"/>
  <c r="C174"/>
  <c r="E174"/>
  <c r="A175"/>
  <c r="B175"/>
  <c r="C175"/>
  <c r="E175"/>
  <c r="A176"/>
  <c r="B176"/>
  <c r="C176"/>
  <c r="E176"/>
  <c r="A177"/>
  <c r="B177"/>
  <c r="C177"/>
  <c r="D177"/>
  <c r="E177"/>
  <c r="A178"/>
  <c r="B178"/>
  <c r="C178"/>
  <c r="D178"/>
  <c r="E178"/>
  <c r="F178"/>
  <c r="A179"/>
  <c r="B179"/>
  <c r="C179"/>
  <c r="D179"/>
  <c r="E179"/>
  <c r="A142"/>
  <c r="B142"/>
  <c r="C142"/>
  <c r="D142"/>
  <c r="E142"/>
  <c r="F142"/>
  <c r="A143"/>
  <c r="B143"/>
  <c r="C143"/>
  <c r="D143"/>
  <c r="E143"/>
  <c r="F143"/>
  <c r="A144"/>
  <c r="B144"/>
  <c r="D144"/>
  <c r="E144"/>
  <c r="F144"/>
  <c r="A145"/>
  <c r="B145"/>
  <c r="C145"/>
  <c r="E145"/>
  <c r="A146"/>
  <c r="B146"/>
  <c r="C146"/>
  <c r="E146"/>
  <c r="A147"/>
  <c r="B147"/>
  <c r="C147"/>
  <c r="D147"/>
  <c r="E147"/>
  <c r="F147"/>
  <c r="A148"/>
  <c r="B148"/>
  <c r="C148"/>
  <c r="D148"/>
  <c r="E148"/>
  <c r="A149"/>
  <c r="B149"/>
  <c r="C149"/>
  <c r="D149"/>
  <c r="E149"/>
  <c r="A121"/>
  <c r="B121"/>
  <c r="C121"/>
  <c r="D121"/>
  <c r="E121"/>
  <c r="F121"/>
  <c r="A122"/>
  <c r="B122"/>
  <c r="C122"/>
  <c r="E122"/>
  <c r="A123"/>
  <c r="B123"/>
  <c r="C123"/>
  <c r="E123"/>
  <c r="A124"/>
  <c r="B124"/>
  <c r="C124"/>
  <c r="E124"/>
  <c r="A125"/>
  <c r="B125"/>
  <c r="C125"/>
  <c r="E125"/>
  <c r="B126"/>
  <c r="C126"/>
  <c r="E126"/>
  <c r="A127"/>
  <c r="B127"/>
  <c r="C127"/>
  <c r="A128"/>
  <c r="B128"/>
  <c r="C128"/>
  <c r="E128"/>
  <c r="A129"/>
  <c r="B129"/>
  <c r="C129"/>
  <c r="E129"/>
  <c r="A130"/>
  <c r="B130"/>
  <c r="C130"/>
  <c r="E130"/>
  <c r="A131"/>
  <c r="B131"/>
  <c r="C131"/>
  <c r="E131"/>
  <c r="A132"/>
  <c r="B132"/>
  <c r="C132"/>
  <c r="E132"/>
  <c r="A133"/>
  <c r="B133"/>
  <c r="C133"/>
  <c r="E133"/>
  <c r="A134"/>
  <c r="B134"/>
  <c r="C134"/>
  <c r="E134"/>
  <c r="A135"/>
  <c r="B135"/>
  <c r="C135"/>
  <c r="D135"/>
  <c r="E135"/>
  <c r="A136"/>
  <c r="B136"/>
  <c r="C136"/>
  <c r="D136"/>
  <c r="E136"/>
  <c r="A137"/>
  <c r="B137"/>
  <c r="C137"/>
  <c r="D137"/>
  <c r="E137"/>
  <c r="A138"/>
  <c r="B138"/>
  <c r="C138"/>
  <c r="D138"/>
  <c r="E138"/>
  <c r="A139"/>
  <c r="B139"/>
  <c r="C139"/>
  <c r="D139"/>
  <c r="E139"/>
  <c r="A140"/>
  <c r="B140"/>
  <c r="C140"/>
  <c r="D140"/>
  <c r="E140"/>
  <c r="A107"/>
  <c r="B107"/>
  <c r="C107"/>
  <c r="D107"/>
  <c r="E107"/>
  <c r="F107"/>
  <c r="A108"/>
  <c r="B108"/>
  <c r="D108"/>
  <c r="E108"/>
  <c r="F108"/>
  <c r="A109"/>
  <c r="B109"/>
  <c r="C109"/>
  <c r="E109"/>
  <c r="A110"/>
  <c r="B110"/>
  <c r="C110"/>
  <c r="E110"/>
  <c r="A111"/>
  <c r="B111"/>
  <c r="C111"/>
  <c r="E111"/>
  <c r="A112"/>
  <c r="B112"/>
  <c r="C112"/>
  <c r="E112"/>
  <c r="F112"/>
  <c r="A113"/>
  <c r="B113"/>
  <c r="C113"/>
  <c r="D113"/>
  <c r="E113"/>
  <c r="A114"/>
  <c r="B114"/>
  <c r="C114"/>
  <c r="D114"/>
  <c r="E114"/>
  <c r="A115"/>
  <c r="B115"/>
  <c r="C115"/>
  <c r="D115"/>
  <c r="E115"/>
  <c r="A116"/>
  <c r="B116"/>
  <c r="C116"/>
  <c r="D116"/>
  <c r="E116"/>
  <c r="A117"/>
  <c r="B117"/>
  <c r="C117"/>
  <c r="D117"/>
  <c r="E117"/>
  <c r="A118"/>
  <c r="B118"/>
  <c r="C118"/>
  <c r="A119"/>
  <c r="B119"/>
  <c r="C119"/>
  <c r="A91"/>
  <c r="B91"/>
  <c r="C91"/>
  <c r="D91"/>
  <c r="E91"/>
  <c r="F91"/>
  <c r="A92"/>
  <c r="B92"/>
  <c r="C92"/>
  <c r="A93"/>
  <c r="B93"/>
  <c r="D93"/>
  <c r="E93"/>
  <c r="F93"/>
  <c r="A94"/>
  <c r="B94"/>
  <c r="C94"/>
  <c r="E94"/>
  <c r="A95"/>
  <c r="B95"/>
  <c r="C95"/>
  <c r="E95"/>
  <c r="A96"/>
  <c r="B96"/>
  <c r="C96"/>
  <c r="E96"/>
  <c r="A97"/>
  <c r="B97"/>
  <c r="C97"/>
  <c r="D97"/>
  <c r="E97"/>
  <c r="F97"/>
  <c r="A98"/>
  <c r="B98"/>
  <c r="C98"/>
  <c r="D98"/>
  <c r="E98"/>
  <c r="A99"/>
  <c r="B99"/>
  <c r="C99"/>
  <c r="D99"/>
  <c r="E99"/>
  <c r="A100"/>
  <c r="B100"/>
  <c r="C100"/>
  <c r="D100"/>
  <c r="E100"/>
  <c r="A101"/>
  <c r="B101"/>
  <c r="C101"/>
  <c r="D101"/>
  <c r="E101"/>
  <c r="A102"/>
  <c r="B102"/>
  <c r="C102"/>
  <c r="D102"/>
  <c r="E102"/>
  <c r="A103"/>
  <c r="B103"/>
  <c r="C103"/>
  <c r="A104"/>
  <c r="B104"/>
  <c r="C104"/>
  <c r="A105"/>
  <c r="B105"/>
  <c r="C105"/>
  <c r="A55"/>
  <c r="A39"/>
  <c r="B39"/>
  <c r="C39"/>
  <c r="D39"/>
  <c r="E39"/>
  <c r="F39"/>
  <c r="A40"/>
  <c r="B40"/>
  <c r="C40"/>
  <c r="D40"/>
  <c r="E40"/>
  <c r="F40"/>
  <c r="A41"/>
  <c r="B41"/>
  <c r="C41"/>
  <c r="D41"/>
  <c r="E41"/>
  <c r="F41"/>
  <c r="A42"/>
  <c r="B42"/>
  <c r="C42"/>
  <c r="D42"/>
  <c r="E42"/>
  <c r="F42"/>
  <c r="A43"/>
  <c r="B43"/>
  <c r="C43"/>
  <c r="D43"/>
  <c r="E43"/>
  <c r="F43"/>
  <c r="A44"/>
  <c r="B44"/>
  <c r="C44"/>
  <c r="D44"/>
  <c r="E44"/>
  <c r="A45"/>
  <c r="B45"/>
  <c r="C45"/>
  <c r="D45"/>
  <c r="E45"/>
  <c r="A46"/>
  <c r="B46"/>
  <c r="C46"/>
  <c r="D46"/>
  <c r="E46"/>
  <c r="A47"/>
  <c r="B47"/>
  <c r="C47"/>
  <c r="D47"/>
  <c r="E47"/>
  <c r="F47"/>
  <c r="A48"/>
  <c r="B48"/>
  <c r="C48"/>
  <c r="D48"/>
  <c r="E48"/>
  <c r="A49"/>
  <c r="B49"/>
  <c r="C49"/>
  <c r="D49"/>
  <c r="E49"/>
  <c r="A50"/>
  <c r="B50"/>
  <c r="C50"/>
  <c r="D50"/>
  <c r="E50"/>
  <c r="F50"/>
  <c r="A51"/>
  <c r="B51"/>
  <c r="C51"/>
  <c r="D51"/>
  <c r="E51"/>
  <c r="F51"/>
  <c r="A52"/>
  <c r="B52"/>
  <c r="C52"/>
  <c r="E52"/>
  <c r="A53"/>
  <c r="B53"/>
  <c r="C53"/>
  <c r="E53"/>
  <c r="A54"/>
  <c r="B54"/>
  <c r="C54"/>
  <c r="D54"/>
  <c r="E54"/>
  <c r="I59" i="86" l="1"/>
  <c r="I60" s="1"/>
  <c r="A2" i="91"/>
  <c r="A1" i="86" s="1"/>
  <c r="A2" i="94"/>
  <c r="I35" i="86"/>
  <c r="I36" s="1"/>
  <c r="I37" s="1"/>
  <c r="F46"/>
  <c r="I46" s="1"/>
  <c r="I50" s="1"/>
  <c r="J3848" i="1"/>
  <c r="F708" i="79" s="1"/>
  <c r="D708"/>
  <c r="H42" i="87"/>
  <c r="G43" s="1"/>
  <c r="A147" i="83"/>
  <c r="J45" i="82"/>
  <c r="J42"/>
  <c r="C35"/>
  <c r="C48"/>
  <c r="H32"/>
  <c r="G33" s="1"/>
  <c r="F48" i="80"/>
  <c r="F41"/>
  <c r="I41" s="1"/>
  <c r="E13" i="79"/>
  <c r="D13"/>
  <c r="C13"/>
  <c r="B13"/>
  <c r="A13"/>
  <c r="F673"/>
  <c r="E673"/>
  <c r="D673"/>
  <c r="C673"/>
  <c r="B673"/>
  <c r="F655"/>
  <c r="E655"/>
  <c r="D655"/>
  <c r="C655"/>
  <c r="B655"/>
  <c r="A655"/>
  <c r="F635"/>
  <c r="E635"/>
  <c r="D635"/>
  <c r="C635"/>
  <c r="B635"/>
  <c r="A635"/>
  <c r="E618"/>
  <c r="D618"/>
  <c r="C618"/>
  <c r="B618"/>
  <c r="A618"/>
  <c r="F506"/>
  <c r="E506"/>
  <c r="D506"/>
  <c r="C506"/>
  <c r="B506"/>
  <c r="A506"/>
  <c r="E396"/>
  <c r="D396"/>
  <c r="C396"/>
  <c r="B396"/>
  <c r="A396"/>
  <c r="F56"/>
  <c r="E56"/>
  <c r="D56"/>
  <c r="C56"/>
  <c r="B56"/>
  <c r="A56"/>
  <c r="F55"/>
  <c r="K3" i="1"/>
  <c r="F114" i="87" l="1"/>
  <c r="H114" s="1"/>
  <c r="G115" s="1"/>
  <c r="I51" i="86"/>
  <c r="I44" i="80"/>
  <c r="H48" i="82"/>
  <c r="G49" s="1"/>
  <c r="A150" i="83"/>
  <c r="C38" i="82"/>
  <c r="C41" s="1"/>
  <c r="C44" s="1"/>
  <c r="C51"/>
  <c r="I48" i="80"/>
  <c r="F55"/>
  <c r="AE3" i="1"/>
  <c r="B3"/>
  <c r="W39"/>
  <c r="I55" i="80" l="1"/>
  <c r="F62"/>
  <c r="I62" s="1"/>
  <c r="I65" s="1"/>
  <c r="I58"/>
  <c r="I51"/>
  <c r="H51" i="82"/>
  <c r="G52" s="1"/>
  <c r="H103" i="74" l="1"/>
  <c r="G104" s="1"/>
  <c r="H99"/>
  <c r="H98"/>
  <c r="H91"/>
  <c r="G92" s="1"/>
  <c r="H87"/>
  <c r="H86"/>
  <c r="H85"/>
  <c r="H79"/>
  <c r="H68"/>
  <c r="H67"/>
  <c r="H63"/>
  <c r="H65" s="1"/>
  <c r="H58"/>
  <c r="G56"/>
  <c r="G51"/>
  <c r="H51" s="1"/>
  <c r="E50"/>
  <c r="H50" s="1"/>
  <c r="H49"/>
  <c r="H48"/>
  <c r="H47"/>
  <c r="H41"/>
  <c r="H40"/>
  <c r="H39"/>
  <c r="H35"/>
  <c r="H34"/>
  <c r="H33"/>
  <c r="H32"/>
  <c r="H31"/>
  <c r="H26"/>
  <c r="H25"/>
  <c r="G23"/>
  <c r="G20"/>
  <c r="H16"/>
  <c r="H12"/>
  <c r="H11"/>
  <c r="H10"/>
  <c r="H2042" i="73"/>
  <c r="H2041"/>
  <c r="H2040"/>
  <c r="H2036"/>
  <c r="H2035"/>
  <c r="H2034"/>
  <c r="H2033"/>
  <c r="H2027"/>
  <c r="H2026"/>
  <c r="H2022"/>
  <c r="H2021"/>
  <c r="H2020"/>
  <c r="H2016"/>
  <c r="H2015"/>
  <c r="H2014"/>
  <c r="H2013"/>
  <c r="H2008"/>
  <c r="H2007"/>
  <c r="J2006"/>
  <c r="H2006"/>
  <c r="H2005"/>
  <c r="H2004"/>
  <c r="H2003"/>
  <c r="H2002"/>
  <c r="H2001"/>
  <c r="H2000"/>
  <c r="H1999"/>
  <c r="H1998"/>
  <c r="H1992"/>
  <c r="I1994" s="1"/>
  <c r="J1994" s="1"/>
  <c r="J1987"/>
  <c r="H1987"/>
  <c r="H1986"/>
  <c r="E1985"/>
  <c r="H1985" s="1"/>
  <c r="H1984"/>
  <c r="H1983"/>
  <c r="L1982"/>
  <c r="L1983" s="1"/>
  <c r="H1982"/>
  <c r="H1981"/>
  <c r="H1980"/>
  <c r="E1979"/>
  <c r="H1979" s="1"/>
  <c r="E1978"/>
  <c r="H1978" s="1"/>
  <c r="E1977"/>
  <c r="H1977" s="1"/>
  <c r="H1976"/>
  <c r="G1975"/>
  <c r="H1975" s="1"/>
  <c r="G1974"/>
  <c r="H1974" s="1"/>
  <c r="G1973"/>
  <c r="H1973" s="1"/>
  <c r="H1972"/>
  <c r="H1971"/>
  <c r="L1970"/>
  <c r="L1971" s="1"/>
  <c r="H1970"/>
  <c r="E1969"/>
  <c r="G1968"/>
  <c r="H1968" s="1"/>
  <c r="H1967"/>
  <c r="H1966"/>
  <c r="H1965"/>
  <c r="H1964"/>
  <c r="H1963"/>
  <c r="H1962"/>
  <c r="H1961"/>
  <c r="H1960"/>
  <c r="H1959"/>
  <c r="H1958"/>
  <c r="H1957"/>
  <c r="E1956"/>
  <c r="H1956" s="1"/>
  <c r="E1955"/>
  <c r="H1955" s="1"/>
  <c r="E1954"/>
  <c r="H1954" s="1"/>
  <c r="E1953"/>
  <c r="H1953" s="1"/>
  <c r="H1952"/>
  <c r="H1951"/>
  <c r="E1950"/>
  <c r="H1950" s="1"/>
  <c r="H1949"/>
  <c r="H1948"/>
  <c r="E1947"/>
  <c r="H1947" s="1"/>
  <c r="H1946"/>
  <c r="H1945"/>
  <c r="H1944"/>
  <c r="H1943"/>
  <c r="H1942"/>
  <c r="H1941"/>
  <c r="H1940"/>
  <c r="E1939"/>
  <c r="H1939" s="1"/>
  <c r="H1938"/>
  <c r="E1937"/>
  <c r="H1937" s="1"/>
  <c r="E1936"/>
  <c r="H1936" s="1"/>
  <c r="E1935"/>
  <c r="H1935" s="1"/>
  <c r="H1934"/>
  <c r="H1933"/>
  <c r="E1932"/>
  <c r="H1932" s="1"/>
  <c r="H1931"/>
  <c r="H1930"/>
  <c r="E1929"/>
  <c r="H1929" s="1"/>
  <c r="H1928"/>
  <c r="H1927"/>
  <c r="E1926"/>
  <c r="H1926" s="1"/>
  <c r="H1925"/>
  <c r="H1924"/>
  <c r="E1923"/>
  <c r="H1923" s="1"/>
  <c r="H1922"/>
  <c r="H1921"/>
  <c r="E1920"/>
  <c r="H1920" s="1"/>
  <c r="H1917"/>
  <c r="H1912"/>
  <c r="H1911"/>
  <c r="H1910"/>
  <c r="H1909"/>
  <c r="H1908"/>
  <c r="H1907"/>
  <c r="H1906"/>
  <c r="E1905"/>
  <c r="H1905" s="1"/>
  <c r="E1904"/>
  <c r="H1904" s="1"/>
  <c r="H1903"/>
  <c r="H1902"/>
  <c r="H1901"/>
  <c r="H1900"/>
  <c r="H1899"/>
  <c r="H1898"/>
  <c r="H1897"/>
  <c r="H1896"/>
  <c r="H1895"/>
  <c r="C1894"/>
  <c r="H1894" s="1"/>
  <c r="H1893"/>
  <c r="H1892"/>
  <c r="H1891"/>
  <c r="H1890"/>
  <c r="H1889"/>
  <c r="H1888"/>
  <c r="H1887"/>
  <c r="H1886"/>
  <c r="H1885"/>
  <c r="H1884"/>
  <c r="E1883"/>
  <c r="H1883" s="1"/>
  <c r="H1882"/>
  <c r="H1881"/>
  <c r="H1880"/>
  <c r="H1879"/>
  <c r="H1878"/>
  <c r="H1877"/>
  <c r="H1876"/>
  <c r="H1875"/>
  <c r="H1874"/>
  <c r="H1873"/>
  <c r="H1872"/>
  <c r="H1871"/>
  <c r="H1870"/>
  <c r="H1869"/>
  <c r="H1868"/>
  <c r="H1867"/>
  <c r="E1866"/>
  <c r="H1866" s="1"/>
  <c r="H1865"/>
  <c r="H1864"/>
  <c r="H1863"/>
  <c r="H1862"/>
  <c r="G1861"/>
  <c r="H1861" s="1"/>
  <c r="H1860"/>
  <c r="H1859"/>
  <c r="H1858"/>
  <c r="G1857"/>
  <c r="H1857" s="1"/>
  <c r="H1856"/>
  <c r="H1855"/>
  <c r="H1854"/>
  <c r="H1853"/>
  <c r="H1852"/>
  <c r="H1851"/>
  <c r="H1850"/>
  <c r="H1849"/>
  <c r="H1848"/>
  <c r="H1847"/>
  <c r="H1846"/>
  <c r="H1845"/>
  <c r="H1844"/>
  <c r="H1843"/>
  <c r="H1842"/>
  <c r="H1841"/>
  <c r="H1840"/>
  <c r="H1839"/>
  <c r="H1838"/>
  <c r="H1837"/>
  <c r="H1836"/>
  <c r="H1835"/>
  <c r="H1834"/>
  <c r="H1833"/>
  <c r="H1832"/>
  <c r="E1831"/>
  <c r="H1831" s="1"/>
  <c r="E1830"/>
  <c r="H1830" s="1"/>
  <c r="E1829"/>
  <c r="H1829" s="1"/>
  <c r="E1828"/>
  <c r="H1828" s="1"/>
  <c r="H1827"/>
  <c r="H1826"/>
  <c r="I1825"/>
  <c r="H1825"/>
  <c r="I1824"/>
  <c r="H1824"/>
  <c r="H1823"/>
  <c r="H1822"/>
  <c r="H1821"/>
  <c r="H1820"/>
  <c r="C1819"/>
  <c r="H1819" s="1"/>
  <c r="H1818"/>
  <c r="H1817"/>
  <c r="H1816"/>
  <c r="H1815"/>
  <c r="H1814"/>
  <c r="H1813"/>
  <c r="H1812"/>
  <c r="H1811"/>
  <c r="H1810"/>
  <c r="H1809"/>
  <c r="E1808"/>
  <c r="H1808" s="1"/>
  <c r="H1807"/>
  <c r="H1806"/>
  <c r="H1805"/>
  <c r="H1804"/>
  <c r="H1803"/>
  <c r="H1802"/>
  <c r="H1801"/>
  <c r="H1800"/>
  <c r="H1799"/>
  <c r="H1798"/>
  <c r="H1797"/>
  <c r="H1796"/>
  <c r="H1795"/>
  <c r="H1794"/>
  <c r="H1793"/>
  <c r="H1792"/>
  <c r="E1791"/>
  <c r="H1791" s="1"/>
  <c r="H1790"/>
  <c r="H1789"/>
  <c r="H1788"/>
  <c r="H1787"/>
  <c r="G1786"/>
  <c r="H1786" s="1"/>
  <c r="H1785"/>
  <c r="H1784"/>
  <c r="H1783"/>
  <c r="G1782"/>
  <c r="H1782" s="1"/>
  <c r="H1781"/>
  <c r="H1780"/>
  <c r="H1779"/>
  <c r="H1778"/>
  <c r="H1777"/>
  <c r="H1776"/>
  <c r="H1775"/>
  <c r="H1774"/>
  <c r="H1773"/>
  <c r="H1772"/>
  <c r="H1771"/>
  <c r="H1770"/>
  <c r="H1769"/>
  <c r="H1768"/>
  <c r="H1767"/>
  <c r="H1766"/>
  <c r="H1765"/>
  <c r="H1764"/>
  <c r="H1763"/>
  <c r="H1762"/>
  <c r="H1761"/>
  <c r="H1760"/>
  <c r="H1759"/>
  <c r="H1758"/>
  <c r="H1757"/>
  <c r="H1756"/>
  <c r="H1755"/>
  <c r="H1754"/>
  <c r="H1753"/>
  <c r="E1752"/>
  <c r="H1752" s="1"/>
  <c r="E1751"/>
  <c r="H1751" s="1"/>
  <c r="E1750"/>
  <c r="H1750" s="1"/>
  <c r="E1749"/>
  <c r="H1749" s="1"/>
  <c r="H1748"/>
  <c r="H1747"/>
  <c r="I1746"/>
  <c r="H1746"/>
  <c r="I1745"/>
  <c r="H1745"/>
  <c r="H1744"/>
  <c r="H1743"/>
  <c r="H1742"/>
  <c r="H1741"/>
  <c r="C1740"/>
  <c r="H1740" s="1"/>
  <c r="H1739"/>
  <c r="H1738"/>
  <c r="H1737"/>
  <c r="H1736"/>
  <c r="H1735"/>
  <c r="H1734"/>
  <c r="H1733"/>
  <c r="H1732"/>
  <c r="H1731"/>
  <c r="H1730"/>
  <c r="H1729"/>
  <c r="H1728"/>
  <c r="H1727"/>
  <c r="H1726"/>
  <c r="H1725"/>
  <c r="H1724"/>
  <c r="H1723"/>
  <c r="E1722"/>
  <c r="H1722" s="1"/>
  <c r="H1721"/>
  <c r="E1720"/>
  <c r="H1720" s="1"/>
  <c r="H1719"/>
  <c r="H1718"/>
  <c r="H1717"/>
  <c r="H1716"/>
  <c r="H1715"/>
  <c r="H1714"/>
  <c r="H1713"/>
  <c r="H1712"/>
  <c r="H1711"/>
  <c r="H1709"/>
  <c r="H1708"/>
  <c r="G1707"/>
  <c r="H1707" s="1"/>
  <c r="G1706"/>
  <c r="H1706" s="1"/>
  <c r="H1705"/>
  <c r="H1704"/>
  <c r="G1703"/>
  <c r="H1703" s="1"/>
  <c r="H1702"/>
  <c r="H1701"/>
  <c r="H1700"/>
  <c r="H1699"/>
  <c r="H1698"/>
  <c r="H1697"/>
  <c r="H1696"/>
  <c r="H1695"/>
  <c r="H1694"/>
  <c r="H1693"/>
  <c r="H1692"/>
  <c r="H1691"/>
  <c r="H1690"/>
  <c r="H1689"/>
  <c r="H1688"/>
  <c r="H1687"/>
  <c r="H1686"/>
  <c r="H1685"/>
  <c r="H1684"/>
  <c r="H1683"/>
  <c r="H1682"/>
  <c r="H1681"/>
  <c r="H1680"/>
  <c r="H1679"/>
  <c r="H1678"/>
  <c r="H1677"/>
  <c r="H1676"/>
  <c r="H1675"/>
  <c r="H1674"/>
  <c r="H1673"/>
  <c r="E1660"/>
  <c r="H1660" s="1"/>
  <c r="H1652"/>
  <c r="G1653" s="1"/>
  <c r="H1649"/>
  <c r="H1648"/>
  <c r="H1647"/>
  <c r="H1644"/>
  <c r="G1645" s="1"/>
  <c r="H1642"/>
  <c r="G1643" s="1"/>
  <c r="H1639"/>
  <c r="H1638"/>
  <c r="H1637"/>
  <c r="H1636"/>
  <c r="H1635"/>
  <c r="H1634"/>
  <c r="H1633"/>
  <c r="H1632"/>
  <c r="H1631"/>
  <c r="H1630"/>
  <c r="H1629"/>
  <c r="H1628"/>
  <c r="H1627"/>
  <c r="H1626"/>
  <c r="H1625"/>
  <c r="H1624"/>
  <c r="H1623"/>
  <c r="H1622"/>
  <c r="H1621"/>
  <c r="H1620"/>
  <c r="H1619"/>
  <c r="H1618"/>
  <c r="H1614"/>
  <c r="G1615" s="1"/>
  <c r="H1612"/>
  <c r="G1613" s="1"/>
  <c r="H1609"/>
  <c r="G1610" s="1"/>
  <c r="H1607"/>
  <c r="H1604"/>
  <c r="H1602"/>
  <c r="G1603" s="1"/>
  <c r="H1600"/>
  <c r="G1601" s="1"/>
  <c r="H1597"/>
  <c r="H1594"/>
  <c r="G1595" s="1"/>
  <c r="H1591"/>
  <c r="G1592" s="1"/>
  <c r="H1589"/>
  <c r="G1590" s="1"/>
  <c r="H1585"/>
  <c r="H1584"/>
  <c r="H1581"/>
  <c r="G1582" s="1"/>
  <c r="H1574"/>
  <c r="G1575" s="1"/>
  <c r="H1560"/>
  <c r="H1559"/>
  <c r="H1558"/>
  <c r="H1557"/>
  <c r="H1556"/>
  <c r="H1555"/>
  <c r="H1554"/>
  <c r="H1553"/>
  <c r="H1552"/>
  <c r="H1551"/>
  <c r="H1550"/>
  <c r="H1549"/>
  <c r="H1548"/>
  <c r="H1547"/>
  <c r="H1546"/>
  <c r="H1545"/>
  <c r="H1544"/>
  <c r="H1543"/>
  <c r="H1542"/>
  <c r="H1541"/>
  <c r="H1540"/>
  <c r="H1539"/>
  <c r="H1538"/>
  <c r="H1537"/>
  <c r="H1536"/>
  <c r="H1535"/>
  <c r="H1534"/>
  <c r="H1533"/>
  <c r="H1532"/>
  <c r="H1531"/>
  <c r="H1530"/>
  <c r="H1529"/>
  <c r="H1528"/>
  <c r="H1527"/>
  <c r="H1526"/>
  <c r="H1520"/>
  <c r="H1519"/>
  <c r="H1515"/>
  <c r="H1514"/>
  <c r="H1513"/>
  <c r="H1512"/>
  <c r="H1511"/>
  <c r="H1510"/>
  <c r="H1509"/>
  <c r="H1508"/>
  <c r="H1507"/>
  <c r="H1506"/>
  <c r="H1505"/>
  <c r="H1504"/>
  <c r="H1500"/>
  <c r="H1499"/>
  <c r="H1498"/>
  <c r="H1497"/>
  <c r="H1496"/>
  <c r="H1495"/>
  <c r="H1494"/>
  <c r="H1493"/>
  <c r="H1492"/>
  <c r="H1491"/>
  <c r="H1490"/>
  <c r="H1489"/>
  <c r="H1488"/>
  <c r="H1487"/>
  <c r="H1482"/>
  <c r="H1481"/>
  <c r="H1480"/>
  <c r="H1479"/>
  <c r="H1478"/>
  <c r="H1477"/>
  <c r="H1476"/>
  <c r="H1475"/>
  <c r="H1474"/>
  <c r="H1473"/>
  <c r="H1472"/>
  <c r="H1471"/>
  <c r="H1470"/>
  <c r="H1469"/>
  <c r="H1468"/>
  <c r="H1467"/>
  <c r="H1466"/>
  <c r="H1465"/>
  <c r="H1461"/>
  <c r="G1462" s="1"/>
  <c r="H1457"/>
  <c r="H1456"/>
  <c r="H1455"/>
  <c r="H1454"/>
  <c r="H1453"/>
  <c r="H1452"/>
  <c r="H1451"/>
  <c r="H1450"/>
  <c r="H1449"/>
  <c r="H1448"/>
  <c r="H1447"/>
  <c r="H1446"/>
  <c r="H1445"/>
  <c r="H1444"/>
  <c r="H1443"/>
  <c r="H1442"/>
  <c r="H1441"/>
  <c r="H1440"/>
  <c r="H1435"/>
  <c r="H1434"/>
  <c r="H1433"/>
  <c r="H1429"/>
  <c r="H1428"/>
  <c r="H1427"/>
  <c r="H1426"/>
  <c r="H1425"/>
  <c r="H1424"/>
  <c r="H1423"/>
  <c r="H1422"/>
  <c r="H1421"/>
  <c r="H1420"/>
  <c r="H1419"/>
  <c r="H1418"/>
  <c r="H1417"/>
  <c r="H1416"/>
  <c r="H1415"/>
  <c r="H1414"/>
  <c r="H1413"/>
  <c r="H1412"/>
  <c r="H1411"/>
  <c r="H1410"/>
  <c r="H1409"/>
  <c r="H1408"/>
  <c r="H1407"/>
  <c r="H1406"/>
  <c r="H1405"/>
  <c r="H1404"/>
  <c r="H1403"/>
  <c r="H1402"/>
  <c r="H1401"/>
  <c r="H1396"/>
  <c r="H1395"/>
  <c r="H1394"/>
  <c r="H1393"/>
  <c r="H1392"/>
  <c r="H1391"/>
  <c r="H1390"/>
  <c r="H1389"/>
  <c r="H1388"/>
  <c r="H1387"/>
  <c r="H1386"/>
  <c r="H1385"/>
  <c r="H1384"/>
  <c r="H1383"/>
  <c r="H1382"/>
  <c r="H1381"/>
  <c r="H1380"/>
  <c r="H1379"/>
  <c r="H1378"/>
  <c r="H1377"/>
  <c r="H1376"/>
  <c r="H1375"/>
  <c r="H1370"/>
  <c r="G1371" s="1"/>
  <c r="H1367"/>
  <c r="G1368" s="1"/>
  <c r="H1364"/>
  <c r="G1365" s="1"/>
  <c r="H1360"/>
  <c r="H1359"/>
  <c r="H1358"/>
  <c r="H1357"/>
  <c r="H1353"/>
  <c r="G1354" s="1"/>
  <c r="H1349"/>
  <c r="H1348"/>
  <c r="H1347"/>
  <c r="H1343"/>
  <c r="H1342"/>
  <c r="H1341"/>
  <c r="H1340"/>
  <c r="H1339"/>
  <c r="H1338"/>
  <c r="H1337"/>
  <c r="H1336"/>
  <c r="H1331"/>
  <c r="H1330"/>
  <c r="H1329"/>
  <c r="H1328"/>
  <c r="H1327"/>
  <c r="H1326"/>
  <c r="H1325"/>
  <c r="H1324"/>
  <c r="H1319"/>
  <c r="H1318"/>
  <c r="H1317"/>
  <c r="H1313"/>
  <c r="H1312"/>
  <c r="H1309"/>
  <c r="G1310" s="1"/>
  <c r="H1305"/>
  <c r="H1304"/>
  <c r="H1303"/>
  <c r="H1299"/>
  <c r="H1298"/>
  <c r="H1297"/>
  <c r="H1293"/>
  <c r="H1292"/>
  <c r="H1291"/>
  <c r="H1287"/>
  <c r="H1286"/>
  <c r="H1285"/>
  <c r="H1280"/>
  <c r="H1279"/>
  <c r="H1278"/>
  <c r="H1275"/>
  <c r="G1276" s="1"/>
  <c r="H1271"/>
  <c r="G1272" s="1"/>
  <c r="H1268"/>
  <c r="G1269" s="1"/>
  <c r="H1265"/>
  <c r="G1266" s="1"/>
  <c r="H1261"/>
  <c r="H1260"/>
  <c r="H1259"/>
  <c r="H1255"/>
  <c r="H1254"/>
  <c r="H1250"/>
  <c r="H1249"/>
  <c r="H1245"/>
  <c r="H1244"/>
  <c r="K1240"/>
  <c r="H1239"/>
  <c r="H1238"/>
  <c r="E1227"/>
  <c r="F1226"/>
  <c r="F1227" s="1"/>
  <c r="E1226"/>
  <c r="E1225"/>
  <c r="H1225" s="1"/>
  <c r="H1224"/>
  <c r="H1222"/>
  <c r="I1217"/>
  <c r="H1216"/>
  <c r="I1211"/>
  <c r="H1210"/>
  <c r="F1206"/>
  <c r="F1207" s="1"/>
  <c r="I1205"/>
  <c r="H1205"/>
  <c r="H1204"/>
  <c r="F1197"/>
  <c r="F1198" s="1"/>
  <c r="H1196"/>
  <c r="H1190"/>
  <c r="H1189"/>
  <c r="E1184"/>
  <c r="H1184" s="1"/>
  <c r="E1183"/>
  <c r="H1183" s="1"/>
  <c r="E1182"/>
  <c r="H1182" s="1"/>
  <c r="G1180"/>
  <c r="G1171"/>
  <c r="H1171" s="1"/>
  <c r="G1170"/>
  <c r="E1170"/>
  <c r="G1169"/>
  <c r="H1169" s="1"/>
  <c r="H1168"/>
  <c r="H1154"/>
  <c r="H1153"/>
  <c r="H1147"/>
  <c r="H1146"/>
  <c r="H1145"/>
  <c r="H1144"/>
  <c r="H1143"/>
  <c r="H1142"/>
  <c r="H1141"/>
  <c r="H1140"/>
  <c r="H1139"/>
  <c r="H1138"/>
  <c r="H1137"/>
  <c r="H1136"/>
  <c r="H1135"/>
  <c r="E1134"/>
  <c r="H1134" s="1"/>
  <c r="E1133"/>
  <c r="H1133" s="1"/>
  <c r="E1132"/>
  <c r="H1132" s="1"/>
  <c r="H1131"/>
  <c r="H1130"/>
  <c r="H1129"/>
  <c r="E1128"/>
  <c r="H1128" s="1"/>
  <c r="E1127"/>
  <c r="H1127" s="1"/>
  <c r="E1126"/>
  <c r="H1126" s="1"/>
  <c r="E1125"/>
  <c r="H1125" s="1"/>
  <c r="H1124"/>
  <c r="E1123"/>
  <c r="H1123" s="1"/>
  <c r="H1122"/>
  <c r="E1121"/>
  <c r="H1121" s="1"/>
  <c r="E1120"/>
  <c r="H1120" s="1"/>
  <c r="E1119"/>
  <c r="H1119" s="1"/>
  <c r="H1118"/>
  <c r="H1117"/>
  <c r="E1116"/>
  <c r="H1116" s="1"/>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3"/>
  <c r="H1072"/>
  <c r="H1071"/>
  <c r="H1070"/>
  <c r="H1069"/>
  <c r="H1068"/>
  <c r="H1067"/>
  <c r="H1066"/>
  <c r="H1065"/>
  <c r="H1064"/>
  <c r="H1063"/>
  <c r="H1062"/>
  <c r="H1061"/>
  <c r="H1060"/>
  <c r="H1059"/>
  <c r="H1058"/>
  <c r="H1057"/>
  <c r="H1056"/>
  <c r="H1055"/>
  <c r="H1054"/>
  <c r="H1053"/>
  <c r="H1052"/>
  <c r="H1051"/>
  <c r="H1050"/>
  <c r="E1049"/>
  <c r="H1049" s="1"/>
  <c r="H1048"/>
  <c r="H1047"/>
  <c r="H1046"/>
  <c r="H1045"/>
  <c r="H1044"/>
  <c r="H1043"/>
  <c r="H1042"/>
  <c r="H1041"/>
  <c r="F1040"/>
  <c r="E1040"/>
  <c r="H1039"/>
  <c r="H1033"/>
  <c r="H1032"/>
  <c r="G1031"/>
  <c r="H1031" s="1"/>
  <c r="G1030"/>
  <c r="E1030"/>
  <c r="G1029"/>
  <c r="H1029" s="1"/>
  <c r="I1028"/>
  <c r="I1021"/>
  <c r="E1021"/>
  <c r="H1021" s="1"/>
  <c r="E1020"/>
  <c r="H1020" s="1"/>
  <c r="E1019"/>
  <c r="H1019" s="1"/>
  <c r="E1018"/>
  <c r="H1018" s="1"/>
  <c r="H1016"/>
  <c r="H1015"/>
  <c r="E1014"/>
  <c r="H1014" s="1"/>
  <c r="E1013"/>
  <c r="H1013" s="1"/>
  <c r="E1012"/>
  <c r="H1012" s="1"/>
  <c r="E1011"/>
  <c r="H1011" s="1"/>
  <c r="H1010"/>
  <c r="E1009"/>
  <c r="H1009" s="1"/>
  <c r="H1008"/>
  <c r="E1007"/>
  <c r="H1007" s="1"/>
  <c r="E1006"/>
  <c r="H1006" s="1"/>
  <c r="E1005"/>
  <c r="H1005" s="1"/>
  <c r="H1004"/>
  <c r="H1003"/>
  <c r="E1002"/>
  <c r="H1002" s="1"/>
  <c r="H1001"/>
  <c r="H1000"/>
  <c r="E999"/>
  <c r="H999" s="1"/>
  <c r="E998"/>
  <c r="H998" s="1"/>
  <c r="E997"/>
  <c r="H997" s="1"/>
  <c r="H996"/>
  <c r="H995"/>
  <c r="H994"/>
  <c r="E993"/>
  <c r="H993" s="1"/>
  <c r="E992"/>
  <c r="H992" s="1"/>
  <c r="E991"/>
  <c r="H991" s="1"/>
  <c r="E990"/>
  <c r="H990" s="1"/>
  <c r="H989"/>
  <c r="E988"/>
  <c r="H988" s="1"/>
  <c r="H987"/>
  <c r="E986"/>
  <c r="H986" s="1"/>
  <c r="E985"/>
  <c r="H985" s="1"/>
  <c r="E984"/>
  <c r="H984" s="1"/>
  <c r="H983"/>
  <c r="H982"/>
  <c r="E981"/>
  <c r="H981" s="1"/>
  <c r="H980"/>
  <c r="H979"/>
  <c r="H978"/>
  <c r="H977"/>
  <c r="H976"/>
  <c r="H975"/>
  <c r="H974"/>
  <c r="H973"/>
  <c r="H972"/>
  <c r="H971"/>
  <c r="H970"/>
  <c r="H969"/>
  <c r="H968"/>
  <c r="H967"/>
  <c r="H966"/>
  <c r="H965"/>
  <c r="H964"/>
  <c r="H963"/>
  <c r="G962"/>
  <c r="G958" s="1"/>
  <c r="E962"/>
  <c r="H961"/>
  <c r="E960"/>
  <c r="H960" s="1"/>
  <c r="E959"/>
  <c r="E958"/>
  <c r="H957"/>
  <c r="H956"/>
  <c r="I955"/>
  <c r="H955"/>
  <c r="I953"/>
  <c r="E950"/>
  <c r="H950" s="1"/>
  <c r="H949"/>
  <c r="H948"/>
  <c r="H947"/>
  <c r="H946"/>
  <c r="H945"/>
  <c r="H944"/>
  <c r="H943"/>
  <c r="H942"/>
  <c r="H941"/>
  <c r="H940"/>
  <c r="H939"/>
  <c r="H938"/>
  <c r="H937"/>
  <c r="H936"/>
  <c r="H935"/>
  <c r="H934"/>
  <c r="H933"/>
  <c r="H932"/>
  <c r="H931"/>
  <c r="H930"/>
  <c r="H929"/>
  <c r="H928"/>
  <c r="H927"/>
  <c r="H926"/>
  <c r="H925"/>
  <c r="H924"/>
  <c r="H923"/>
  <c r="H922"/>
  <c r="H921"/>
  <c r="H920"/>
  <c r="H919"/>
  <c r="H918"/>
  <c r="H917"/>
  <c r="H916"/>
  <c r="H915"/>
  <c r="H914"/>
  <c r="H913"/>
  <c r="H912"/>
  <c r="H911"/>
  <c r="H910"/>
  <c r="H909"/>
  <c r="H908"/>
  <c r="H907"/>
  <c r="H906"/>
  <c r="H905"/>
  <c r="H904"/>
  <c r="H903"/>
  <c r="H902"/>
  <c r="H901"/>
  <c r="H900"/>
  <c r="H899"/>
  <c r="H898"/>
  <c r="H897"/>
  <c r="H896"/>
  <c r="H895"/>
  <c r="H894"/>
  <c r="H893"/>
  <c r="H892"/>
  <c r="H891"/>
  <c r="H890"/>
  <c r="H889"/>
  <c r="H888"/>
  <c r="H887"/>
  <c r="H886"/>
  <c r="H885"/>
  <c r="H884"/>
  <c r="H883"/>
  <c r="H882"/>
  <c r="H881"/>
  <c r="H880"/>
  <c r="H879"/>
  <c r="H878"/>
  <c r="H877"/>
  <c r="H876"/>
  <c r="H875"/>
  <c r="H874"/>
  <c r="H873"/>
  <c r="H872"/>
  <c r="H871"/>
  <c r="H870"/>
  <c r="H869"/>
  <c r="H868"/>
  <c r="H867"/>
  <c r="H866"/>
  <c r="H865"/>
  <c r="H864"/>
  <c r="H863"/>
  <c r="H862"/>
  <c r="H861"/>
  <c r="H860"/>
  <c r="H859"/>
  <c r="H858"/>
  <c r="H857"/>
  <c r="H856"/>
  <c r="H855"/>
  <c r="H854"/>
  <c r="H853"/>
  <c r="H852"/>
  <c r="H851"/>
  <c r="H850"/>
  <c r="H849"/>
  <c r="H848"/>
  <c r="H847"/>
  <c r="H846"/>
  <c r="H845"/>
  <c r="H844"/>
  <c r="H843"/>
  <c r="H842"/>
  <c r="H841"/>
  <c r="H840"/>
  <c r="H839"/>
  <c r="H838"/>
  <c r="H837"/>
  <c r="H836"/>
  <c r="H835"/>
  <c r="H834"/>
  <c r="H833"/>
  <c r="H832"/>
  <c r="H831"/>
  <c r="H830"/>
  <c r="H829"/>
  <c r="H828"/>
  <c r="H827"/>
  <c r="H826"/>
  <c r="H825"/>
  <c r="H824"/>
  <c r="H823"/>
  <c r="H822"/>
  <c r="H821"/>
  <c r="H820"/>
  <c r="H819"/>
  <c r="H818"/>
  <c r="H817"/>
  <c r="H816"/>
  <c r="H815"/>
  <c r="H814"/>
  <c r="H813"/>
  <c r="H812"/>
  <c r="H811"/>
  <c r="H810"/>
  <c r="H809"/>
  <c r="H808"/>
  <c r="H807"/>
  <c r="H806"/>
  <c r="H805"/>
  <c r="H804"/>
  <c r="H803"/>
  <c r="H802"/>
  <c r="H801"/>
  <c r="H800"/>
  <c r="H799"/>
  <c r="H798"/>
  <c r="H797"/>
  <c r="H796"/>
  <c r="H795"/>
  <c r="H794"/>
  <c r="H793"/>
  <c r="H792"/>
  <c r="H791"/>
  <c r="H790"/>
  <c r="H789"/>
  <c r="H788"/>
  <c r="H787"/>
  <c r="H786"/>
  <c r="H785"/>
  <c r="H784"/>
  <c r="H783"/>
  <c r="H782"/>
  <c r="H781"/>
  <c r="H780"/>
  <c r="H779"/>
  <c r="H778"/>
  <c r="H777"/>
  <c r="H776"/>
  <c r="H775"/>
  <c r="H774"/>
  <c r="H773"/>
  <c r="H772"/>
  <c r="H771"/>
  <c r="H770"/>
  <c r="H769"/>
  <c r="H768"/>
  <c r="H767"/>
  <c r="H766"/>
  <c r="H765"/>
  <c r="H764"/>
  <c r="H763"/>
  <c r="H762"/>
  <c r="H761"/>
  <c r="H760"/>
  <c r="H759"/>
  <c r="H758"/>
  <c r="H757"/>
  <c r="H756"/>
  <c r="H755"/>
  <c r="H754"/>
  <c r="H753"/>
  <c r="H752"/>
  <c r="H751"/>
  <c r="H750"/>
  <c r="H749"/>
  <c r="F741"/>
  <c r="E741"/>
  <c r="H740"/>
  <c r="H739"/>
  <c r="F738"/>
  <c r="E738"/>
  <c r="H733"/>
  <c r="H732"/>
  <c r="H731"/>
  <c r="H726"/>
  <c r="H725"/>
  <c r="H724"/>
  <c r="H723"/>
  <c r="H722"/>
  <c r="H721"/>
  <c r="H720"/>
  <c r="H719"/>
  <c r="H718"/>
  <c r="H717"/>
  <c r="H716"/>
  <c r="H715"/>
  <c r="H714"/>
  <c r="H713"/>
  <c r="H712"/>
  <c r="H711"/>
  <c r="H710"/>
  <c r="H709"/>
  <c r="H708"/>
  <c r="H707"/>
  <c r="H706"/>
  <c r="H705"/>
  <c r="H704"/>
  <c r="H703"/>
  <c r="H702"/>
  <c r="H701"/>
  <c r="H700"/>
  <c r="H699"/>
  <c r="H698"/>
  <c r="H697"/>
  <c r="H696"/>
  <c r="H695"/>
  <c r="H694"/>
  <c r="H693"/>
  <c r="H687"/>
  <c r="E686"/>
  <c r="H686" s="1"/>
  <c r="H685"/>
  <c r="E684"/>
  <c r="H684" s="1"/>
  <c r="H683"/>
  <c r="E682"/>
  <c r="H682" s="1"/>
  <c r="H681"/>
  <c r="H680"/>
  <c r="E679"/>
  <c r="H679" s="1"/>
  <c r="H678"/>
  <c r="E677"/>
  <c r="H677" s="1"/>
  <c r="H676"/>
  <c r="E675"/>
  <c r="H675" s="1"/>
  <c r="H674"/>
  <c r="H673"/>
  <c r="H672"/>
  <c r="H671"/>
  <c r="H670"/>
  <c r="E669"/>
  <c r="H669" s="1"/>
  <c r="H668"/>
  <c r="E667"/>
  <c r="H667" s="1"/>
  <c r="H666"/>
  <c r="E665"/>
  <c r="H665" s="1"/>
  <c r="H664"/>
  <c r="E663"/>
  <c r="H663" s="1"/>
  <c r="H662"/>
  <c r="H661"/>
  <c r="E660"/>
  <c r="H660" s="1"/>
  <c r="H659"/>
  <c r="H658"/>
  <c r="E657"/>
  <c r="H657" s="1"/>
  <c r="H656"/>
  <c r="E655"/>
  <c r="H655" s="1"/>
  <c r="H654"/>
  <c r="H653"/>
  <c r="E652"/>
  <c r="H652" s="1"/>
  <c r="H651"/>
  <c r="H650"/>
  <c r="H649"/>
  <c r="E648"/>
  <c r="H648" s="1"/>
  <c r="H647"/>
  <c r="E646"/>
  <c r="H646" s="1"/>
  <c r="H645"/>
  <c r="H644"/>
  <c r="E643"/>
  <c r="H643" s="1"/>
  <c r="H642"/>
  <c r="H641"/>
  <c r="H640"/>
  <c r="H639"/>
  <c r="H638"/>
  <c r="E637"/>
  <c r="H637" s="1"/>
  <c r="H636"/>
  <c r="H635"/>
  <c r="H634"/>
  <c r="E633"/>
  <c r="H633" s="1"/>
  <c r="H632"/>
  <c r="H631"/>
  <c r="E630"/>
  <c r="H630" s="1"/>
  <c r="H629"/>
  <c r="E628"/>
  <c r="H628" s="1"/>
  <c r="E627"/>
  <c r="H627" s="1"/>
  <c r="H626"/>
  <c r="E625"/>
  <c r="H625" s="1"/>
  <c r="H624"/>
  <c r="H623"/>
  <c r="E622"/>
  <c r="H622" s="1"/>
  <c r="H621"/>
  <c r="E620"/>
  <c r="H620" s="1"/>
  <c r="G619"/>
  <c r="H619" s="1"/>
  <c r="E618"/>
  <c r="H618" s="1"/>
  <c r="H617"/>
  <c r="H616"/>
  <c r="E615"/>
  <c r="H615" s="1"/>
  <c r="H614"/>
  <c r="E613"/>
  <c r="H613" s="1"/>
  <c r="H612"/>
  <c r="E611"/>
  <c r="H611" s="1"/>
  <c r="H610"/>
  <c r="H609"/>
  <c r="H608"/>
  <c r="H607"/>
  <c r="H606"/>
  <c r="H605"/>
  <c r="E604"/>
  <c r="H604" s="1"/>
  <c r="H603"/>
  <c r="H598"/>
  <c r="H597"/>
  <c r="H596"/>
  <c r="H595"/>
  <c r="H594"/>
  <c r="H593"/>
  <c r="H592"/>
  <c r="H591"/>
  <c r="H590"/>
  <c r="H589"/>
  <c r="H588"/>
  <c r="H587"/>
  <c r="H586"/>
  <c r="H585"/>
  <c r="H584"/>
  <c r="H583"/>
  <c r="H582"/>
  <c r="H581"/>
  <c r="H580"/>
  <c r="H579"/>
  <c r="H578"/>
  <c r="H577"/>
  <c r="H576"/>
  <c r="H575"/>
  <c r="H574"/>
  <c r="H573"/>
  <c r="H572"/>
  <c r="H571"/>
  <c r="H570"/>
  <c r="H569"/>
  <c r="H568"/>
  <c r="H567"/>
  <c r="H562"/>
  <c r="H561"/>
  <c r="H560"/>
  <c r="H559"/>
  <c r="H558"/>
  <c r="H557"/>
  <c r="H556"/>
  <c r="H555"/>
  <c r="H554"/>
  <c r="H553"/>
  <c r="H552"/>
  <c r="H551"/>
  <c r="H550"/>
  <c r="H549"/>
  <c r="H544"/>
  <c r="H543"/>
  <c r="H538"/>
  <c r="H537"/>
  <c r="H536"/>
  <c r="H535"/>
  <c r="H534"/>
  <c r="H533"/>
  <c r="H532"/>
  <c r="H531"/>
  <c r="H530"/>
  <c r="H529"/>
  <c r="H528"/>
  <c r="B527"/>
  <c r="H522"/>
  <c r="H521"/>
  <c r="H520"/>
  <c r="H516"/>
  <c r="I517" s="1"/>
  <c r="J517" s="1"/>
  <c r="H517" s="1"/>
  <c r="G518" s="1"/>
  <c r="H512"/>
  <c r="H511"/>
  <c r="H510"/>
  <c r="H505"/>
  <c r="H504"/>
  <c r="H503"/>
  <c r="H502"/>
  <c r="H496"/>
  <c r="I498" s="1"/>
  <c r="J498" s="1"/>
  <c r="H491"/>
  <c r="H490"/>
  <c r="H489"/>
  <c r="H488"/>
  <c r="H481"/>
  <c r="I483" s="1"/>
  <c r="J483" s="1"/>
  <c r="H476"/>
  <c r="H475"/>
  <c r="H474"/>
  <c r="H473"/>
  <c r="H468"/>
  <c r="H467"/>
  <c r="H461"/>
  <c r="H460"/>
  <c r="H459"/>
  <c r="H458"/>
  <c r="H453"/>
  <c r="H452"/>
  <c r="H451"/>
  <c r="H450"/>
  <c r="H445"/>
  <c r="I447" s="1"/>
  <c r="J447" s="1"/>
  <c r="H439"/>
  <c r="H438"/>
  <c r="H437"/>
  <c r="H436"/>
  <c r="H431"/>
  <c r="H430"/>
  <c r="H429"/>
  <c r="H428"/>
  <c r="H422"/>
  <c r="H421"/>
  <c r="H416"/>
  <c r="H415"/>
  <c r="H410"/>
  <c r="H409"/>
  <c r="H403"/>
  <c r="H402"/>
  <c r="H401"/>
  <c r="H400"/>
  <c r="H399"/>
  <c r="H394"/>
  <c r="H393"/>
  <c r="H392"/>
  <c r="H391"/>
  <c r="H390"/>
  <c r="H389"/>
  <c r="H388"/>
  <c r="H382"/>
  <c r="H381"/>
  <c r="H380"/>
  <c r="H379"/>
  <c r="H378"/>
  <c r="H377"/>
  <c r="H376"/>
  <c r="H375"/>
  <c r="H374"/>
  <c r="H373"/>
  <c r="H372"/>
  <c r="H371"/>
  <c r="H370"/>
  <c r="H369"/>
  <c r="H368"/>
  <c r="H367"/>
  <c r="H366"/>
  <c r="H365"/>
  <c r="H360"/>
  <c r="H359"/>
  <c r="H358"/>
  <c r="H357"/>
  <c r="H356"/>
  <c r="H355"/>
  <c r="H354"/>
  <c r="H353"/>
  <c r="H352"/>
  <c r="H351"/>
  <c r="H350"/>
  <c r="H349"/>
  <c r="H348"/>
  <c r="H347"/>
  <c r="H346"/>
  <c r="H345"/>
  <c r="H340"/>
  <c r="H339"/>
  <c r="H338"/>
  <c r="H337"/>
  <c r="H336"/>
  <c r="H335"/>
  <c r="H334"/>
  <c r="H333"/>
  <c r="H332"/>
  <c r="H326"/>
  <c r="H325"/>
  <c r="H324"/>
  <c r="H323"/>
  <c r="H322"/>
  <c r="H321"/>
  <c r="H320"/>
  <c r="H319"/>
  <c r="H318"/>
  <c r="H317"/>
  <c r="H316"/>
  <c r="H315"/>
  <c r="H314"/>
  <c r="H313"/>
  <c r="H312"/>
  <c r="H306"/>
  <c r="H305"/>
  <c r="H304"/>
  <c r="H303"/>
  <c r="H302"/>
  <c r="H301"/>
  <c r="H300"/>
  <c r="H299"/>
  <c r="H298"/>
  <c r="H296"/>
  <c r="H295"/>
  <c r="H294"/>
  <c r="H293"/>
  <c r="H292"/>
  <c r="H291"/>
  <c r="H290"/>
  <c r="H288"/>
  <c r="H287"/>
  <c r="H286"/>
  <c r="G285"/>
  <c r="F285"/>
  <c r="E285"/>
  <c r="B285"/>
  <c r="H283"/>
  <c r="H282"/>
  <c r="H281"/>
  <c r="H280"/>
  <c r="H279"/>
  <c r="H278"/>
  <c r="H277"/>
  <c r="H276"/>
  <c r="H275"/>
  <c r="H274"/>
  <c r="H273"/>
  <c r="H272"/>
  <c r="H271"/>
  <c r="H270"/>
  <c r="H269"/>
  <c r="H268"/>
  <c r="H267"/>
  <c r="H266"/>
  <c r="H261"/>
  <c r="H260"/>
  <c r="H259"/>
  <c r="H258"/>
  <c r="H257"/>
  <c r="H256"/>
  <c r="H255"/>
  <c r="H254"/>
  <c r="H253"/>
  <c r="H252"/>
  <c r="H251"/>
  <c r="H250"/>
  <c r="H249"/>
  <c r="H248"/>
  <c r="H247"/>
  <c r="H246"/>
  <c r="H245"/>
  <c r="H244"/>
  <c r="G243"/>
  <c r="F243"/>
  <c r="E243"/>
  <c r="D243"/>
  <c r="C243"/>
  <c r="B243"/>
  <c r="H242"/>
  <c r="H241"/>
  <c r="H240"/>
  <c r="H239"/>
  <c r="H238"/>
  <c r="H237"/>
  <c r="H236"/>
  <c r="H235"/>
  <c r="H234"/>
  <c r="H233"/>
  <c r="H232"/>
  <c r="H231"/>
  <c r="H230"/>
  <c r="H229"/>
  <c r="H228"/>
  <c r="H227"/>
  <c r="H226"/>
  <c r="H225"/>
  <c r="H220"/>
  <c r="H219"/>
  <c r="H218"/>
  <c r="H217"/>
  <c r="H216"/>
  <c r="H214"/>
  <c r="H213"/>
  <c r="H212"/>
  <c r="H211"/>
  <c r="H210"/>
  <c r="H209"/>
  <c r="H208"/>
  <c r="H207"/>
  <c r="I206"/>
  <c r="H206"/>
  <c r="H205"/>
  <c r="H204"/>
  <c r="H203"/>
  <c r="H202"/>
  <c r="H201"/>
  <c r="H200"/>
  <c r="H199"/>
  <c r="H198"/>
  <c r="H197"/>
  <c r="H196"/>
  <c r="H195"/>
  <c r="H194"/>
  <c r="H193"/>
  <c r="H192"/>
  <c r="H191"/>
  <c r="H190"/>
  <c r="H189"/>
  <c r="H188"/>
  <c r="H187"/>
  <c r="H181"/>
  <c r="H180"/>
  <c r="H179"/>
  <c r="H178"/>
  <c r="H177"/>
  <c r="H176"/>
  <c r="H175"/>
  <c r="H174"/>
  <c r="H172"/>
  <c r="H171"/>
  <c r="H169"/>
  <c r="H168"/>
  <c r="H167"/>
  <c r="H161"/>
  <c r="H160"/>
  <c r="H159"/>
  <c r="H158"/>
  <c r="H157"/>
  <c r="H156"/>
  <c r="H155"/>
  <c r="H154"/>
  <c r="H153"/>
  <c r="H152"/>
  <c r="H151"/>
  <c r="H150"/>
  <c r="H149"/>
  <c r="H148"/>
  <c r="H147"/>
  <c r="F137"/>
  <c r="H137" s="1"/>
  <c r="H136"/>
  <c r="H134"/>
  <c r="H132"/>
  <c r="H131"/>
  <c r="H130"/>
  <c r="H129"/>
  <c r="H128"/>
  <c r="H125"/>
  <c r="H124"/>
  <c r="H123"/>
  <c r="H120"/>
  <c r="H119"/>
  <c r="H118"/>
  <c r="H117"/>
  <c r="H116"/>
  <c r="H115"/>
  <c r="H114"/>
  <c r="H110"/>
  <c r="H109"/>
  <c r="G108"/>
  <c r="F108"/>
  <c r="E108"/>
  <c r="D108"/>
  <c r="C108"/>
  <c r="B108"/>
  <c r="G107"/>
  <c r="F107"/>
  <c r="E107"/>
  <c r="D107"/>
  <c r="C107"/>
  <c r="B107"/>
  <c r="H106"/>
  <c r="H105"/>
  <c r="H104"/>
  <c r="H103"/>
  <c r="H102"/>
  <c r="H101"/>
  <c r="H100"/>
  <c r="H99"/>
  <c r="H98"/>
  <c r="G97"/>
  <c r="G146" s="1"/>
  <c r="F97"/>
  <c r="F146" s="1"/>
  <c r="E97"/>
  <c r="E146" s="1"/>
  <c r="D97"/>
  <c r="D146" s="1"/>
  <c r="C97"/>
  <c r="C146" s="1"/>
  <c r="B97"/>
  <c r="B146" s="1"/>
  <c r="G96"/>
  <c r="G145" s="1"/>
  <c r="F96"/>
  <c r="F145" s="1"/>
  <c r="E96"/>
  <c r="E145" s="1"/>
  <c r="D96"/>
  <c r="D145" s="1"/>
  <c r="C96"/>
  <c r="C145" s="1"/>
  <c r="B96"/>
  <c r="B145" s="1"/>
  <c r="G95"/>
  <c r="G144" s="1"/>
  <c r="F95"/>
  <c r="F144" s="1"/>
  <c r="E95"/>
  <c r="E144" s="1"/>
  <c r="D95"/>
  <c r="D144" s="1"/>
  <c r="C95"/>
  <c r="C144" s="1"/>
  <c r="B95"/>
  <c r="B144" s="1"/>
  <c r="F94"/>
  <c r="F143" s="1"/>
  <c r="E94"/>
  <c r="E143" s="1"/>
  <c r="D94"/>
  <c r="D143" s="1"/>
  <c r="C94"/>
  <c r="C143" s="1"/>
  <c r="B94"/>
  <c r="B143" s="1"/>
  <c r="G93"/>
  <c r="G142" s="1"/>
  <c r="F93"/>
  <c r="F142" s="1"/>
  <c r="E93"/>
  <c r="E142" s="1"/>
  <c r="D93"/>
  <c r="D142" s="1"/>
  <c r="C93"/>
  <c r="C142" s="1"/>
  <c r="B93"/>
  <c r="B142" s="1"/>
  <c r="G92"/>
  <c r="G141" s="1"/>
  <c r="F92"/>
  <c r="F141" s="1"/>
  <c r="E92"/>
  <c r="E141" s="1"/>
  <c r="D92"/>
  <c r="D141" s="1"/>
  <c r="C92"/>
  <c r="C141" s="1"/>
  <c r="B92"/>
  <c r="B141" s="1"/>
  <c r="G91"/>
  <c r="G140" s="1"/>
  <c r="F91"/>
  <c r="F140" s="1"/>
  <c r="E91"/>
  <c r="E140" s="1"/>
  <c r="D91"/>
  <c r="D140" s="1"/>
  <c r="C91"/>
  <c r="C140" s="1"/>
  <c r="B91"/>
  <c r="B140" s="1"/>
  <c r="G90"/>
  <c r="G139" s="1"/>
  <c r="F90"/>
  <c r="F139" s="1"/>
  <c r="E90"/>
  <c r="E139" s="1"/>
  <c r="D90"/>
  <c r="D139" s="1"/>
  <c r="C90"/>
  <c r="C139" s="1"/>
  <c r="B90"/>
  <c r="B139" s="1"/>
  <c r="G89"/>
  <c r="G138" s="1"/>
  <c r="F89"/>
  <c r="F138" s="1"/>
  <c r="E89"/>
  <c r="E138" s="1"/>
  <c r="D89"/>
  <c r="D138" s="1"/>
  <c r="C89"/>
  <c r="C138" s="1"/>
  <c r="B89"/>
  <c r="B138" s="1"/>
  <c r="H88"/>
  <c r="F87"/>
  <c r="H87" s="1"/>
  <c r="H86"/>
  <c r="F85"/>
  <c r="H85" s="1"/>
  <c r="F84"/>
  <c r="F135" s="1"/>
  <c r="C84"/>
  <c r="B84"/>
  <c r="G83"/>
  <c r="F83"/>
  <c r="E83"/>
  <c r="D83"/>
  <c r="C83"/>
  <c r="C133" s="1"/>
  <c r="H133" s="1"/>
  <c r="B83"/>
  <c r="B133" s="1"/>
  <c r="H82"/>
  <c r="H81"/>
  <c r="H80"/>
  <c r="H79"/>
  <c r="H78"/>
  <c r="H77"/>
  <c r="H76"/>
  <c r="G75"/>
  <c r="G127" s="1"/>
  <c r="F75"/>
  <c r="F127" s="1"/>
  <c r="E75"/>
  <c r="E127" s="1"/>
  <c r="C75"/>
  <c r="C127" s="1"/>
  <c r="B75"/>
  <c r="B127" s="1"/>
  <c r="G74"/>
  <c r="G126" s="1"/>
  <c r="F74"/>
  <c r="F126" s="1"/>
  <c r="E74"/>
  <c r="E126" s="1"/>
  <c r="D74"/>
  <c r="D126" s="1"/>
  <c r="C74"/>
  <c r="C126" s="1"/>
  <c r="B74"/>
  <c r="B126" s="1"/>
  <c r="H73"/>
  <c r="H72"/>
  <c r="H71"/>
  <c r="G70"/>
  <c r="G122" s="1"/>
  <c r="F70"/>
  <c r="F122" s="1"/>
  <c r="E70"/>
  <c r="E122" s="1"/>
  <c r="C70"/>
  <c r="C122" s="1"/>
  <c r="B70"/>
  <c r="B122" s="1"/>
  <c r="G69"/>
  <c r="G121" s="1"/>
  <c r="G170" s="1"/>
  <c r="F69"/>
  <c r="F121" s="1"/>
  <c r="F170" s="1"/>
  <c r="E69"/>
  <c r="E121" s="1"/>
  <c r="E170" s="1"/>
  <c r="D69"/>
  <c r="D121" s="1"/>
  <c r="D170" s="1"/>
  <c r="C69"/>
  <c r="C121" s="1"/>
  <c r="B69"/>
  <c r="B121" s="1"/>
  <c r="B170" s="1"/>
  <c r="H68"/>
  <c r="H67"/>
  <c r="H66"/>
  <c r="H65"/>
  <c r="H64"/>
  <c r="H59"/>
  <c r="H58"/>
  <c r="H57"/>
  <c r="H56"/>
  <c r="H55"/>
  <c r="H54"/>
  <c r="H53"/>
  <c r="H52"/>
  <c r="H51"/>
  <c r="H50"/>
  <c r="H49"/>
  <c r="H48"/>
  <c r="H47"/>
  <c r="H45"/>
  <c r="H44"/>
  <c r="G43"/>
  <c r="H43" s="1"/>
  <c r="H42"/>
  <c r="H41"/>
  <c r="H40"/>
  <c r="H39"/>
  <c r="H38"/>
  <c r="H37"/>
  <c r="H36"/>
  <c r="H35"/>
  <c r="H34"/>
  <c r="H33"/>
  <c r="H32"/>
  <c r="H30"/>
  <c r="H29"/>
  <c r="H28"/>
  <c r="H27"/>
  <c r="H26"/>
  <c r="H25"/>
  <c r="H24"/>
  <c r="H23"/>
  <c r="H22"/>
  <c r="H21"/>
  <c r="H19"/>
  <c r="H18"/>
  <c r="I17"/>
  <c r="H17"/>
  <c r="H16"/>
  <c r="H15"/>
  <c r="H14"/>
  <c r="H13"/>
  <c r="H12"/>
  <c r="H300" i="72"/>
  <c r="H299"/>
  <c r="H298"/>
  <c r="H297"/>
  <c r="H296"/>
  <c r="H295"/>
  <c r="H294"/>
  <c r="H293"/>
  <c r="H292"/>
  <c r="H291"/>
  <c r="H290"/>
  <c r="H289"/>
  <c r="H288"/>
  <c r="H287"/>
  <c r="H286"/>
  <c r="H285"/>
  <c r="H284"/>
  <c r="H283"/>
  <c r="H282"/>
  <c r="H281"/>
  <c r="H280"/>
  <c r="H279"/>
  <c r="H278"/>
  <c r="H277"/>
  <c r="H276"/>
  <c r="H275"/>
  <c r="H273"/>
  <c r="H272"/>
  <c r="H271"/>
  <c r="H270"/>
  <c r="H269"/>
  <c r="H268"/>
  <c r="H267"/>
  <c r="H265"/>
  <c r="H264"/>
  <c r="H263"/>
  <c r="H262"/>
  <c r="H261"/>
  <c r="H260"/>
  <c r="H259"/>
  <c r="H258"/>
  <c r="H257"/>
  <c r="H256"/>
  <c r="H255"/>
  <c r="H254"/>
  <c r="H253"/>
  <c r="H252"/>
  <c r="H251"/>
  <c r="H250"/>
  <c r="H249"/>
  <c r="H248"/>
  <c r="H247"/>
  <c r="H246"/>
  <c r="H245"/>
  <c r="H244"/>
  <c r="H243"/>
  <c r="H242"/>
  <c r="H241"/>
  <c r="H240"/>
  <c r="H239"/>
  <c r="H238"/>
  <c r="H237"/>
  <c r="H236"/>
  <c r="H235"/>
  <c r="H234"/>
  <c r="H233"/>
  <c r="H232"/>
  <c r="H230"/>
  <c r="H229"/>
  <c r="H228"/>
  <c r="H227"/>
  <c r="H226"/>
  <c r="H225"/>
  <c r="H224"/>
  <c r="H223"/>
  <c r="H222"/>
  <c r="H220"/>
  <c r="H219"/>
  <c r="H218"/>
  <c r="H217"/>
  <c r="H216"/>
  <c r="H215"/>
  <c r="H213"/>
  <c r="H212"/>
  <c r="H211"/>
  <c r="H203"/>
  <c r="H202"/>
  <c r="H201"/>
  <c r="H200"/>
  <c r="I199"/>
  <c r="H199"/>
  <c r="H198"/>
  <c r="H197"/>
  <c r="H196"/>
  <c r="H195"/>
  <c r="H194"/>
  <c r="H193"/>
  <c r="H192"/>
  <c r="I191"/>
  <c r="G190"/>
  <c r="E190"/>
  <c r="D190"/>
  <c r="C190"/>
  <c r="B190"/>
  <c r="H185"/>
  <c r="H184"/>
  <c r="H183"/>
  <c r="H182"/>
  <c r="H181"/>
  <c r="H180"/>
  <c r="H179"/>
  <c r="H178"/>
  <c r="H177"/>
  <c r="G177"/>
  <c r="F177"/>
  <c r="E177"/>
  <c r="D177"/>
  <c r="C177"/>
  <c r="B177"/>
  <c r="H176"/>
  <c r="H175"/>
  <c r="H174"/>
  <c r="H173"/>
  <c r="H172"/>
  <c r="H171"/>
  <c r="H170"/>
  <c r="H169"/>
  <c r="H168"/>
  <c r="H167"/>
  <c r="H166"/>
  <c r="H165"/>
  <c r="H164"/>
  <c r="H163"/>
  <c r="H162"/>
  <c r="H161"/>
  <c r="I156"/>
  <c r="H149"/>
  <c r="H148"/>
  <c r="H147"/>
  <c r="H146"/>
  <c r="H145"/>
  <c r="H144"/>
  <c r="H142"/>
  <c r="H141"/>
  <c r="H140"/>
  <c r="H139"/>
  <c r="H138"/>
  <c r="H137"/>
  <c r="F136"/>
  <c r="D136"/>
  <c r="C136"/>
  <c r="H130"/>
  <c r="H129"/>
  <c r="H128"/>
  <c r="H127"/>
  <c r="H126"/>
  <c r="H125"/>
  <c r="H123"/>
  <c r="H122"/>
  <c r="H121"/>
  <c r="H120"/>
  <c r="I119"/>
  <c r="H119"/>
  <c r="H118"/>
  <c r="H117"/>
  <c r="H116"/>
  <c r="H115"/>
  <c r="H114"/>
  <c r="H113"/>
  <c r="H112"/>
  <c r="H111"/>
  <c r="H110"/>
  <c r="H109"/>
  <c r="I105"/>
  <c r="H102"/>
  <c r="H101"/>
  <c r="H100"/>
  <c r="H99"/>
  <c r="H98"/>
  <c r="I97"/>
  <c r="H91"/>
  <c r="H90"/>
  <c r="H89"/>
  <c r="H88"/>
  <c r="H87"/>
  <c r="H86"/>
  <c r="H85"/>
  <c r="H84"/>
  <c r="H83"/>
  <c r="H82"/>
  <c r="G74"/>
  <c r="G75" s="1"/>
  <c r="I73"/>
  <c r="H73"/>
  <c r="G67"/>
  <c r="G68" s="1"/>
  <c r="H66"/>
  <c r="H65"/>
  <c r="H64"/>
  <c r="H63"/>
  <c r="H62"/>
  <c r="H61"/>
  <c r="H60"/>
  <c r="I59"/>
  <c r="F59"/>
  <c r="H59" s="1"/>
  <c r="H58"/>
  <c r="H53"/>
  <c r="H52"/>
  <c r="H51"/>
  <c r="H50"/>
  <c r="H49"/>
  <c r="H48"/>
  <c r="H47"/>
  <c r="H46"/>
  <c r="H45"/>
  <c r="H44"/>
  <c r="H38"/>
  <c r="H37"/>
  <c r="H36"/>
  <c r="H35"/>
  <c r="I34"/>
  <c r="F34"/>
  <c r="H34" s="1"/>
  <c r="H29"/>
  <c r="H28"/>
  <c r="H27"/>
  <c r="H26"/>
  <c r="I25"/>
  <c r="H23"/>
  <c r="G22"/>
  <c r="H22" s="1"/>
  <c r="H21"/>
  <c r="H20"/>
  <c r="H19"/>
  <c r="H18"/>
  <c r="H17"/>
  <c r="H16"/>
  <c r="H15"/>
  <c r="H14"/>
  <c r="H13"/>
  <c r="H12"/>
  <c r="H28" i="74" l="1"/>
  <c r="H14"/>
  <c r="H53"/>
  <c r="H89"/>
  <c r="I31" i="72"/>
  <c r="J31" s="1"/>
  <c r="H31" s="1"/>
  <c r="H1650" i="73"/>
  <c r="G1651" s="1"/>
  <c r="I61"/>
  <c r="J61" s="1"/>
  <c r="I222"/>
  <c r="I55" i="72"/>
  <c r="I93"/>
  <c r="H136"/>
  <c r="I151" s="1"/>
  <c r="J151" s="1"/>
  <c r="H151" s="1"/>
  <c r="G152" s="1"/>
  <c r="I205"/>
  <c r="H17" i="74"/>
  <c r="H37"/>
  <c r="I405" i="73"/>
  <c r="J405" s="1"/>
  <c r="I545"/>
  <c r="I546" s="1"/>
  <c r="H43" i="74"/>
  <c r="H60"/>
  <c r="G61" s="1"/>
  <c r="H738" i="73"/>
  <c r="H741"/>
  <c r="I2010"/>
  <c r="J2010" s="1"/>
  <c r="H2017"/>
  <c r="H2023"/>
  <c r="G2024" s="1"/>
  <c r="G54" i="74"/>
  <c r="I40" i="72"/>
  <c r="J40" s="1"/>
  <c r="H40" s="1"/>
  <c r="G41" s="1"/>
  <c r="I132"/>
  <c r="I187"/>
  <c r="J187" s="1"/>
  <c r="H187" s="1"/>
  <c r="G188" s="1"/>
  <c r="H190"/>
  <c r="G44" i="74"/>
  <c r="H69"/>
  <c r="H100"/>
  <c r="G101" s="1"/>
  <c r="I469" i="73"/>
  <c r="J469" s="1"/>
  <c r="H470" s="1"/>
  <c r="G471" s="1"/>
  <c r="J205" i="72"/>
  <c r="H205" s="1"/>
  <c r="G206" s="1"/>
  <c r="J55"/>
  <c r="H55" s="1"/>
  <c r="G56" s="1"/>
  <c r="J93"/>
  <c r="H92" s="1"/>
  <c r="H302"/>
  <c r="J132"/>
  <c r="H132" s="1"/>
  <c r="G133" s="1"/>
  <c r="H1306" i="73"/>
  <c r="G1307" s="1"/>
  <c r="H1170"/>
  <c r="I1172" s="1"/>
  <c r="I1173" s="1"/>
  <c r="I1241"/>
  <c r="J1241" s="1"/>
  <c r="H1262"/>
  <c r="G1263" s="1"/>
  <c r="H1300"/>
  <c r="G1301" s="1"/>
  <c r="H1314"/>
  <c r="G1315" s="1"/>
  <c r="H1458"/>
  <c r="G1459" s="1"/>
  <c r="H1483"/>
  <c r="G1484" s="1"/>
  <c r="H1516"/>
  <c r="G1517" s="1"/>
  <c r="H1586"/>
  <c r="G1587" s="1"/>
  <c r="I493"/>
  <c r="J493" s="1"/>
  <c r="I1155"/>
  <c r="I1156" s="1"/>
  <c r="H1246"/>
  <c r="G1247" s="1"/>
  <c r="H1256"/>
  <c r="G1257" s="1"/>
  <c r="H1320"/>
  <c r="G1321" s="1"/>
  <c r="H1361"/>
  <c r="G1362" s="1"/>
  <c r="I524"/>
  <c r="J524" s="1"/>
  <c r="I734"/>
  <c r="I735" s="1"/>
  <c r="E742"/>
  <c r="H742" s="1"/>
  <c r="I951"/>
  <c r="I952" s="1"/>
  <c r="H1040"/>
  <c r="I1185"/>
  <c r="I1186" s="1"/>
  <c r="H1226"/>
  <c r="G1228"/>
  <c r="H1228" s="1"/>
  <c r="H1397"/>
  <c r="G1398" s="1"/>
  <c r="H1501"/>
  <c r="G1502" s="1"/>
  <c r="H1561"/>
  <c r="G1969"/>
  <c r="I2037"/>
  <c r="J2037" s="1"/>
  <c r="H2037" s="1"/>
  <c r="G2038" s="1"/>
  <c r="I2043"/>
  <c r="J2043" s="1"/>
  <c r="H2043" s="1"/>
  <c r="G2044" s="1"/>
  <c r="H139"/>
  <c r="H243"/>
  <c r="I263" s="1"/>
  <c r="J263" s="1"/>
  <c r="I328"/>
  <c r="J328" s="1"/>
  <c r="I384"/>
  <c r="J384" s="1"/>
  <c r="I418"/>
  <c r="J418" s="1"/>
  <c r="I433"/>
  <c r="J433" s="1"/>
  <c r="H433" s="1"/>
  <c r="G434" s="1"/>
  <c r="I441"/>
  <c r="J441" s="1"/>
  <c r="I513"/>
  <c r="J513" s="1"/>
  <c r="H513" s="1"/>
  <c r="G514" s="1"/>
  <c r="I1191"/>
  <c r="I1192" s="1"/>
  <c r="H1251"/>
  <c r="G1252" s="1"/>
  <c r="H1281"/>
  <c r="G1282" s="1"/>
  <c r="H1288"/>
  <c r="G1289" s="1"/>
  <c r="H1333"/>
  <c r="G1334" s="1"/>
  <c r="H1344"/>
  <c r="G1345" s="1"/>
  <c r="H1350"/>
  <c r="G1351" s="1"/>
  <c r="D1577"/>
  <c r="H1577" s="1"/>
  <c r="H2028"/>
  <c r="H1227"/>
  <c r="H1565"/>
  <c r="H126"/>
  <c r="H84"/>
  <c r="H285"/>
  <c r="I412"/>
  <c r="J412" s="1"/>
  <c r="I424"/>
  <c r="J424" s="1"/>
  <c r="H423" s="1"/>
  <c r="I455"/>
  <c r="J455" s="1"/>
  <c r="I463"/>
  <c r="J463" s="1"/>
  <c r="H463" s="1"/>
  <c r="G464" s="1"/>
  <c r="I478"/>
  <c r="J478" s="1"/>
  <c r="I507"/>
  <c r="J507" s="1"/>
  <c r="H507" s="1"/>
  <c r="G508" s="1"/>
  <c r="H962"/>
  <c r="H1030"/>
  <c r="H1294"/>
  <c r="G1295" s="1"/>
  <c r="H1430"/>
  <c r="G1431" s="1"/>
  <c r="H1436"/>
  <c r="G1437" s="1"/>
  <c r="H1521"/>
  <c r="H1640"/>
  <c r="H1969"/>
  <c r="J222"/>
  <c r="I308"/>
  <c r="J308" s="1"/>
  <c r="I342"/>
  <c r="J342" s="1"/>
  <c r="I396"/>
  <c r="J396" s="1"/>
  <c r="H396" s="1"/>
  <c r="G397" s="1"/>
  <c r="I362"/>
  <c r="J362" s="1"/>
  <c r="I727"/>
  <c r="I728" s="1"/>
  <c r="H728" s="1"/>
  <c r="G729" s="1"/>
  <c r="H108"/>
  <c r="I539"/>
  <c r="I540" s="1"/>
  <c r="H540" s="1"/>
  <c r="G541" s="1"/>
  <c r="I563"/>
  <c r="I564" s="1"/>
  <c r="H563" s="1"/>
  <c r="I599"/>
  <c r="I600" s="1"/>
  <c r="H599" s="1"/>
  <c r="H122"/>
  <c r="H70"/>
  <c r="H127"/>
  <c r="H75"/>
  <c r="H140"/>
  <c r="H92"/>
  <c r="H144"/>
  <c r="H96"/>
  <c r="H412"/>
  <c r="G413" s="1"/>
  <c r="H411"/>
  <c r="H455"/>
  <c r="G456" s="1"/>
  <c r="H454"/>
  <c r="H462"/>
  <c r="H478"/>
  <c r="G479" s="1"/>
  <c r="H477"/>
  <c r="H483"/>
  <c r="G484" s="1"/>
  <c r="H482"/>
  <c r="H506"/>
  <c r="H564"/>
  <c r="G565" s="1"/>
  <c r="H600"/>
  <c r="G601" s="1"/>
  <c r="H121"/>
  <c r="C170"/>
  <c r="F173"/>
  <c r="H173" s="1"/>
  <c r="H135"/>
  <c r="H91"/>
  <c r="G94"/>
  <c r="G143" s="1"/>
  <c r="H143" s="1"/>
  <c r="H95"/>
  <c r="H342"/>
  <c r="G343" s="1"/>
  <c r="H341"/>
  <c r="H395"/>
  <c r="H498"/>
  <c r="G499" s="1"/>
  <c r="H497"/>
  <c r="H735"/>
  <c r="G736" s="1"/>
  <c r="H734"/>
  <c r="H952"/>
  <c r="G953" s="1"/>
  <c r="H951"/>
  <c r="G959"/>
  <c r="H959" s="1"/>
  <c r="H958"/>
  <c r="H69"/>
  <c r="H74"/>
  <c r="H83"/>
  <c r="H138"/>
  <c r="H90"/>
  <c r="H142"/>
  <c r="H146"/>
  <c r="H107"/>
  <c r="H328"/>
  <c r="G329" s="1"/>
  <c r="H327"/>
  <c r="H384"/>
  <c r="G385" s="1"/>
  <c r="H383"/>
  <c r="H418"/>
  <c r="G419" s="1"/>
  <c r="H417"/>
  <c r="H432"/>
  <c r="H441"/>
  <c r="G442" s="1"/>
  <c r="H440"/>
  <c r="H89"/>
  <c r="H141"/>
  <c r="H93"/>
  <c r="H145"/>
  <c r="H97"/>
  <c r="H361"/>
  <c r="H362"/>
  <c r="G363" s="1"/>
  <c r="H405"/>
  <c r="G406" s="1"/>
  <c r="H404"/>
  <c r="H446"/>
  <c r="H447"/>
  <c r="G448" s="1"/>
  <c r="H492"/>
  <c r="H493"/>
  <c r="G494" s="1"/>
  <c r="H546"/>
  <c r="G547" s="1"/>
  <c r="H545"/>
  <c r="I688"/>
  <c r="I689" s="1"/>
  <c r="H727"/>
  <c r="I743"/>
  <c r="I744" s="1"/>
  <c r="I1989"/>
  <c r="J1989" s="1"/>
  <c r="H2009"/>
  <c r="H2010"/>
  <c r="H1185"/>
  <c r="H1186"/>
  <c r="G1187" s="1"/>
  <c r="F1199"/>
  <c r="H1199" s="1"/>
  <c r="H1198"/>
  <c r="F1208"/>
  <c r="H1207"/>
  <c r="I1034"/>
  <c r="I1035" s="1"/>
  <c r="H1192"/>
  <c r="G1193" s="1"/>
  <c r="H1191"/>
  <c r="H1241"/>
  <c r="G1242" s="1"/>
  <c r="H1240"/>
  <c r="I1148"/>
  <c r="I1149" s="1"/>
  <c r="H1155"/>
  <c r="H1156"/>
  <c r="G1157" s="1"/>
  <c r="D1568"/>
  <c r="H1568" s="1"/>
  <c r="G1566"/>
  <c r="H1914"/>
  <c r="G1915" s="1"/>
  <c r="H1994"/>
  <c r="G1995" s="1"/>
  <c r="H1993"/>
  <c r="H1197"/>
  <c r="H1206"/>
  <c r="H75" i="72"/>
  <c r="G76"/>
  <c r="H68"/>
  <c r="G69"/>
  <c r="H67"/>
  <c r="H74"/>
  <c r="C601" i="1"/>
  <c r="Y44"/>
  <c r="Y37"/>
  <c r="Y36"/>
  <c r="F859" i="68"/>
  <c r="F880"/>
  <c r="F879"/>
  <c r="F878"/>
  <c r="D877"/>
  <c r="F877" s="1"/>
  <c r="F876"/>
  <c r="F875"/>
  <c r="F874"/>
  <c r="F873"/>
  <c r="F872"/>
  <c r="F871"/>
  <c r="F870"/>
  <c r="F864"/>
  <c r="F863"/>
  <c r="F851"/>
  <c r="F850"/>
  <c r="D839"/>
  <c r="F839" s="1"/>
  <c r="C829"/>
  <c r="D818"/>
  <c r="F818" s="1"/>
  <c r="D819"/>
  <c r="F819" s="1"/>
  <c r="D805"/>
  <c r="D796"/>
  <c r="D774"/>
  <c r="F774" s="1"/>
  <c r="D775"/>
  <c r="D776"/>
  <c r="F776" s="1"/>
  <c r="D777"/>
  <c r="D778"/>
  <c r="D779"/>
  <c r="D780"/>
  <c r="D781"/>
  <c r="D782"/>
  <c r="F782" s="1"/>
  <c r="D783"/>
  <c r="F783" s="1"/>
  <c r="D759"/>
  <c r="D723"/>
  <c r="C702"/>
  <c r="D650"/>
  <c r="D652"/>
  <c r="F652" s="1"/>
  <c r="F620"/>
  <c r="F613"/>
  <c r="D599"/>
  <c r="D600"/>
  <c r="D602"/>
  <c r="D603"/>
  <c r="F603" s="1"/>
  <c r="D604"/>
  <c r="D598"/>
  <c r="F598" s="1"/>
  <c r="F585"/>
  <c r="F584"/>
  <c r="F540"/>
  <c r="F531"/>
  <c r="C530"/>
  <c r="D511"/>
  <c r="F511" s="1"/>
  <c r="D516"/>
  <c r="F516" s="1"/>
  <c r="D518"/>
  <c r="F518" s="1"/>
  <c r="D519"/>
  <c r="F519" s="1"/>
  <c r="F496"/>
  <c r="F495"/>
  <c r="F494"/>
  <c r="D486"/>
  <c r="F473"/>
  <c r="F469"/>
  <c r="D462"/>
  <c r="C446"/>
  <c r="D438"/>
  <c r="D440" s="1"/>
  <c r="A444" s="1"/>
  <c r="C431"/>
  <c r="D421"/>
  <c r="D410"/>
  <c r="D407"/>
  <c r="F407" s="1"/>
  <c r="D402"/>
  <c r="D377"/>
  <c r="D347"/>
  <c r="F347" s="1"/>
  <c r="D353"/>
  <c r="D314"/>
  <c r="D305"/>
  <c r="D294"/>
  <c r="F280"/>
  <c r="D281"/>
  <c r="F268"/>
  <c r="D269"/>
  <c r="D264"/>
  <c r="F264" s="1"/>
  <c r="F259"/>
  <c r="D252"/>
  <c r="D249"/>
  <c r="F249" s="1"/>
  <c r="D240"/>
  <c r="D236"/>
  <c r="F236" s="1"/>
  <c r="D230"/>
  <c r="D215"/>
  <c r="D203"/>
  <c r="D191"/>
  <c r="D165"/>
  <c r="D169"/>
  <c r="D150"/>
  <c r="D105"/>
  <c r="D111"/>
  <c r="F111" s="1"/>
  <c r="C80" i="69"/>
  <c r="H716" i="70"/>
  <c r="H717" s="1"/>
  <c r="H718" s="1"/>
  <c r="B80" i="69" s="1"/>
  <c r="B739" i="70"/>
  <c r="C85" i="69" s="1"/>
  <c r="H740" i="70"/>
  <c r="H741" s="1"/>
  <c r="H742" s="1"/>
  <c r="B85" i="69" s="1"/>
  <c r="B735" i="70"/>
  <c r="C84" i="69" s="1"/>
  <c r="H736" i="70"/>
  <c r="H737" s="1"/>
  <c r="H738" s="1"/>
  <c r="B84" i="69" s="1"/>
  <c r="H732" i="70"/>
  <c r="D82" i="69"/>
  <c r="B710" i="70"/>
  <c r="C79" i="69" s="1"/>
  <c r="H712" i="70"/>
  <c r="H711"/>
  <c r="B725"/>
  <c r="C82" i="69" s="1"/>
  <c r="H728" i="70"/>
  <c r="H727"/>
  <c r="H726"/>
  <c r="H721"/>
  <c r="H722"/>
  <c r="B719"/>
  <c r="C81" i="69" s="1"/>
  <c r="H720" i="70"/>
  <c r="H529"/>
  <c r="H707"/>
  <c r="H708" s="1"/>
  <c r="H709" s="1"/>
  <c r="B78" i="69" s="1"/>
  <c r="F78" s="1"/>
  <c r="H18" i="70"/>
  <c r="H656"/>
  <c r="H655"/>
  <c r="H654"/>
  <c r="H653"/>
  <c r="H703"/>
  <c r="H701"/>
  <c r="H700"/>
  <c r="H699"/>
  <c r="H695"/>
  <c r="H694"/>
  <c r="H693"/>
  <c r="H692"/>
  <c r="H691"/>
  <c r="F94" i="74" l="1"/>
  <c r="H94" s="1"/>
  <c r="G95" s="1"/>
  <c r="H94" i="73"/>
  <c r="H424"/>
  <c r="G425" s="1"/>
  <c r="H1172"/>
  <c r="H1173"/>
  <c r="G1174" s="1"/>
  <c r="G1578"/>
  <c r="H524"/>
  <c r="G525" s="1"/>
  <c r="H523"/>
  <c r="H262"/>
  <c r="H263"/>
  <c r="G264" s="1"/>
  <c r="H307"/>
  <c r="H308"/>
  <c r="G309" s="1"/>
  <c r="H222"/>
  <c r="G223" s="1"/>
  <c r="H221"/>
  <c r="H60"/>
  <c r="H61"/>
  <c r="G2018"/>
  <c r="H150" i="72"/>
  <c r="H93"/>
  <c r="G94" s="1"/>
  <c r="H54"/>
  <c r="H204"/>
  <c r="H186"/>
  <c r="H131"/>
  <c r="H39"/>
  <c r="H539" i="73"/>
  <c r="E1656"/>
  <c r="H1656" s="1"/>
  <c r="E1659"/>
  <c r="H1659" s="1"/>
  <c r="G1232"/>
  <c r="H1232" s="1"/>
  <c r="G1177"/>
  <c r="J406"/>
  <c r="G1230"/>
  <c r="H1230" s="1"/>
  <c r="E1657"/>
  <c r="H1657" s="1"/>
  <c r="E1655"/>
  <c r="H1655" s="1"/>
  <c r="I1024"/>
  <c r="I1025" s="1"/>
  <c r="H1024" s="1"/>
  <c r="E1658"/>
  <c r="H1658" s="1"/>
  <c r="G1229"/>
  <c r="H1229" s="1"/>
  <c r="H1159"/>
  <c r="G1160" s="1"/>
  <c r="G1231"/>
  <c r="H1231" s="1"/>
  <c r="G1233"/>
  <c r="H1233" s="1"/>
  <c r="I112"/>
  <c r="J112" s="1"/>
  <c r="J385"/>
  <c r="I163"/>
  <c r="J163" s="1"/>
  <c r="H1025"/>
  <c r="G1026" s="1"/>
  <c r="H1571"/>
  <c r="G1572" s="1"/>
  <c r="G1569"/>
  <c r="I1201"/>
  <c r="J1201" s="1"/>
  <c r="F1209"/>
  <c r="H1209" s="1"/>
  <c r="F1211"/>
  <c r="H1208"/>
  <c r="H1149"/>
  <c r="G1150" s="1"/>
  <c r="H1148"/>
  <c r="H1989"/>
  <c r="H1988"/>
  <c r="H688"/>
  <c r="H689"/>
  <c r="G690" s="1"/>
  <c r="H165"/>
  <c r="H170"/>
  <c r="I183" s="1"/>
  <c r="J183" s="1"/>
  <c r="H182" s="1"/>
  <c r="H1035"/>
  <c r="G1036" s="1"/>
  <c r="H1034"/>
  <c r="H744"/>
  <c r="G745" s="1"/>
  <c r="H743"/>
  <c r="I1168"/>
  <c r="J953"/>
  <c r="G62"/>
  <c r="G70" i="72"/>
  <c r="H69"/>
  <c r="G77"/>
  <c r="H77" s="1"/>
  <c r="H76"/>
  <c r="G32"/>
  <c r="H30"/>
  <c r="F586" i="68"/>
  <c r="H733" i="70"/>
  <c r="H734" s="1"/>
  <c r="B83" i="69" s="1"/>
  <c r="H729" i="70"/>
  <c r="H730" s="1"/>
  <c r="B82" i="69" s="1"/>
  <c r="F82" s="1"/>
  <c r="H713" i="70"/>
  <c r="H714" s="1"/>
  <c r="B79" i="69" s="1"/>
  <c r="H723" i="70"/>
  <c r="H724" s="1"/>
  <c r="B81" i="69" s="1"/>
  <c r="H704" i="70"/>
  <c r="H705" s="1"/>
  <c r="B77" i="69" s="1"/>
  <c r="F77" s="1"/>
  <c r="H696" i="70"/>
  <c r="H2076" i="73" l="1"/>
  <c r="G2077"/>
  <c r="H112"/>
  <c r="G113" s="1"/>
  <c r="H163"/>
  <c r="G164" s="1"/>
  <c r="H1162"/>
  <c r="G1163" s="1"/>
  <c r="H1165"/>
  <c r="G1166" s="1"/>
  <c r="E1661"/>
  <c r="H1661" s="1"/>
  <c r="H1201"/>
  <c r="G1202" s="1"/>
  <c r="H1200"/>
  <c r="I1179"/>
  <c r="G1027"/>
  <c r="J1026"/>
  <c r="H183"/>
  <c r="G184" s="1"/>
  <c r="J1986"/>
  <c r="G1990"/>
  <c r="H1211"/>
  <c r="F1212"/>
  <c r="H70" i="72"/>
  <c r="G71"/>
  <c r="H71" s="1"/>
  <c r="H697" i="70"/>
  <c r="B76" i="69" s="1"/>
  <c r="F76" s="1"/>
  <c r="B686" i="70"/>
  <c r="C75" i="69" s="1"/>
  <c r="H687" i="70"/>
  <c r="H688" s="1"/>
  <c r="H689" s="1"/>
  <c r="B75" i="69" s="1"/>
  <c r="B678" i="70"/>
  <c r="C74" i="69" s="1"/>
  <c r="H683" i="70"/>
  <c r="H681"/>
  <c r="H680"/>
  <c r="H679"/>
  <c r="H675"/>
  <c r="H673"/>
  <c r="H672"/>
  <c r="H671"/>
  <c r="B670"/>
  <c r="C73" i="69" s="1"/>
  <c r="H149" i="70"/>
  <c r="H148"/>
  <c r="H147"/>
  <c r="H146"/>
  <c r="H648"/>
  <c r="H645"/>
  <c r="H644"/>
  <c r="H643"/>
  <c r="B641"/>
  <c r="C69" i="69" s="1"/>
  <c r="B640" i="70"/>
  <c r="C68" i="69" s="1"/>
  <c r="H646" i="70"/>
  <c r="H663"/>
  <c r="H662"/>
  <c r="H657"/>
  <c r="H636"/>
  <c r="H637"/>
  <c r="H631"/>
  <c r="H626"/>
  <c r="B620"/>
  <c r="C64" i="69" s="1"/>
  <c r="B619" i="70"/>
  <c r="C63" i="69" s="1"/>
  <c r="H621" i="70"/>
  <c r="H622" s="1"/>
  <c r="H623" s="1"/>
  <c r="B64" i="69" s="1"/>
  <c r="B599" i="70"/>
  <c r="C58" i="69" s="1"/>
  <c r="C42"/>
  <c r="H522" i="70"/>
  <c r="H521"/>
  <c r="H515"/>
  <c r="H514"/>
  <c r="H513"/>
  <c r="H508"/>
  <c r="H507"/>
  <c r="B506"/>
  <c r="C40" i="69" s="1"/>
  <c r="H229" i="70"/>
  <c r="H228"/>
  <c r="H227"/>
  <c r="H226"/>
  <c r="H224"/>
  <c r="H223"/>
  <c r="H222"/>
  <c r="H221"/>
  <c r="H220"/>
  <c r="H219"/>
  <c r="H218"/>
  <c r="H209"/>
  <c r="H208"/>
  <c r="H207"/>
  <c r="H205"/>
  <c r="H204"/>
  <c r="H203"/>
  <c r="H202"/>
  <c r="H201"/>
  <c r="H200"/>
  <c r="H199"/>
  <c r="H198"/>
  <c r="H197"/>
  <c r="H196"/>
  <c r="H195"/>
  <c r="H194"/>
  <c r="H193"/>
  <c r="H154"/>
  <c r="H153"/>
  <c r="H152"/>
  <c r="H151"/>
  <c r="H144"/>
  <c r="H143"/>
  <c r="H142"/>
  <c r="H141"/>
  <c r="H140"/>
  <c r="H139"/>
  <c r="H138"/>
  <c r="H136"/>
  <c r="H135"/>
  <c r="H134"/>
  <c r="H132"/>
  <c r="H131"/>
  <c r="H130"/>
  <c r="H129"/>
  <c r="H128"/>
  <c r="H127"/>
  <c r="H126"/>
  <c r="H125"/>
  <c r="H124"/>
  <c r="H123"/>
  <c r="H122"/>
  <c r="H121"/>
  <c r="H120"/>
  <c r="H109"/>
  <c r="H108"/>
  <c r="H112"/>
  <c r="H114"/>
  <c r="H113"/>
  <c r="H111"/>
  <c r="H106"/>
  <c r="H105"/>
  <c r="H104"/>
  <c r="H101"/>
  <c r="H100"/>
  <c r="H99"/>
  <c r="H97"/>
  <c r="H96"/>
  <c r="H95"/>
  <c r="H94"/>
  <c r="H93"/>
  <c r="H92"/>
  <c r="H91"/>
  <c r="H188"/>
  <c r="H187"/>
  <c r="H186"/>
  <c r="H185"/>
  <c r="H184"/>
  <c r="H183"/>
  <c r="H182"/>
  <c r="H181"/>
  <c r="H180"/>
  <c r="H179"/>
  <c r="H178"/>
  <c r="H173"/>
  <c r="H172"/>
  <c r="H170"/>
  <c r="H169"/>
  <c r="H168"/>
  <c r="H167"/>
  <c r="H166"/>
  <c r="H165"/>
  <c r="H164"/>
  <c r="H163"/>
  <c r="H162"/>
  <c r="H161"/>
  <c r="H160"/>
  <c r="H82"/>
  <c r="H79"/>
  <c r="H78"/>
  <c r="B570"/>
  <c r="C52" i="69" s="1"/>
  <c r="H572" i="70"/>
  <c r="H571"/>
  <c r="C48" i="69"/>
  <c r="B549" i="70"/>
  <c r="B490"/>
  <c r="C36" i="69" s="1"/>
  <c r="H491" i="70"/>
  <c r="H492" s="1"/>
  <c r="H493" s="1"/>
  <c r="B36" i="69" s="1"/>
  <c r="H62" i="70"/>
  <c r="H53"/>
  <c r="H41"/>
  <c r="H40"/>
  <c r="H27"/>
  <c r="H28"/>
  <c r="A3" i="69"/>
  <c r="A2"/>
  <c r="A1"/>
  <c r="D55"/>
  <c r="I79" i="72" l="1"/>
  <c r="H111" i="73"/>
  <c r="E1663"/>
  <c r="H1663" s="1"/>
  <c r="H162"/>
  <c r="E1662"/>
  <c r="H1662" s="1"/>
  <c r="J79" i="72"/>
  <c r="H79" s="1"/>
  <c r="G80" s="1"/>
  <c r="E1664" i="73"/>
  <c r="H1664" s="1"/>
  <c r="F1213"/>
  <c r="H1212"/>
  <c r="H684" i="70"/>
  <c r="H685" s="1"/>
  <c r="B74" i="69" s="1"/>
  <c r="H676" i="70"/>
  <c r="H677" s="1"/>
  <c r="B73" i="69" s="1"/>
  <c r="H649" i="70"/>
  <c r="H650" s="1"/>
  <c r="B69" i="69" s="1"/>
  <c r="H523" i="70"/>
  <c r="H524" s="1"/>
  <c r="B42" i="69" s="1"/>
  <c r="H509" i="70"/>
  <c r="H510" s="1"/>
  <c r="H511" s="1"/>
  <c r="B40" i="69" s="1"/>
  <c r="H573" i="70"/>
  <c r="H574" s="1"/>
  <c r="B52" i="69" s="1"/>
  <c r="C23"/>
  <c r="H667" i="70"/>
  <c r="H668" s="1"/>
  <c r="H669" s="1"/>
  <c r="B72" i="69" s="1"/>
  <c r="B666" i="70"/>
  <c r="H661"/>
  <c r="B660"/>
  <c r="H652"/>
  <c r="B651"/>
  <c r="H635"/>
  <c r="B634"/>
  <c r="H630"/>
  <c r="B629"/>
  <c r="H625"/>
  <c r="B624"/>
  <c r="H616"/>
  <c r="H617" s="1"/>
  <c r="H618" s="1"/>
  <c r="B62" i="69" s="1"/>
  <c r="B615" i="70"/>
  <c r="B611"/>
  <c r="B606"/>
  <c r="H603"/>
  <c r="H602"/>
  <c r="H601"/>
  <c r="B600"/>
  <c r="H596"/>
  <c r="H597" s="1"/>
  <c r="H598" s="1"/>
  <c r="B57" i="69" s="1"/>
  <c r="F57" s="1"/>
  <c r="H592" i="70"/>
  <c r="H593" s="1"/>
  <c r="H594" s="1"/>
  <c r="B56" i="69" s="1"/>
  <c r="H588" i="70"/>
  <c r="H587"/>
  <c r="H586"/>
  <c r="B585"/>
  <c r="H582"/>
  <c r="H581"/>
  <c r="B580"/>
  <c r="H577"/>
  <c r="H576"/>
  <c r="B575"/>
  <c r="H567"/>
  <c r="H566"/>
  <c r="B565"/>
  <c r="H562"/>
  <c r="H561"/>
  <c r="B560"/>
  <c r="H557"/>
  <c r="H556"/>
  <c r="B555"/>
  <c r="H552"/>
  <c r="H551"/>
  <c r="H550"/>
  <c r="H546"/>
  <c r="H545"/>
  <c r="B544"/>
  <c r="H541"/>
  <c r="H540"/>
  <c r="B539"/>
  <c r="H536"/>
  <c r="H535"/>
  <c r="H534"/>
  <c r="B533"/>
  <c r="H530"/>
  <c r="H528"/>
  <c r="H527"/>
  <c r="B526"/>
  <c r="B525"/>
  <c r="H517"/>
  <c r="H516"/>
  <c r="B512"/>
  <c r="H503"/>
  <c r="H504" s="1"/>
  <c r="H505" s="1"/>
  <c r="B39" i="69" s="1"/>
  <c r="F39" s="1"/>
  <c r="H499" i="70"/>
  <c r="H500" s="1"/>
  <c r="H501" s="1"/>
  <c r="B38" i="69" s="1"/>
  <c r="F38" s="1"/>
  <c r="H495" i="70"/>
  <c r="H496" s="1"/>
  <c r="H497" s="1"/>
  <c r="B37" i="69" s="1"/>
  <c r="F37" s="1"/>
  <c r="H487" i="70"/>
  <c r="H488" s="1"/>
  <c r="H489" s="1"/>
  <c r="B35" i="69" s="1"/>
  <c r="H483" i="70"/>
  <c r="H484" s="1"/>
  <c r="H485" s="1"/>
  <c r="B34" i="69" s="1"/>
  <c r="H479" i="70"/>
  <c r="H480" s="1"/>
  <c r="H481" s="1"/>
  <c r="B33" i="69" s="1"/>
  <c r="B478" i="70"/>
  <c r="H475"/>
  <c r="H476" s="1"/>
  <c r="H477" s="1"/>
  <c r="B32" i="69" s="1"/>
  <c r="B474" i="70"/>
  <c r="B473"/>
  <c r="H470"/>
  <c r="H469"/>
  <c r="H468"/>
  <c r="H467"/>
  <c r="B466"/>
  <c r="H463"/>
  <c r="H462"/>
  <c r="H461"/>
  <c r="H460"/>
  <c r="B459"/>
  <c r="B458"/>
  <c r="H455"/>
  <c r="H456" s="1"/>
  <c r="H457" s="1"/>
  <c r="B27" i="69" s="1"/>
  <c r="B454" i="70"/>
  <c r="H450"/>
  <c r="H449"/>
  <c r="H447"/>
  <c r="H446"/>
  <c r="H445"/>
  <c r="H444"/>
  <c r="H443"/>
  <c r="H442"/>
  <c r="H441"/>
  <c r="H440"/>
  <c r="H439"/>
  <c r="H437"/>
  <c r="H435"/>
  <c r="H434"/>
  <c r="H433"/>
  <c r="H432"/>
  <c r="H431"/>
  <c r="H430"/>
  <c r="H429"/>
  <c r="H428"/>
  <c r="H426"/>
  <c r="H425"/>
  <c r="H424"/>
  <c r="H423"/>
  <c r="H422"/>
  <c r="H421"/>
  <c r="H420"/>
  <c r="H419"/>
  <c r="H418"/>
  <c r="H417"/>
  <c r="H416"/>
  <c r="H414"/>
  <c r="H413"/>
  <c r="H412"/>
  <c r="H411"/>
  <c r="H410"/>
  <c r="H409"/>
  <c r="H408"/>
  <c r="H407"/>
  <c r="H406"/>
  <c r="H405"/>
  <c r="H404"/>
  <c r="B403"/>
  <c r="H400"/>
  <c r="H399"/>
  <c r="B398"/>
  <c r="H395"/>
  <c r="H394"/>
  <c r="H392"/>
  <c r="H391"/>
  <c r="H390"/>
  <c r="H389"/>
  <c r="H388"/>
  <c r="H387"/>
  <c r="H386"/>
  <c r="B385"/>
  <c r="H381"/>
  <c r="H379"/>
  <c r="H378"/>
  <c r="H377"/>
  <c r="H376"/>
  <c r="H374"/>
  <c r="H373"/>
  <c r="H372"/>
  <c r="H371"/>
  <c r="H370"/>
  <c r="H369"/>
  <c r="H368"/>
  <c r="H367"/>
  <c r="H366"/>
  <c r="H365"/>
  <c r="H364"/>
  <c r="H363"/>
  <c r="H362"/>
  <c r="H360"/>
  <c r="H359"/>
  <c r="H358"/>
  <c r="H357"/>
  <c r="H356"/>
  <c r="H354"/>
  <c r="H353"/>
  <c r="H352"/>
  <c r="H351"/>
  <c r="H350"/>
  <c r="H349"/>
  <c r="H348"/>
  <c r="H347"/>
  <c r="H346"/>
  <c r="H345"/>
  <c r="H344"/>
  <c r="H343"/>
  <c r="B341"/>
  <c r="H337"/>
  <c r="H336"/>
  <c r="H334"/>
  <c r="H333"/>
  <c r="H332"/>
  <c r="H331"/>
  <c r="H330"/>
  <c r="H329"/>
  <c r="H328"/>
  <c r="H327"/>
  <c r="H326"/>
  <c r="H325"/>
  <c r="H324"/>
  <c r="H323"/>
  <c r="H322"/>
  <c r="H321"/>
  <c r="H320"/>
  <c r="H319"/>
  <c r="H318"/>
  <c r="H317"/>
  <c r="H316"/>
  <c r="H315"/>
  <c r="H314"/>
  <c r="H313"/>
  <c r="H312"/>
  <c r="H310"/>
  <c r="H309"/>
  <c r="H307"/>
  <c r="H306"/>
  <c r="H305"/>
  <c r="H304"/>
  <c r="H303"/>
  <c r="H302"/>
  <c r="H301"/>
  <c r="H300"/>
  <c r="H299"/>
  <c r="H298"/>
  <c r="H297"/>
  <c r="H296"/>
  <c r="H295"/>
  <c r="H294"/>
  <c r="H293"/>
  <c r="H292"/>
  <c r="H291"/>
  <c r="H290"/>
  <c r="H289"/>
  <c r="H288"/>
  <c r="H287"/>
  <c r="H286"/>
  <c r="H285"/>
  <c r="H283"/>
  <c r="H281"/>
  <c r="H280"/>
  <c r="H279"/>
  <c r="H278"/>
  <c r="H276"/>
  <c r="H275"/>
  <c r="H274"/>
  <c r="H273"/>
  <c r="H271"/>
  <c r="H270"/>
  <c r="H269"/>
  <c r="H268"/>
  <c r="H267"/>
  <c r="H266"/>
  <c r="H265"/>
  <c r="H264"/>
  <c r="H263"/>
  <c r="H262"/>
  <c r="H261"/>
  <c r="H260"/>
  <c r="H259"/>
  <c r="H258"/>
  <c r="H256"/>
  <c r="H255"/>
  <c r="H254"/>
  <c r="H253"/>
  <c r="H252"/>
  <c r="H250"/>
  <c r="H249"/>
  <c r="H248"/>
  <c r="H247"/>
  <c r="H246"/>
  <c r="H245"/>
  <c r="H244"/>
  <c r="H243"/>
  <c r="H242"/>
  <c r="H241"/>
  <c r="H240"/>
  <c r="H239"/>
  <c r="H238"/>
  <c r="H233"/>
  <c r="H234" s="1"/>
  <c r="H235" s="1"/>
  <c r="B21" i="69" s="1"/>
  <c r="B232" i="70"/>
  <c r="B216"/>
  <c r="B212"/>
  <c r="B191"/>
  <c r="B176"/>
  <c r="B157"/>
  <c r="B117"/>
  <c r="H107"/>
  <c r="H103"/>
  <c r="H90"/>
  <c r="H89"/>
  <c r="H88"/>
  <c r="H87"/>
  <c r="H86"/>
  <c r="H85"/>
  <c r="H81"/>
  <c r="H77"/>
  <c r="H76"/>
  <c r="H75"/>
  <c r="H74"/>
  <c r="H73"/>
  <c r="H72"/>
  <c r="H71"/>
  <c r="H70"/>
  <c r="H69"/>
  <c r="H63"/>
  <c r="H61"/>
  <c r="B60"/>
  <c r="H57"/>
  <c r="H58" s="1"/>
  <c r="H59" s="1"/>
  <c r="B12" i="69" s="1"/>
  <c r="B56" i="70"/>
  <c r="H52"/>
  <c r="B51"/>
  <c r="H48"/>
  <c r="H49" s="1"/>
  <c r="H50" s="1"/>
  <c r="B10" i="69" s="1"/>
  <c r="B47" i="70"/>
  <c r="H44"/>
  <c r="H43"/>
  <c r="H42"/>
  <c r="H39"/>
  <c r="B38"/>
  <c r="H35"/>
  <c r="H34"/>
  <c r="H33"/>
  <c r="H32"/>
  <c r="H31"/>
  <c r="H30"/>
  <c r="H29"/>
  <c r="H26"/>
  <c r="B21"/>
  <c r="A21"/>
  <c r="A25" s="1"/>
  <c r="A38" s="1"/>
  <c r="A47" s="1"/>
  <c r="A51" s="1"/>
  <c r="A56" s="1"/>
  <c r="A60" s="1"/>
  <c r="A66" s="1"/>
  <c r="A117" s="1"/>
  <c r="A157" s="1"/>
  <c r="A176" s="1"/>
  <c r="A191" s="1"/>
  <c r="A212" s="1"/>
  <c r="A216" s="1"/>
  <c r="A232" s="1"/>
  <c r="A236" s="1"/>
  <c r="A341" s="1"/>
  <c r="A385" s="1"/>
  <c r="A398" s="1"/>
  <c r="A403" s="1"/>
  <c r="A454" s="1"/>
  <c r="A458" s="1"/>
  <c r="A473" s="1"/>
  <c r="A482" s="1"/>
  <c r="A494" s="1"/>
  <c r="A498" s="1"/>
  <c r="A502" s="1"/>
  <c r="A506" s="1"/>
  <c r="H16"/>
  <c r="H15"/>
  <c r="H14"/>
  <c r="H13"/>
  <c r="H12"/>
  <c r="H11"/>
  <c r="H10"/>
  <c r="H9"/>
  <c r="H8"/>
  <c r="C72" i="69"/>
  <c r="C71"/>
  <c r="C70"/>
  <c r="C67"/>
  <c r="C66"/>
  <c r="C65"/>
  <c r="C62"/>
  <c r="C61"/>
  <c r="C60"/>
  <c r="C59"/>
  <c r="C56"/>
  <c r="C55"/>
  <c r="C54"/>
  <c r="C53"/>
  <c r="C51"/>
  <c r="C50"/>
  <c r="C49"/>
  <c r="C47"/>
  <c r="C46"/>
  <c r="C45"/>
  <c r="C44"/>
  <c r="C43"/>
  <c r="C41"/>
  <c r="C35"/>
  <c r="C34"/>
  <c r="C33"/>
  <c r="C32"/>
  <c r="C31"/>
  <c r="C30"/>
  <c r="C29"/>
  <c r="C28"/>
  <c r="C27"/>
  <c r="C26"/>
  <c r="C25"/>
  <c r="C24"/>
  <c r="C22"/>
  <c r="C21"/>
  <c r="C20"/>
  <c r="C19"/>
  <c r="C18"/>
  <c r="C17"/>
  <c r="C16"/>
  <c r="C15"/>
  <c r="C13"/>
  <c r="C12"/>
  <c r="C11"/>
  <c r="C10"/>
  <c r="C9"/>
  <c r="C7"/>
  <c r="A7"/>
  <c r="A8" s="1"/>
  <c r="A9" s="1"/>
  <c r="A10" s="1"/>
  <c r="A11" s="1"/>
  <c r="A12" s="1"/>
  <c r="A13" s="1"/>
  <c r="A14" s="1"/>
  <c r="A15" s="1"/>
  <c r="A16" s="1"/>
  <c r="A17" s="1"/>
  <c r="A18" s="1"/>
  <c r="A19" s="1"/>
  <c r="A20" s="1"/>
  <c r="A21" s="1"/>
  <c r="A22" s="1"/>
  <c r="A23" s="1"/>
  <c r="A24" s="1"/>
  <c r="A25" s="1"/>
  <c r="A26" s="1"/>
  <c r="A27" s="1"/>
  <c r="A28" s="1"/>
  <c r="A31" s="1"/>
  <c r="A34" s="1"/>
  <c r="A37" s="1"/>
  <c r="A38" s="1"/>
  <c r="A39" s="1"/>
  <c r="A40" s="1"/>
  <c r="D12" i="68"/>
  <c r="D21"/>
  <c r="D30"/>
  <c r="D38"/>
  <c r="D47"/>
  <c r="D56"/>
  <c r="H1665" i="73" l="1"/>
  <c r="E1666" s="1"/>
  <c r="H1666" s="1"/>
  <c r="G1667" s="1"/>
  <c r="H78" i="72"/>
  <c r="F1214" i="73"/>
  <c r="H1213"/>
  <c r="H19" i="70"/>
  <c r="H664"/>
  <c r="H665" s="1"/>
  <c r="B71" i="69" s="1"/>
  <c r="H658" i="70"/>
  <c r="H659" s="1"/>
  <c r="B70" i="69" s="1"/>
  <c r="H638" i="70"/>
  <c r="H639" s="1"/>
  <c r="B67" i="69" s="1"/>
  <c r="H632" i="70"/>
  <c r="H633" s="1"/>
  <c r="B66" i="69" s="1"/>
  <c r="H627" i="70"/>
  <c r="H628" s="1"/>
  <c r="B65" i="69" s="1"/>
  <c r="A41"/>
  <c r="H518" i="70"/>
  <c r="H519" s="1"/>
  <c r="B41" i="69" s="1"/>
  <c r="A512" i="70"/>
  <c r="H115"/>
  <c r="H116" s="1"/>
  <c r="B14" i="69" s="1"/>
  <c r="F14" s="1"/>
  <c r="H401" i="70"/>
  <c r="H402" s="1"/>
  <c r="B25" i="69" s="1"/>
  <c r="H64" i="70"/>
  <c r="H65" s="1"/>
  <c r="B13" i="69" s="1"/>
  <c r="H531" i="70"/>
  <c r="H532" s="1"/>
  <c r="B44" i="69" s="1"/>
  <c r="H542" i="70"/>
  <c r="H543" s="1"/>
  <c r="B46" i="69" s="1"/>
  <c r="H155" i="70"/>
  <c r="H156" s="1"/>
  <c r="B15" i="69" s="1"/>
  <c r="H578" i="70"/>
  <c r="H579" s="1"/>
  <c r="B53" i="69" s="1"/>
  <c r="H471" i="70"/>
  <c r="H472" s="1"/>
  <c r="B30" i="69" s="1"/>
  <c r="H553" i="70"/>
  <c r="H554" s="1"/>
  <c r="B48" i="69" s="1"/>
  <c r="H558" i="70"/>
  <c r="H559" s="1"/>
  <c r="B49" i="69" s="1"/>
  <c r="H583" i="70"/>
  <c r="H584" s="1"/>
  <c r="B54" i="69" s="1"/>
  <c r="H589" i="70"/>
  <c r="H590" s="1"/>
  <c r="B55" i="69" s="1"/>
  <c r="F55" s="1"/>
  <c r="H36" i="70"/>
  <c r="H37" s="1"/>
  <c r="B8" i="69" s="1"/>
  <c r="F8" s="1"/>
  <c r="H210" i="70"/>
  <c r="H211" s="1"/>
  <c r="H230"/>
  <c r="H231" s="1"/>
  <c r="H563"/>
  <c r="H564" s="1"/>
  <c r="B50" i="69" s="1"/>
  <c r="H174" i="70"/>
  <c r="H175" s="1"/>
  <c r="B16" i="69" s="1"/>
  <c r="H396" i="70"/>
  <c r="H397" s="1"/>
  <c r="B24" i="69" s="1"/>
  <c r="H537" i="70"/>
  <c r="H538" s="1"/>
  <c r="B45" i="69" s="1"/>
  <c r="H547" i="70"/>
  <c r="H548" s="1"/>
  <c r="B47" i="69" s="1"/>
  <c r="H20" i="70"/>
  <c r="H45"/>
  <c r="H46" s="1"/>
  <c r="B9" i="69" s="1"/>
  <c r="H54" i="70"/>
  <c r="H55" s="1"/>
  <c r="B11" i="69" s="1"/>
  <c r="H189" i="70"/>
  <c r="H190" s="1"/>
  <c r="H464"/>
  <c r="H465" s="1"/>
  <c r="B29" i="69" s="1"/>
  <c r="H568" i="70"/>
  <c r="H569" s="1"/>
  <c r="B51" i="69" s="1"/>
  <c r="H604" i="70"/>
  <c r="H605" s="1"/>
  <c r="W23" i="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1215" i="73" l="1"/>
  <c r="H1215" s="1"/>
  <c r="F1217"/>
  <c r="H1214"/>
  <c r="A42" i="69"/>
  <c r="A43" s="1"/>
  <c r="A46" s="1"/>
  <c r="A47" s="1"/>
  <c r="A48" s="1"/>
  <c r="A49" s="1"/>
  <c r="A50" s="1"/>
  <c r="A51" s="1"/>
  <c r="A52" s="1"/>
  <c r="A53" s="1"/>
  <c r="A54" s="1"/>
  <c r="A55" s="1"/>
  <c r="A56" s="1"/>
  <c r="A57" s="1"/>
  <c r="A58" s="1"/>
  <c r="A60" s="1"/>
  <c r="A61" s="1"/>
  <c r="A62" s="1"/>
  <c r="A520" i="70"/>
  <c r="A525" s="1"/>
  <c r="A539" s="1"/>
  <c r="A544" s="1"/>
  <c r="A549" s="1"/>
  <c r="A555" s="1"/>
  <c r="A560" s="1"/>
  <c r="A565" s="1"/>
  <c r="A570" s="1"/>
  <c r="A575" s="1"/>
  <c r="A580" s="1"/>
  <c r="A585" s="1"/>
  <c r="A591" s="1"/>
  <c r="A595" s="1"/>
  <c r="A599" s="1"/>
  <c r="A606" s="1"/>
  <c r="A611" s="1"/>
  <c r="A615" s="1"/>
  <c r="E382"/>
  <c r="H382" s="1"/>
  <c r="H383" s="1"/>
  <c r="H384" s="1"/>
  <c r="B23" i="69" s="1"/>
  <c r="B17"/>
  <c r="E22" i="70"/>
  <c r="H22" s="1"/>
  <c r="H23" s="1"/>
  <c r="H24" s="1"/>
  <c r="B7" i="69" s="1"/>
  <c r="B6"/>
  <c r="F6" s="1"/>
  <c r="E213" i="70"/>
  <c r="H213" s="1"/>
  <c r="H214" s="1"/>
  <c r="H215" s="1"/>
  <c r="B18" i="69"/>
  <c r="E451" i="70"/>
  <c r="H451" s="1"/>
  <c r="H452" s="1"/>
  <c r="H453" s="1"/>
  <c r="B26" i="69" s="1"/>
  <c r="B20"/>
  <c r="E607" i="70"/>
  <c r="H607" s="1"/>
  <c r="H608" s="1"/>
  <c r="H609" s="1"/>
  <c r="H610" s="1"/>
  <c r="B59" i="69"/>
  <c r="F3443" i="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H1217" i="73" l="1"/>
  <c r="F1218"/>
  <c r="A63" i="69"/>
  <c r="A65" s="1"/>
  <c r="A66" s="1"/>
  <c r="A67" s="1"/>
  <c r="A624" i="70"/>
  <c r="A629" s="1"/>
  <c r="A634" s="1"/>
  <c r="A619"/>
  <c r="E612"/>
  <c r="H612" s="1"/>
  <c r="H613" s="1"/>
  <c r="H614" s="1"/>
  <c r="B61" i="69" s="1"/>
  <c r="B60"/>
  <c r="E338" i="70"/>
  <c r="H338" s="1"/>
  <c r="H339" s="1"/>
  <c r="H340" s="1"/>
  <c r="B22" i="69" s="1"/>
  <c r="B19"/>
  <c r="F67" i="65"/>
  <c r="F68" s="1"/>
  <c r="F69" s="1"/>
  <c r="F72" s="1"/>
  <c r="D13"/>
  <c r="D14" s="1"/>
  <c r="D15" s="1"/>
  <c r="D16" s="1"/>
  <c r="D842" i="68"/>
  <c r="F842" s="1"/>
  <c r="F539"/>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I3759"/>
  <c r="F1219" i="73" l="1"/>
  <c r="H1218"/>
  <c r="A70" i="69"/>
  <c r="A71" s="1"/>
  <c r="A72" s="1"/>
  <c r="A73" s="1"/>
  <c r="A74" s="1"/>
  <c r="A75" s="1"/>
  <c r="A76" s="1"/>
  <c r="A77" s="1"/>
  <c r="A78" s="1"/>
  <c r="A79" s="1"/>
  <c r="A68"/>
  <c r="A640" i="70"/>
  <c r="A651" s="1"/>
  <c r="A660" s="1"/>
  <c r="A666" s="1"/>
  <c r="A670" s="1"/>
  <c r="A678" s="1"/>
  <c r="A686" s="1"/>
  <c r="A690" s="1"/>
  <c r="A698" s="1"/>
  <c r="A706" s="1"/>
  <c r="K3736" i="1"/>
  <c r="AB1262"/>
  <c r="A80" i="69" l="1"/>
  <c r="A81" s="1"/>
  <c r="A82" s="1"/>
  <c r="A83" s="1"/>
  <c r="A84" s="1"/>
  <c r="A85" s="1"/>
  <c r="F1220" i="73"/>
  <c r="H1219"/>
  <c r="A710" i="70"/>
  <c r="F1221" i="73" l="1"/>
  <c r="H1221" s="1"/>
  <c r="F1223"/>
  <c r="H1223" s="1"/>
  <c r="H1220"/>
  <c r="A715" i="70"/>
  <c r="A719" s="1"/>
  <c r="A725" s="1"/>
  <c r="A731" s="1"/>
  <c r="A735" s="1"/>
  <c r="A739" s="1"/>
  <c r="I1235" i="73" l="1"/>
  <c r="J1235" s="1"/>
  <c r="H1235" l="1"/>
  <c r="G1236" s="1"/>
  <c r="H1234"/>
  <c r="P2113" i="1" l="1"/>
  <c r="R2113" s="1"/>
  <c r="AD3627"/>
  <c r="AB3626"/>
  <c r="AD3626" s="1"/>
  <c r="AC3617"/>
  <c r="Y3618" s="1"/>
  <c r="Y3619" s="1"/>
  <c r="X46"/>
  <c r="X47" s="1"/>
  <c r="X45"/>
  <c r="X43"/>
  <c r="X41"/>
  <c r="X39"/>
  <c r="X38"/>
  <c r="X32"/>
  <c r="X33" s="1"/>
  <c r="X31"/>
  <c r="X25"/>
  <c r="X26" s="1"/>
  <c r="X27" s="1"/>
  <c r="X28" s="1"/>
  <c r="X23"/>
  <c r="X21"/>
  <c r="X18"/>
  <c r="X29" s="1"/>
  <c r="X34" s="1"/>
  <c r="X16"/>
  <c r="X17" s="1"/>
  <c r="X11"/>
  <c r="X44" s="1"/>
  <c r="X10"/>
  <c r="X9"/>
  <c r="Z31"/>
  <c r="Z32" s="1"/>
  <c r="AC32" s="1"/>
  <c r="C139" s="1"/>
  <c r="Z21"/>
  <c r="AC21" s="1"/>
  <c r="C83" s="1"/>
  <c r="I1375" s="1"/>
  <c r="K1375" s="1"/>
  <c r="F76" i="79"/>
  <c r="F75"/>
  <c r="D563" i="68"/>
  <c r="F563" s="1"/>
  <c r="F538"/>
  <c r="F536"/>
  <c r="D515"/>
  <c r="F515" s="1"/>
  <c r="F614"/>
  <c r="F394" i="79"/>
  <c r="F393"/>
  <c r="F63"/>
  <c r="F61"/>
  <c r="F496"/>
  <c r="D483"/>
  <c r="C483"/>
  <c r="F81"/>
  <c r="F80"/>
  <c r="F79"/>
  <c r="F77"/>
  <c r="F74"/>
  <c r="F73"/>
  <c r="F72"/>
  <c r="F71"/>
  <c r="F45"/>
  <c r="F44"/>
  <c r="D22"/>
  <c r="F21"/>
  <c r="D453"/>
  <c r="F452"/>
  <c r="F404"/>
  <c r="F8"/>
  <c r="C387"/>
  <c r="C331"/>
  <c r="F326"/>
  <c r="C325"/>
  <c r="C324"/>
  <c r="C323"/>
  <c r="C322"/>
  <c r="C321"/>
  <c r="C320"/>
  <c r="C319"/>
  <c r="F310"/>
  <c r="F309"/>
  <c r="C286"/>
  <c r="F285"/>
  <c r="F283"/>
  <c r="F282"/>
  <c r="F281"/>
  <c r="F280"/>
  <c r="F263"/>
  <c r="F261"/>
  <c r="F259"/>
  <c r="F258"/>
  <c r="F257"/>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L4076"/>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6"/>
  <c r="C756" i="79" s="1"/>
  <c r="H3885" i="1"/>
  <c r="D745" i="79" s="1"/>
  <c r="H3866" i="1"/>
  <c r="D726" i="79" s="1"/>
  <c r="H3865" i="1"/>
  <c r="D725" i="79" s="1"/>
  <c r="H3864" i="1"/>
  <c r="D724" i="79" s="1"/>
  <c r="H3863" i="1"/>
  <c r="D723" i="79" s="1"/>
  <c r="I3861" i="1"/>
  <c r="E721" i="79" s="1"/>
  <c r="H3876" i="1"/>
  <c r="I3840"/>
  <c r="E700" i="79" s="1"/>
  <c r="K3821" i="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s="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F242" i="79" s="1"/>
  <c r="K3562" i="1"/>
  <c r="R3560"/>
  <c r="F237" i="79" s="1"/>
  <c r="I3560" i="1"/>
  <c r="D601" i="68" s="1"/>
  <c r="F601" s="1"/>
  <c r="K3557" i="1"/>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F522" i="79" s="1"/>
  <c r="K3120" i="1"/>
  <c r="X3119"/>
  <c r="R3119"/>
  <c r="F521" i="79" s="1"/>
  <c r="K3119" i="1"/>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D226" i="68" s="1"/>
  <c r="F226" s="1"/>
  <c r="L2688" i="1"/>
  <c r="K2685"/>
  <c r="I2680"/>
  <c r="K2680" s="1"/>
  <c r="I2670"/>
  <c r="I2669"/>
  <c r="I2668"/>
  <c r="I3106" s="1"/>
  <c r="K3106" s="1"/>
  <c r="I2667"/>
  <c r="K2667" s="1"/>
  <c r="K2665"/>
  <c r="AE2659"/>
  <c r="AG2657"/>
  <c r="F173" i="79" s="1"/>
  <c r="AG2656" i="1"/>
  <c r="F172" i="79" s="1"/>
  <c r="AG2655" i="1"/>
  <c r="F171" i="79" s="1"/>
  <c r="AG2654" i="1"/>
  <c r="F170" i="79" s="1"/>
  <c r="AG2653" i="1"/>
  <c r="F169" i="79" s="1"/>
  <c r="AB2649" i="1"/>
  <c r="A165" i="79" s="1"/>
  <c r="AE2645" i="1"/>
  <c r="D161" i="79" s="1"/>
  <c r="AE2644" i="1"/>
  <c r="D160" i="79" s="1"/>
  <c r="P2642" i="1"/>
  <c r="D198" i="79" s="1"/>
  <c r="I2642" i="1"/>
  <c r="V2610" s="1"/>
  <c r="Z2608" s="1"/>
  <c r="I2641"/>
  <c r="P2648" s="1"/>
  <c r="AE2640"/>
  <c r="D156" i="79" s="1"/>
  <c r="M2640" i="1"/>
  <c r="A196" i="79" s="1"/>
  <c r="I2640" i="1"/>
  <c r="K2640" s="1"/>
  <c r="AE2639"/>
  <c r="D155" i="79" s="1"/>
  <c r="I2639" i="1"/>
  <c r="P2646" s="1"/>
  <c r="I2638"/>
  <c r="P2645" s="1"/>
  <c r="AE2637"/>
  <c r="P2637"/>
  <c r="I2637"/>
  <c r="K2635"/>
  <c r="P2632"/>
  <c r="K2629"/>
  <c r="I2629"/>
  <c r="I2630" s="1"/>
  <c r="I2625"/>
  <c r="AE2623"/>
  <c r="AG2623" s="1"/>
  <c r="AB2615"/>
  <c r="AE2611"/>
  <c r="AE2610"/>
  <c r="K2610"/>
  <c r="X2609"/>
  <c r="I2609"/>
  <c r="H3854" s="1"/>
  <c r="Z2607"/>
  <c r="AE2606"/>
  <c r="AE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07"/>
  <c r="P2506"/>
  <c r="P2505"/>
  <c r="P2504"/>
  <c r="I2503"/>
  <c r="H2487"/>
  <c r="I2479"/>
  <c r="I2481" s="1"/>
  <c r="F2485" s="1"/>
  <c r="H2472"/>
  <c r="I2469"/>
  <c r="D428" i="68" s="1"/>
  <c r="F428" s="1"/>
  <c r="I2468" i="1"/>
  <c r="D427" i="68" s="1"/>
  <c r="I2467" i="1"/>
  <c r="D426" i="68" s="1"/>
  <c r="I2466" i="1"/>
  <c r="D425" i="68" s="1"/>
  <c r="I2462" i="1"/>
  <c r="I2442"/>
  <c r="K2442" s="1"/>
  <c r="R2437"/>
  <c r="R2429"/>
  <c r="K2422"/>
  <c r="R2408"/>
  <c r="F550" i="79" s="1"/>
  <c r="I2408" i="1"/>
  <c r="K2408" s="1"/>
  <c r="R2407"/>
  <c r="F549" i="79" s="1"/>
  <c r="R2406" i="1"/>
  <c r="F548" i="79" s="1"/>
  <c r="R2405" i="1"/>
  <c r="F547" i="79" s="1"/>
  <c r="R2404" i="1"/>
  <c r="F546" i="79" s="1"/>
  <c r="R2403" i="1"/>
  <c r="F545" i="79" s="1"/>
  <c r="R2402" i="1"/>
  <c r="F544" i="79" s="1"/>
  <c r="R2401" i="1"/>
  <c r="F543" i="79" s="1"/>
  <c r="R2400" i="1"/>
  <c r="F542" i="79" s="1"/>
  <c r="R2399" i="1"/>
  <c r="F541" i="79" s="1"/>
  <c r="R2398" i="1"/>
  <c r="F540" i="79" s="1"/>
  <c r="R2397" i="1"/>
  <c r="F539" i="79" s="1"/>
  <c r="K2397" i="1"/>
  <c r="R2396"/>
  <c r="F538" i="79" s="1"/>
  <c r="R2395" i="1"/>
  <c r="F537" i="79" s="1"/>
  <c r="R2394" i="1"/>
  <c r="F536" i="79" s="1"/>
  <c r="R2393" i="1"/>
  <c r="F535" i="79" s="1"/>
  <c r="R2392" i="1"/>
  <c r="F534" i="79" s="1"/>
  <c r="E2392" i="1"/>
  <c r="E2393" s="1"/>
  <c r="R2391"/>
  <c r="F533" i="79" s="1"/>
  <c r="K2388" i="1"/>
  <c r="K2387"/>
  <c r="P2372"/>
  <c r="R2372" s="1"/>
  <c r="P2371"/>
  <c r="R2371" s="1"/>
  <c r="K2366"/>
  <c r="K2365"/>
  <c r="K2364"/>
  <c r="I2347"/>
  <c r="K2347" s="1"/>
  <c r="D2347"/>
  <c r="R2345"/>
  <c r="F427" i="79" s="1"/>
  <c r="R2334" i="1"/>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I2202"/>
  <c r="K2202" s="1"/>
  <c r="K2206" s="1"/>
  <c r="J2197"/>
  <c r="K2197" s="1"/>
  <c r="K2200" s="1"/>
  <c r="I2189"/>
  <c r="K2189" s="1"/>
  <c r="K2193" s="1"/>
  <c r="I2176"/>
  <c r="K2176" s="1"/>
  <c r="H2174"/>
  <c r="I2163"/>
  <c r="K2163" s="1"/>
  <c r="R2151"/>
  <c r="I2149"/>
  <c r="P2156" s="1"/>
  <c r="R2156" s="1"/>
  <c r="I2144"/>
  <c r="K2144" s="1"/>
  <c r="I2129"/>
  <c r="K2129" s="1"/>
  <c r="I2124"/>
  <c r="K2124" s="1"/>
  <c r="I2116"/>
  <c r="D180" i="68" s="1"/>
  <c r="F180" s="1"/>
  <c r="F183" s="1"/>
  <c r="I2104" i="1"/>
  <c r="K2104" s="1"/>
  <c r="K2096"/>
  <c r="K2095"/>
  <c r="I2094"/>
  <c r="K2094" s="1"/>
  <c r="I2093"/>
  <c r="K2093" s="1"/>
  <c r="P2080"/>
  <c r="P2079"/>
  <c r="I2076"/>
  <c r="D373" i="68" s="1"/>
  <c r="F373" s="1"/>
  <c r="I2075" i="1"/>
  <c r="D372" i="68" s="1"/>
  <c r="F372" s="1"/>
  <c r="I2074" i="1"/>
  <c r="D371" i="68" s="1"/>
  <c r="F371" s="1"/>
  <c r="I2073" i="1"/>
  <c r="D370" i="68" s="1"/>
  <c r="F370" s="1"/>
  <c r="P2072" i="1"/>
  <c r="M2082" s="1"/>
  <c r="P2071"/>
  <c r="M2081" s="1"/>
  <c r="P2070"/>
  <c r="M2080" s="1"/>
  <c r="P2069"/>
  <c r="M2079" s="1"/>
  <c r="P2067"/>
  <c r="M2078" s="1"/>
  <c r="P2064"/>
  <c r="P2063"/>
  <c r="P2059"/>
  <c r="P2058"/>
  <c r="P2055"/>
  <c r="P2054"/>
  <c r="I2052"/>
  <c r="D349" i="68" s="1"/>
  <c r="F349" s="1"/>
  <c r="I2051" i="1"/>
  <c r="D348" i="68" s="1"/>
  <c r="F348" s="1"/>
  <c r="P2050" i="1"/>
  <c r="K2050"/>
  <c r="P2049"/>
  <c r="I2049"/>
  <c r="D346" i="68" s="1"/>
  <c r="F346" s="1"/>
  <c r="P2047" i="1"/>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R1890"/>
  <c r="R1889"/>
  <c r="R1887"/>
  <c r="I1887"/>
  <c r="D408" i="68" s="1"/>
  <c r="F408" s="1"/>
  <c r="K1886" i="1"/>
  <c r="P1878"/>
  <c r="R1878" s="1"/>
  <c r="I1878"/>
  <c r="D399" i="68" s="1"/>
  <c r="F399" s="1"/>
  <c r="R1877" i="1"/>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K1796"/>
  <c r="K1793"/>
  <c r="K1786"/>
  <c r="I1770"/>
  <c r="K1770" s="1"/>
  <c r="I1769"/>
  <c r="K1769" s="1"/>
  <c r="K1768"/>
  <c r="K1756"/>
  <c r="K1755"/>
  <c r="K1754"/>
  <c r="K1751"/>
  <c r="K1723"/>
  <c r="K1722"/>
  <c r="K1721"/>
  <c r="AE1695"/>
  <c r="AE1694"/>
  <c r="K1694"/>
  <c r="AE1693"/>
  <c r="AE1692"/>
  <c r="AE1691"/>
  <c r="AE1690"/>
  <c r="AE1689"/>
  <c r="AE1688"/>
  <c r="AE1687"/>
  <c r="K1687"/>
  <c r="K1690" s="1"/>
  <c r="AE1686"/>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AE1629"/>
  <c r="R1629"/>
  <c r="Q1629"/>
  <c r="I1629"/>
  <c r="AE1628"/>
  <c r="Q1628"/>
  <c r="I1628"/>
  <c r="AE1627"/>
  <c r="I1627"/>
  <c r="AE1626"/>
  <c r="I1626"/>
  <c r="D321" i="68" s="1"/>
  <c r="F321" s="1"/>
  <c r="AE1625" i="1"/>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AE1562"/>
  <c r="K1562"/>
  <c r="AE1561"/>
  <c r="AE1560"/>
  <c r="AE1559"/>
  <c r="I1559"/>
  <c r="AE1558"/>
  <c r="AE1557"/>
  <c r="AE1556"/>
  <c r="AE1555"/>
  <c r="AE1554"/>
  <c r="AE1553"/>
  <c r="AE1552"/>
  <c r="AE1551"/>
  <c r="AE1550"/>
  <c r="AE1549"/>
  <c r="AE1548"/>
  <c r="AE1547"/>
  <c r="I1547"/>
  <c r="AE1546"/>
  <c r="AE1545"/>
  <c r="AE1544"/>
  <c r="AE1543"/>
  <c r="AE1542"/>
  <c r="AE1541"/>
  <c r="AE1540"/>
  <c r="AE1539"/>
  <c r="AE1538"/>
  <c r="AE1537"/>
  <c r="AE1536"/>
  <c r="AE1535"/>
  <c r="AE1534"/>
  <c r="I1534"/>
  <c r="I3210" s="1"/>
  <c r="D302" i="68" s="1"/>
  <c r="F302" s="1"/>
  <c r="AE1533" i="1"/>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AE1378"/>
  <c r="I1378"/>
  <c r="K1378" s="1"/>
  <c r="AE1377"/>
  <c r="V1377"/>
  <c r="AE1376"/>
  <c r="AE1375"/>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D88" i="68" s="1"/>
  <c r="F88" s="1"/>
  <c r="AE1355" i="1"/>
  <c r="R1355"/>
  <c r="AE1354"/>
  <c r="AE1353"/>
  <c r="R1353"/>
  <c r="AE1352"/>
  <c r="V1352"/>
  <c r="X1352" s="1"/>
  <c r="AE1351"/>
  <c r="AE1350"/>
  <c r="AE1349"/>
  <c r="AE1348"/>
  <c r="AE1347"/>
  <c r="Y1347"/>
  <c r="AE1346"/>
  <c r="AE1345"/>
  <c r="AE1344"/>
  <c r="AE1343"/>
  <c r="AE1342"/>
  <c r="X1342"/>
  <c r="F612" i="79" s="1"/>
  <c r="AE1341" i="1"/>
  <c r="AE1340"/>
  <c r="X1340"/>
  <c r="F610" i="79" s="1"/>
  <c r="AE1339" i="1"/>
  <c r="V1339"/>
  <c r="AE1338"/>
  <c r="X1338"/>
  <c r="F608" i="79" s="1"/>
  <c r="AE1337" i="1"/>
  <c r="AE1336"/>
  <c r="AE1335"/>
  <c r="AE1334"/>
  <c r="AE1333"/>
  <c r="AE1332"/>
  <c r="R1332"/>
  <c r="AE1331"/>
  <c r="X1331"/>
  <c r="F601" i="79" s="1"/>
  <c r="AE1330" i="1"/>
  <c r="AE1329"/>
  <c r="AE1328"/>
  <c r="AE1327"/>
  <c r="AE1326"/>
  <c r="AE1325"/>
  <c r="AE1324"/>
  <c r="V1324"/>
  <c r="X1324" s="1"/>
  <c r="AE1323"/>
  <c r="AE1322"/>
  <c r="AE1321"/>
  <c r="AE1320"/>
  <c r="P1320"/>
  <c r="AE1319"/>
  <c r="R1319"/>
  <c r="F511" i="79" s="1"/>
  <c r="AE1318" i="1"/>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575" i="79" s="1"/>
  <c r="AE1268" i="1"/>
  <c r="AE1267"/>
  <c r="AD1267"/>
  <c r="AE1266"/>
  <c r="AC1266"/>
  <c r="AE1265"/>
  <c r="AC1265"/>
  <c r="AE1264"/>
  <c r="AC1264"/>
  <c r="P1264"/>
  <c r="AE1263"/>
  <c r="AC1263"/>
  <c r="AB1263"/>
  <c r="AD1263" s="1"/>
  <c r="AE1262"/>
  <c r="AC1262"/>
  <c r="AD1262"/>
  <c r="AE1261"/>
  <c r="AE1260"/>
  <c r="AE1259"/>
  <c r="AE1258"/>
  <c r="R1257"/>
  <c r="F563" i="79" s="1"/>
  <c r="AE1256" i="1"/>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F583" i="79" s="1"/>
  <c r="AE1214" i="1"/>
  <c r="AE1213"/>
  <c r="AD1213"/>
  <c r="AE1212"/>
  <c r="AC1212"/>
  <c r="AE1211"/>
  <c r="AE1210"/>
  <c r="AE1209"/>
  <c r="AE1203"/>
  <c r="AE1202"/>
  <c r="I1193"/>
  <c r="AE1191"/>
  <c r="I1191"/>
  <c r="AE1190"/>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D221" i="79" s="1"/>
  <c r="I1058" i="1"/>
  <c r="I1057"/>
  <c r="P1068" s="1"/>
  <c r="D219" i="79" s="1"/>
  <c r="I1055" i="1"/>
  <c r="P1066" s="1"/>
  <c r="D217" i="79" s="1"/>
  <c r="AE1041" i="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D134" i="79" s="1"/>
  <c r="I717" i="1"/>
  <c r="K717" s="1"/>
  <c r="AE716"/>
  <c r="V716"/>
  <c r="AE715"/>
  <c r="AE714"/>
  <c r="V714"/>
  <c r="D131" i="79" s="1"/>
  <c r="AE713" i="1"/>
  <c r="V713"/>
  <c r="AE712"/>
  <c r="AE711"/>
  <c r="AE710"/>
  <c r="W710"/>
  <c r="E127" i="79" s="1"/>
  <c r="AE709" i="1"/>
  <c r="S709"/>
  <c r="A126" i="79" s="1"/>
  <c r="P709" i="1"/>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03" i="68" s="1"/>
  <c r="F10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C566"/>
  <c r="AJ566" s="1"/>
  <c r="AE564"/>
  <c r="AE563"/>
  <c r="AE562"/>
  <c r="M562"/>
  <c r="AE561"/>
  <c r="M561"/>
  <c r="AE560"/>
  <c r="M560"/>
  <c r="AE559"/>
  <c r="M559"/>
  <c r="AE558"/>
  <c r="AE557"/>
  <c r="AE556"/>
  <c r="AE555"/>
  <c r="V555"/>
  <c r="D112" i="79" s="1"/>
  <c r="AE554" i="1"/>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A717" i="68" s="1"/>
  <c r="H377" i="1"/>
  <c r="C715" i="68" s="1"/>
  <c r="C717" s="1"/>
  <c r="P367" i="1"/>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AC30"/>
  <c r="C137" s="1"/>
  <c r="I1218" s="1"/>
  <c r="K1218" s="1"/>
  <c r="W29"/>
  <c r="E29"/>
  <c r="E27"/>
  <c r="C28" s="1"/>
  <c r="I1233" s="1"/>
  <c r="K1233" s="1"/>
  <c r="AC22"/>
  <c r="C84"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W10"/>
  <c r="W11" s="1"/>
  <c r="W12" s="1"/>
  <c r="W13" s="1"/>
  <c r="W14" s="1"/>
  <c r="W15" s="1"/>
  <c r="Q3"/>
  <c r="O3"/>
  <c r="H3"/>
  <c r="AH10"/>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95" i="68" s="1"/>
  <c r="F795" s="1"/>
  <c r="AK27" i="1"/>
  <c r="AH28"/>
  <c r="AI28"/>
  <c r="AJ28"/>
  <c r="C26" s="1"/>
  <c r="I482" s="1"/>
  <c r="K482" s="1"/>
  <c r="AK28"/>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AK64"/>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Z25"/>
  <c r="Z23"/>
  <c r="AC23" s="1"/>
  <c r="C85" s="1"/>
  <c r="Z19"/>
  <c r="Z18"/>
  <c r="AC18" s="1"/>
  <c r="C80" s="1"/>
  <c r="AQ196"/>
  <c r="AS196" s="1"/>
  <c r="D40" i="25"/>
  <c r="D28"/>
  <c r="D41" s="1"/>
  <c r="F41" s="1"/>
  <c r="D25"/>
  <c r="D38" s="1"/>
  <c r="AU3108" i="1"/>
  <c r="AQ3108"/>
  <c r="AQ3107"/>
  <c r="AH3107"/>
  <c r="F679" i="79" s="1"/>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D5" i="25"/>
  <c r="F5" s="1"/>
  <c r="D6"/>
  <c r="F6" s="1"/>
  <c r="D7"/>
  <c r="F7" s="1"/>
  <c r="F8"/>
  <c r="F9"/>
  <c r="F10"/>
  <c r="F11"/>
  <c r="F12"/>
  <c r="F13"/>
  <c r="F14"/>
  <c r="F15"/>
  <c r="F27"/>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B731" i="70"/>
  <c r="C83" i="69" s="1"/>
  <c r="I40" i="25"/>
  <c r="D554"/>
  <c r="F554" s="1"/>
  <c r="I42"/>
  <c r="I38"/>
  <c r="D585"/>
  <c r="F585" s="1"/>
  <c r="E209"/>
  <c r="G209" s="1"/>
  <c r="D620"/>
  <c r="D656" s="1"/>
  <c r="F656" s="1"/>
  <c r="D591"/>
  <c r="F591" s="1"/>
  <c r="D547"/>
  <c r="D24"/>
  <c r="D23"/>
  <c r="D36" s="1"/>
  <c r="D48"/>
  <c r="F48" s="1"/>
  <c r="D49"/>
  <c r="D72" s="1"/>
  <c r="E199"/>
  <c r="G199" s="1"/>
  <c r="E207"/>
  <c r="G207" s="1"/>
  <c r="D50"/>
  <c r="F50" s="1"/>
  <c r="F25"/>
  <c r="AU196" i="1"/>
  <c r="AV196" s="1"/>
  <c r="E210" i="25"/>
  <c r="G210" s="1"/>
  <c r="W45" i="1"/>
  <c r="W42"/>
  <c r="AC1197"/>
  <c r="S1182"/>
  <c r="S1158"/>
  <c r="J628"/>
  <c r="J612"/>
  <c r="V590" s="1"/>
  <c r="J559"/>
  <c r="W561" s="1"/>
  <c r="J535"/>
  <c r="W537" s="1"/>
  <c r="J659"/>
  <c r="W486" s="1"/>
  <c r="AC486" s="1"/>
  <c r="J590"/>
  <c r="I1577"/>
  <c r="K1577" s="1"/>
  <c r="I1910"/>
  <c r="K1910" s="1"/>
  <c r="P503"/>
  <c r="R503" s="1"/>
  <c r="M95"/>
  <c r="M101" s="1"/>
  <c r="P3294"/>
  <c r="P3397" s="1"/>
  <c r="R3397" s="1"/>
  <c r="P213"/>
  <c r="R213" s="1"/>
  <c r="I3172"/>
  <c r="I3185" s="1"/>
  <c r="I3368" s="1"/>
  <c r="I786"/>
  <c r="K786" s="1"/>
  <c r="P25"/>
  <c r="R25" s="1"/>
  <c r="I2125"/>
  <c r="K2125" s="1"/>
  <c r="P622"/>
  <c r="R622" s="1"/>
  <c r="I110"/>
  <c r="K110" s="1"/>
  <c r="K133"/>
  <c r="F670" i="68" s="1"/>
  <c r="I1019" i="1"/>
  <c r="P1093" s="1"/>
  <c r="R1093" s="1"/>
  <c r="I95"/>
  <c r="K95" s="1"/>
  <c r="I3748"/>
  <c r="K3748" s="1"/>
  <c r="I3253"/>
  <c r="K3253" s="1"/>
  <c r="V1334"/>
  <c r="P1375"/>
  <c r="R1375" s="1"/>
  <c r="I3795"/>
  <c r="K3795" s="1"/>
  <c r="I3723"/>
  <c r="K3723" s="1"/>
  <c r="I3706"/>
  <c r="K3706" s="1"/>
  <c r="P3515"/>
  <c r="R3515" s="1"/>
  <c r="I3769"/>
  <c r="K3769" s="1"/>
  <c r="I3749"/>
  <c r="K3749" s="1"/>
  <c r="V3671"/>
  <c r="I3342"/>
  <c r="AF3106"/>
  <c r="P2360"/>
  <c r="P1548"/>
  <c r="R1548" s="1"/>
  <c r="P1377"/>
  <c r="R1377" s="1"/>
  <c r="V1336"/>
  <c r="X1336" s="1"/>
  <c r="F606" i="79" s="1"/>
  <c r="J3044" i="1"/>
  <c r="K3044" s="1"/>
  <c r="I2106"/>
  <c r="K2106" s="1"/>
  <c r="I2077"/>
  <c r="D374" i="68" s="1"/>
  <c r="F374" s="1"/>
  <c r="I2027" i="1"/>
  <c r="K2027" s="1"/>
  <c r="I3768"/>
  <c r="K3768" s="1"/>
  <c r="P3722"/>
  <c r="R3722" s="1"/>
  <c r="I3705"/>
  <c r="K3705" s="1"/>
  <c r="P2671"/>
  <c r="I2164"/>
  <c r="K2164" s="1"/>
  <c r="I2151"/>
  <c r="P2158" s="1"/>
  <c r="R2158" s="1"/>
  <c r="I2177"/>
  <c r="K2177" s="1"/>
  <c r="I2131"/>
  <c r="K2131" s="1"/>
  <c r="I3539"/>
  <c r="I2835"/>
  <c r="D17"/>
  <c r="D32"/>
  <c r="I1104" s="1"/>
  <c r="K1104" s="1"/>
  <c r="I229"/>
  <c r="D692" i="68" s="1"/>
  <c r="F692" s="1"/>
  <c r="I360" i="1"/>
  <c r="K360" s="1"/>
  <c r="P364"/>
  <c r="R364" s="1"/>
  <c r="P3514"/>
  <c r="R3514" s="1"/>
  <c r="P2359"/>
  <c r="I2298"/>
  <c r="K2298" s="1"/>
  <c r="V1335"/>
  <c r="P1376"/>
  <c r="R1376" s="1"/>
  <c r="I2739"/>
  <c r="K2739" s="1"/>
  <c r="I2369"/>
  <c r="K2369" s="1"/>
  <c r="I2132"/>
  <c r="K2132" s="1"/>
  <c r="I1810"/>
  <c r="K1810" s="1"/>
  <c r="I2686"/>
  <c r="K2686" s="1"/>
  <c r="I1944"/>
  <c r="I3565" s="1"/>
  <c r="D606" i="68" s="1"/>
  <c r="F606" s="1"/>
  <c r="I2055" i="1"/>
  <c r="D352" i="68" s="1"/>
  <c r="F352" s="1"/>
  <c r="I1467" i="1"/>
  <c r="K1467" s="1"/>
  <c r="I1507"/>
  <c r="K1507" s="1"/>
  <c r="I1394"/>
  <c r="D189" i="68" s="1"/>
  <c r="F189" s="1"/>
  <c r="I1258" i="1"/>
  <c r="D113" i="68" s="1"/>
  <c r="F113" s="1"/>
  <c r="I1435" i="1"/>
  <c r="K1435" s="1"/>
  <c r="I1224"/>
  <c r="K1224" s="1"/>
  <c r="I1381"/>
  <c r="K1381" s="1"/>
  <c r="V530"/>
  <c r="I606"/>
  <c r="K606" s="1"/>
  <c r="I528"/>
  <c r="K528" s="1"/>
  <c r="I785"/>
  <c r="K785" s="1"/>
  <c r="P505"/>
  <c r="R505" s="1"/>
  <c r="I622"/>
  <c r="K622" s="1"/>
  <c r="I3750"/>
  <c r="K3750" s="1"/>
  <c r="I3724"/>
  <c r="P3724" s="1"/>
  <c r="R3724" s="1"/>
  <c r="I3343"/>
  <c r="P3516"/>
  <c r="R3516" s="1"/>
  <c r="P2411"/>
  <c r="P1378"/>
  <c r="R1378" s="1"/>
  <c r="V1337"/>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351" i="68" s="1"/>
  <c r="F351" s="1"/>
  <c r="I1227" i="1"/>
  <c r="K1227" s="1"/>
  <c r="V710"/>
  <c r="I447"/>
  <c r="K447" s="1"/>
  <c r="I2699"/>
  <c r="K2699" s="1"/>
  <c r="I2153"/>
  <c r="K2153" s="1"/>
  <c r="I2133"/>
  <c r="K2133" s="1"/>
  <c r="I1508"/>
  <c r="K1508" s="1"/>
  <c r="I1648"/>
  <c r="I1235"/>
  <c r="K1235" s="1"/>
  <c r="I1259"/>
  <c r="D114" i="68" s="1"/>
  <c r="F114" s="1"/>
  <c r="I1225" i="1"/>
  <c r="I1254"/>
  <c r="D109" i="68" s="1"/>
  <c r="F109" s="1"/>
  <c r="P506" i="1"/>
  <c r="R506" s="1"/>
  <c r="I812"/>
  <c r="V806" s="1"/>
  <c r="I415"/>
  <c r="K415" s="1"/>
  <c r="P552"/>
  <c r="R552" s="1"/>
  <c r="I3735"/>
  <c r="K3735" s="1"/>
  <c r="K3737" s="1"/>
  <c r="K3738" s="1"/>
  <c r="I3341"/>
  <c r="P2409"/>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P1303"/>
  <c r="R1303" s="1"/>
  <c r="I3722"/>
  <c r="K3722" s="1"/>
  <c r="V3670"/>
  <c r="I3794"/>
  <c r="K3794" s="1"/>
  <c r="I3767"/>
  <c r="K3767" s="1"/>
  <c r="I3704"/>
  <c r="K3704" s="1"/>
  <c r="AF3105"/>
  <c r="D677" i="79" s="1"/>
  <c r="P1547" i="1"/>
  <c r="R1547" s="1"/>
  <c r="P1402"/>
  <c r="V1363" s="1"/>
  <c r="J706"/>
  <c r="I3283"/>
  <c r="K3283" s="1"/>
  <c r="I2636"/>
  <c r="P2643" s="1"/>
  <c r="V3133"/>
  <c r="V3158" s="1"/>
  <c r="I1063"/>
  <c r="I1078" s="1"/>
  <c r="K1078" s="1"/>
  <c r="K1026"/>
  <c r="P1117"/>
  <c r="R1117" s="1"/>
  <c r="R1096"/>
  <c r="P1119"/>
  <c r="R1119" s="1"/>
  <c r="R1098"/>
  <c r="I55"/>
  <c r="P68"/>
  <c r="R68" s="1"/>
  <c r="I199"/>
  <c r="D678" i="68" s="1"/>
  <c r="F678" s="1"/>
  <c r="I314" i="1"/>
  <c r="D705" i="68" s="1"/>
  <c r="F705"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D223" i="79" s="1"/>
  <c r="V582" i="1"/>
  <c r="X582" s="1"/>
  <c r="X648"/>
  <c r="V679"/>
  <c r="X679" s="1"/>
  <c r="AE828"/>
  <c r="K879"/>
  <c r="V882"/>
  <c r="X882" s="1"/>
  <c r="P952"/>
  <c r="R952" s="1"/>
  <c r="K990"/>
  <c r="K994"/>
  <c r="K1023"/>
  <c r="AE1064"/>
  <c r="AG1064" s="1"/>
  <c r="I2426"/>
  <c r="P2433" s="1"/>
  <c r="P1222"/>
  <c r="I2972"/>
  <c r="K2972" s="1"/>
  <c r="K2836"/>
  <c r="I2976"/>
  <c r="K2840"/>
  <c r="AE1067"/>
  <c r="AG1067" s="1"/>
  <c r="K1058"/>
  <c r="I3991"/>
  <c r="I4007" s="1"/>
  <c r="I36" i="25" s="1"/>
  <c r="AB1371" i="1"/>
  <c r="AD1371" s="1"/>
  <c r="AD1354"/>
  <c r="I3992"/>
  <c r="I4008" s="1"/>
  <c r="AB1372"/>
  <c r="AD1372" s="1"/>
  <c r="AD1355"/>
  <c r="P1449"/>
  <c r="R1449" s="1"/>
  <c r="R1433"/>
  <c r="I2975"/>
  <c r="P2982" s="1"/>
  <c r="R2982" s="1"/>
  <c r="K2839"/>
  <c r="P1115"/>
  <c r="R1115" s="1"/>
  <c r="P1398"/>
  <c r="R1398" s="1"/>
  <c r="K1057"/>
  <c r="K1060"/>
  <c r="R1264"/>
  <c r="F570" i="79" s="1"/>
  <c r="AB1350" i="1"/>
  <c r="AD1350" s="1"/>
  <c r="AB1352"/>
  <c r="AB1369" s="1"/>
  <c r="V1374"/>
  <c r="V1391" s="1"/>
  <c r="V1378"/>
  <c r="R1394"/>
  <c r="P1410"/>
  <c r="V1371" s="1"/>
  <c r="R1416"/>
  <c r="P1430"/>
  <c r="P1446" s="1"/>
  <c r="AE1069"/>
  <c r="AG1069" s="1"/>
  <c r="V1369"/>
  <c r="V1386" s="1"/>
  <c r="R1408"/>
  <c r="R1417"/>
  <c r="R1418"/>
  <c r="R1392"/>
  <c r="I3168"/>
  <c r="I3181" s="1"/>
  <c r="K1505"/>
  <c r="I3225"/>
  <c r="K3210"/>
  <c r="L3176" s="1"/>
  <c r="P2861"/>
  <c r="R2861" s="1"/>
  <c r="R2828"/>
  <c r="R3234"/>
  <c r="P3268"/>
  <c r="P3335" s="1"/>
  <c r="R3335" s="1"/>
  <c r="P3362"/>
  <c r="R3362" s="1"/>
  <c r="R3325"/>
  <c r="K1695"/>
  <c r="K1697" s="1"/>
  <c r="I1871"/>
  <c r="K1871" s="1"/>
  <c r="N1944"/>
  <c r="N1945" s="1"/>
  <c r="P2297"/>
  <c r="R2297" s="1"/>
  <c r="I2313"/>
  <c r="K2313" s="1"/>
  <c r="K2467"/>
  <c r="I2487"/>
  <c r="K2487" s="1"/>
  <c r="V2605"/>
  <c r="AE2619" s="1"/>
  <c r="AG2619" s="1"/>
  <c r="V2606"/>
  <c r="AE2620" s="1"/>
  <c r="AG2620" s="1"/>
  <c r="P2649"/>
  <c r="I2763"/>
  <c r="I2764" s="1"/>
  <c r="K2764" s="1"/>
  <c r="H3875"/>
  <c r="P2863"/>
  <c r="R2863" s="1"/>
  <c r="R2830"/>
  <c r="V3121"/>
  <c r="I4071" s="1"/>
  <c r="K4071" s="1"/>
  <c r="R3160"/>
  <c r="K1878"/>
  <c r="P1968"/>
  <c r="D624" i="79" s="1"/>
  <c r="P2006" i="1"/>
  <c r="K2149"/>
  <c r="I2485"/>
  <c r="K2485" s="1"/>
  <c r="K2638"/>
  <c r="P2674"/>
  <c r="E2760"/>
  <c r="P2644"/>
  <c r="I3107"/>
  <c r="K3107" s="1"/>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AJ1197"/>
  <c r="I3060"/>
  <c r="P3067" s="1"/>
  <c r="R3067" s="1"/>
  <c r="K2975"/>
  <c r="P997"/>
  <c r="R997" s="1"/>
  <c r="V3138"/>
  <c r="V3163" s="1"/>
  <c r="X3163" s="1"/>
  <c r="X3121"/>
  <c r="Z2604"/>
  <c r="K339"/>
  <c r="K743"/>
  <c r="P1427"/>
  <c r="R1427" s="1"/>
  <c r="V1359"/>
  <c r="I3994" s="1"/>
  <c r="K3994" s="1"/>
  <c r="K3759"/>
  <c r="K3760" s="1"/>
  <c r="P3723"/>
  <c r="R3723" s="1"/>
  <c r="X14"/>
  <c r="W405"/>
  <c r="W406" s="1"/>
  <c r="P24"/>
  <c r="R24" s="1"/>
  <c r="D416" i="79"/>
  <c r="F320"/>
  <c r="F324"/>
  <c r="F344"/>
  <c r="F348"/>
  <c r="F370"/>
  <c r="F483"/>
  <c r="D325"/>
  <c r="F369"/>
  <c r="I1490" i="1"/>
  <c r="D211" i="68" s="1"/>
  <c r="F211" s="1"/>
  <c r="P376" i="1"/>
  <c r="R376" s="1"/>
  <c r="P390"/>
  <c r="D276" i="68" s="1"/>
  <c r="F276" s="1"/>
  <c r="X13" i="1" l="1"/>
  <c r="X12"/>
  <c r="X35"/>
  <c r="Z33"/>
  <c r="AC33" s="1"/>
  <c r="C140" s="1"/>
  <c r="A207"/>
  <c r="A208" s="1"/>
  <c r="X24"/>
  <c r="F28" i="25"/>
  <c r="AC31" i="1"/>
  <c r="I3461" s="1"/>
  <c r="K3461" s="1"/>
  <c r="V3592"/>
  <c r="X3592" s="1"/>
  <c r="X1374"/>
  <c r="K3992"/>
  <c r="X3132"/>
  <c r="D626" i="25"/>
  <c r="F626" s="1"/>
  <c r="K3523" i="1"/>
  <c r="AK43"/>
  <c r="V1375"/>
  <c r="P3370"/>
  <c r="R3370" s="1"/>
  <c r="P2081"/>
  <c r="R2081" s="1"/>
  <c r="X3561"/>
  <c r="K1063"/>
  <c r="V2608"/>
  <c r="X2608" s="1"/>
  <c r="Z2606" s="1"/>
  <c r="AE2612"/>
  <c r="AB2617" s="1"/>
  <c r="AG2617" s="1"/>
  <c r="X2606"/>
  <c r="F33" i="79"/>
  <c r="AB1389" i="1"/>
  <c r="AD1389" s="1"/>
  <c r="R1410"/>
  <c r="K3103"/>
  <c r="AD1352"/>
  <c r="D305" i="25"/>
  <c r="F305" s="1"/>
  <c r="P3401" i="1"/>
  <c r="R3401" s="1"/>
  <c r="K3724"/>
  <c r="V3543"/>
  <c r="V3559" s="1"/>
  <c r="X880"/>
  <c r="V2607"/>
  <c r="X1391"/>
  <c r="V1407"/>
  <c r="K4008"/>
  <c r="I4023"/>
  <c r="K4023" s="1"/>
  <c r="F351" i="79"/>
  <c r="D351"/>
  <c r="F349"/>
  <c r="D349"/>
  <c r="H3891" i="1"/>
  <c r="D735" i="79"/>
  <c r="R2643" i="1"/>
  <c r="F199" i="79" s="1"/>
  <c r="D199"/>
  <c r="X1337" i="1"/>
  <c r="F607" i="79" s="1"/>
  <c r="D607"/>
  <c r="F416"/>
  <c r="F87"/>
  <c r="D87"/>
  <c r="D387"/>
  <c r="D829" i="68"/>
  <c r="F829" s="1"/>
  <c r="D364" i="79"/>
  <c r="D510" i="68"/>
  <c r="F510" s="1"/>
  <c r="F354" i="79"/>
  <c r="D354"/>
  <c r="D328"/>
  <c r="D33"/>
  <c r="AE1072" i="1"/>
  <c r="AG1072" s="1"/>
  <c r="Z2603"/>
  <c r="P1458"/>
  <c r="D164" i="68"/>
  <c r="F164" s="1"/>
  <c r="D660" i="79"/>
  <c r="D127"/>
  <c r="R2360" i="1"/>
  <c r="F442" i="79" s="1"/>
  <c r="D442"/>
  <c r="E605" i="25"/>
  <c r="A618" s="1"/>
  <c r="D130" i="79"/>
  <c r="D250" i="68"/>
  <c r="F250" s="1"/>
  <c r="D512" i="79"/>
  <c r="X1339" i="1"/>
  <c r="F609" i="79" s="1"/>
  <c r="D609"/>
  <c r="D144" i="68"/>
  <c r="F144" s="1"/>
  <c r="D641" i="79"/>
  <c r="J3854" i="1"/>
  <c r="F714" i="79" s="1"/>
  <c r="D714"/>
  <c r="R2646" i="1"/>
  <c r="F202" i="79" s="1"/>
  <c r="D202"/>
  <c r="AG2659" i="1"/>
  <c r="F175" i="79" s="1"/>
  <c r="D175"/>
  <c r="I3412" i="1"/>
  <c r="F3421" s="1"/>
  <c r="F270" i="79"/>
  <c r="D270"/>
  <c r="F286"/>
  <c r="D286"/>
  <c r="D320"/>
  <c r="F331"/>
  <c r="D331"/>
  <c r="D348"/>
  <c r="D370"/>
  <c r="D29"/>
  <c r="D589" i="68"/>
  <c r="F589" s="1"/>
  <c r="D494" i="79"/>
  <c r="D857" i="68"/>
  <c r="F857" s="1"/>
  <c r="F505" i="79"/>
  <c r="F503"/>
  <c r="D506" i="68"/>
  <c r="F506" s="1"/>
  <c r="D374" i="79"/>
  <c r="D62"/>
  <c r="R2644" i="1"/>
  <c r="F200" i="79" s="1"/>
  <c r="D200"/>
  <c r="R2649" i="1"/>
  <c r="F205" i="79" s="1"/>
  <c r="D205"/>
  <c r="R2411" i="1"/>
  <c r="F553" i="79" s="1"/>
  <c r="D553"/>
  <c r="R2359" i="1"/>
  <c r="F441" i="79" s="1"/>
  <c r="D441"/>
  <c r="AB1334" i="1"/>
  <c r="AC1334" s="1"/>
  <c r="D606" i="79"/>
  <c r="AQ3106" i="1"/>
  <c r="D678" i="79"/>
  <c r="AC537" i="1"/>
  <c r="AJ537" s="1"/>
  <c r="E103" i="79"/>
  <c r="D133"/>
  <c r="D146" i="68"/>
  <c r="D643" i="79"/>
  <c r="D172" i="68"/>
  <c r="D668" i="79"/>
  <c r="M2642" i="1"/>
  <c r="D193" i="79"/>
  <c r="R2648" i="1"/>
  <c r="F204" i="79" s="1"/>
  <c r="D204"/>
  <c r="D264"/>
  <c r="D266"/>
  <c r="F308"/>
  <c r="C329"/>
  <c r="C327"/>
  <c r="D53"/>
  <c r="D35"/>
  <c r="D507" i="68"/>
  <c r="F507" s="1"/>
  <c r="D512"/>
  <c r="F512" s="1"/>
  <c r="D843"/>
  <c r="F843" s="1"/>
  <c r="F78" i="79"/>
  <c r="D78"/>
  <c r="D372"/>
  <c r="D352"/>
  <c r="F264"/>
  <c r="X2605" i="1"/>
  <c r="AB1388"/>
  <c r="AD1388" s="1"/>
  <c r="F352" i="79"/>
  <c r="F372"/>
  <c r="D549" i="68"/>
  <c r="F549" s="1"/>
  <c r="F323" i="79"/>
  <c r="D323"/>
  <c r="D26" i="25"/>
  <c r="D39" s="1"/>
  <c r="F39" s="1"/>
  <c r="R3298" i="1"/>
  <c r="R3300"/>
  <c r="AC561"/>
  <c r="AJ561" s="1"/>
  <c r="E118" i="79"/>
  <c r="D205" i="25"/>
  <c r="A203" s="1"/>
  <c r="G203" s="1"/>
  <c r="X709" i="1"/>
  <c r="D126" i="79"/>
  <c r="P994" i="1"/>
  <c r="R994" s="1"/>
  <c r="P1380"/>
  <c r="R1380" s="1"/>
  <c r="D570" i="79"/>
  <c r="V1379" i="1"/>
  <c r="D148" i="68"/>
  <c r="D645" i="79"/>
  <c r="V2593" i="1"/>
  <c r="S2602" s="1"/>
  <c r="M2641"/>
  <c r="A197" i="79" s="1"/>
  <c r="D188"/>
  <c r="AB2652" i="1"/>
  <c r="A168" i="79" s="1"/>
  <c r="D153"/>
  <c r="H3892" i="1"/>
  <c r="D736" i="79"/>
  <c r="G3897" i="1"/>
  <c r="C757" i="79" s="1"/>
  <c r="A757"/>
  <c r="D260"/>
  <c r="F265"/>
  <c r="F269"/>
  <c r="D269"/>
  <c r="D319"/>
  <c r="D321"/>
  <c r="D324"/>
  <c r="D327"/>
  <c r="F339"/>
  <c r="D337"/>
  <c r="F464"/>
  <c r="D464"/>
  <c r="F418"/>
  <c r="D418"/>
  <c r="D508" i="68"/>
  <c r="F508" s="1"/>
  <c r="D514"/>
  <c r="F514" s="1"/>
  <c r="F537"/>
  <c r="D520"/>
  <c r="F520" s="1"/>
  <c r="R1222" i="1"/>
  <c r="D590" i="79"/>
  <c r="R2410" i="1"/>
  <c r="F552" i="79" s="1"/>
  <c r="D552"/>
  <c r="R2409" i="1"/>
  <c r="F551" i="79" s="1"/>
  <c r="D551"/>
  <c r="AB530" i="1"/>
  <c r="D96" i="79"/>
  <c r="X1335" i="1"/>
  <c r="F605" i="79" s="1"/>
  <c r="D605"/>
  <c r="X1334" i="1"/>
  <c r="F604" i="79" s="1"/>
  <c r="D604"/>
  <c r="D133" i="68"/>
  <c r="D631" i="79"/>
  <c r="D154" i="68"/>
  <c r="D651" i="79"/>
  <c r="R2645" i="1"/>
  <c r="F201" i="79" s="1"/>
  <c r="D201"/>
  <c r="F268"/>
  <c r="D268"/>
  <c r="F530" i="68"/>
  <c r="F295" i="79"/>
  <c r="D344"/>
  <c r="D10"/>
  <c r="D369"/>
  <c r="D493"/>
  <c r="D856" i="68"/>
  <c r="F856" s="1"/>
  <c r="F466" i="79"/>
  <c r="D466"/>
  <c r="F417"/>
  <c r="D417"/>
  <c r="J3875" i="1"/>
  <c r="F735" i="79" s="1"/>
  <c r="K1191" i="1"/>
  <c r="D478" i="68"/>
  <c r="F478" s="1"/>
  <c r="K1629" i="1"/>
  <c r="D324" i="68"/>
  <c r="F324" s="1"/>
  <c r="P1632" i="1"/>
  <c r="D325" i="68"/>
  <c r="F325" s="1"/>
  <c r="F425"/>
  <c r="D444"/>
  <c r="P2516" i="1"/>
  <c r="R2516" s="1"/>
  <c r="D468" i="68"/>
  <c r="F468" s="1"/>
  <c r="K3524" i="1"/>
  <c r="R1430"/>
  <c r="P3369"/>
  <c r="R3369" s="1"/>
  <c r="AD572"/>
  <c r="K1563"/>
  <c r="D653" i="68"/>
  <c r="F653" s="1"/>
  <c r="P1630" i="1"/>
  <c r="D323" i="68"/>
  <c r="F323" s="1"/>
  <c r="D445"/>
  <c r="F426"/>
  <c r="X2790" i="1"/>
  <c r="R1968"/>
  <c r="F624" i="79" s="1"/>
  <c r="D126" i="68"/>
  <c r="F126" s="1"/>
  <c r="V3715" i="1"/>
  <c r="X3715" s="1"/>
  <c r="X1387"/>
  <c r="K2763"/>
  <c r="AS3107"/>
  <c r="D573" i="68"/>
  <c r="F573" s="1"/>
  <c r="I3196" i="1"/>
  <c r="D484" i="68"/>
  <c r="F484" s="1"/>
  <c r="F427"/>
  <c r="D446"/>
  <c r="F446" s="1"/>
  <c r="F26" i="25"/>
  <c r="D662"/>
  <c r="D698" s="1"/>
  <c r="F698" s="1"/>
  <c r="I1602" i="1"/>
  <c r="P2979"/>
  <c r="R2979" s="1"/>
  <c r="AS3108"/>
  <c r="D574" i="68"/>
  <c r="F574" s="1"/>
  <c r="K1559" i="1"/>
  <c r="D649" i="68"/>
  <c r="F649" s="1"/>
  <c r="K1627" i="1"/>
  <c r="D322" i="68"/>
  <c r="F322" s="1"/>
  <c r="K1895" i="1"/>
  <c r="D51" i="69"/>
  <c r="F51" s="1"/>
  <c r="D21"/>
  <c r="F21" s="1"/>
  <c r="F852" i="68"/>
  <c r="F853" s="1"/>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D640" i="68"/>
  <c r="F640" s="1"/>
  <c r="I94" i="1"/>
  <c r="K94" s="1"/>
  <c r="I3102"/>
  <c r="X3116"/>
  <c r="I1056"/>
  <c r="I3149"/>
  <c r="I1131"/>
  <c r="K1131" s="1"/>
  <c r="P721"/>
  <c r="R721" s="1"/>
  <c r="K1019"/>
  <c r="P736"/>
  <c r="R736" s="1"/>
  <c r="I954"/>
  <c r="K954" s="1"/>
  <c r="P752"/>
  <c r="R752" s="1"/>
  <c r="K1969"/>
  <c r="P1969"/>
  <c r="D625" i="79" s="1"/>
  <c r="P431" i="1"/>
  <c r="P450"/>
  <c r="R450" s="1"/>
  <c r="P652"/>
  <c r="R652" s="1"/>
  <c r="I1750"/>
  <c r="K1750" s="1"/>
  <c r="I81"/>
  <c r="P468"/>
  <c r="R468" s="1"/>
  <c r="P640"/>
  <c r="R640" s="1"/>
  <c r="I2145"/>
  <c r="P2152" s="1"/>
  <c r="R2152" s="1"/>
  <c r="K136"/>
  <c r="I82"/>
  <c r="P576"/>
  <c r="R576" s="1"/>
  <c r="I1780"/>
  <c r="K1780" s="1"/>
  <c r="P141"/>
  <c r="D146" i="79" s="1"/>
  <c r="I1970" i="1"/>
  <c r="K1970" s="1"/>
  <c r="P432"/>
  <c r="I3661" s="1"/>
  <c r="D773" i="68" s="1"/>
  <c r="F773" s="1"/>
  <c r="I176" i="1"/>
  <c r="K176" s="1"/>
  <c r="P577"/>
  <c r="R577" s="1"/>
  <c r="I2126"/>
  <c r="K2126" s="1"/>
  <c r="I168"/>
  <c r="K168" s="1"/>
  <c r="R141"/>
  <c r="F146" i="79" s="1"/>
  <c r="P451" i="1"/>
  <c r="R451" s="1"/>
  <c r="I1757"/>
  <c r="K1757" s="1"/>
  <c r="P469"/>
  <c r="R469" s="1"/>
  <c r="I83"/>
  <c r="I2146"/>
  <c r="K2146" s="1"/>
  <c r="K283"/>
  <c r="V715"/>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26" i="68" s="1"/>
  <c r="F326" s="1"/>
  <c r="I1972" i="1"/>
  <c r="P1972" s="1"/>
  <c r="D628" i="79" s="1"/>
  <c r="I3121" i="1"/>
  <c r="I1943"/>
  <c r="I1993"/>
  <c r="K1993" s="1"/>
  <c r="I2011"/>
  <c r="P2012" s="1"/>
  <c r="I2008"/>
  <c r="K2008" s="1"/>
  <c r="I2053"/>
  <c r="D350" i="68" s="1"/>
  <c r="F350" s="1"/>
  <c r="F358" s="1"/>
  <c r="F360" s="1"/>
  <c r="K1564" i="1"/>
  <c r="D654" i="68"/>
  <c r="F654" s="1"/>
  <c r="I1590" i="1"/>
  <c r="K1590" s="1"/>
  <c r="I1506"/>
  <c r="I3169" s="1"/>
  <c r="K3169" s="1"/>
  <c r="I2718"/>
  <c r="K2718" s="1"/>
  <c r="I2712"/>
  <c r="D227" i="68" s="1"/>
  <c r="F227" s="1"/>
  <c r="D237"/>
  <c r="F237" s="1"/>
  <c r="D265"/>
  <c r="F265" s="1"/>
  <c r="K1548" i="1"/>
  <c r="D485" i="68"/>
  <c r="F485" s="1"/>
  <c r="F488" s="1"/>
  <c r="F490" s="1"/>
  <c r="I1533" i="1"/>
  <c r="P1522"/>
  <c r="R1522" s="1"/>
  <c r="I1161"/>
  <c r="K1161" s="1"/>
  <c r="I1518"/>
  <c r="K1518" s="1"/>
  <c r="P339"/>
  <c r="R339" s="1"/>
  <c r="P69"/>
  <c r="R69" s="1"/>
  <c r="V712"/>
  <c r="D129" i="79" s="1"/>
  <c r="I449" i="1"/>
  <c r="K449" s="1"/>
  <c r="I868"/>
  <c r="V647"/>
  <c r="I1339"/>
  <c r="I1307"/>
  <c r="K1307" s="1"/>
  <c r="I1395"/>
  <c r="D190" i="68" s="1"/>
  <c r="F190" s="1"/>
  <c r="I1382" i="1"/>
  <c r="K1382" s="1"/>
  <c r="I1829"/>
  <c r="K1829" s="1"/>
  <c r="I1709"/>
  <c r="K1709" s="1"/>
  <c r="I2429"/>
  <c r="I2385"/>
  <c r="I2714"/>
  <c r="I275"/>
  <c r="K275" s="1"/>
  <c r="D267" i="68"/>
  <c r="F267" s="1"/>
  <c r="D239"/>
  <c r="F239" s="1"/>
  <c r="P393" i="1"/>
  <c r="D279" i="68" s="1"/>
  <c r="F279" s="1"/>
  <c r="I340" i="1"/>
  <c r="K340" s="1"/>
  <c r="V360"/>
  <c r="X360" s="1"/>
  <c r="I384"/>
  <c r="D722" i="68" s="1"/>
  <c r="F722" s="1"/>
  <c r="I214" i="1"/>
  <c r="K214" s="1"/>
  <c r="I886"/>
  <c r="K886" s="1"/>
  <c r="I491"/>
  <c r="K491" s="1"/>
  <c r="I902"/>
  <c r="K902" s="1"/>
  <c r="I1203"/>
  <c r="D746" i="68" s="1"/>
  <c r="F746" s="1"/>
  <c r="I1360" i="1"/>
  <c r="D92" i="68" s="1"/>
  <c r="F92" s="1"/>
  <c r="I1325" i="1"/>
  <c r="K1325" s="1"/>
  <c r="I1436"/>
  <c r="K1436" s="1"/>
  <c r="I1421"/>
  <c r="D202" i="68" s="1"/>
  <c r="F202"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58" i="68" s="1"/>
  <c r="F758" s="1"/>
  <c r="I1520" i="1"/>
  <c r="K1520" s="1"/>
  <c r="P1524"/>
  <c r="R1524" s="1"/>
  <c r="I1493"/>
  <c r="D214" i="68" s="1"/>
  <c r="F214" s="1"/>
  <c r="I2028" i="1"/>
  <c r="P2028" s="1"/>
  <c r="R2028" s="1"/>
  <c r="I2009"/>
  <c r="K2009" s="1"/>
  <c r="I1847"/>
  <c r="I2687"/>
  <c r="K2687" s="1"/>
  <c r="P287"/>
  <c r="R287" s="1"/>
  <c r="P84"/>
  <c r="R84" s="1"/>
  <c r="I316"/>
  <c r="D707" i="68" s="1"/>
  <c r="F707" s="1"/>
  <c r="AS3106" i="1"/>
  <c r="D572" i="68"/>
  <c r="F572" s="1"/>
  <c r="I414" i="1"/>
  <c r="K414" s="1"/>
  <c r="I228"/>
  <c r="D691" i="68" s="1"/>
  <c r="F691" s="1"/>
  <c r="I198" i="1"/>
  <c r="D677" i="68" s="1"/>
  <c r="F677" s="1"/>
  <c r="P321" i="1"/>
  <c r="R321" s="1"/>
  <c r="V646"/>
  <c r="X646" s="1"/>
  <c r="P523"/>
  <c r="R523" s="1"/>
  <c r="I811"/>
  <c r="K811" s="1"/>
  <c r="P551"/>
  <c r="R551" s="1"/>
  <c r="I866"/>
  <c r="I3306" s="1"/>
  <c r="K3306" s="1"/>
  <c r="I900"/>
  <c r="K900" s="1"/>
  <c r="P1523"/>
  <c r="R1523" s="1"/>
  <c r="I1228"/>
  <c r="K1228" s="1"/>
  <c r="P1360"/>
  <c r="R1360" s="1"/>
  <c r="I1306"/>
  <c r="P1304" s="1"/>
  <c r="R1304" s="1"/>
  <c r="I1407"/>
  <c r="D757" i="68" s="1"/>
  <c r="F757" s="1"/>
  <c r="I2031" i="1"/>
  <c r="K2031" s="1"/>
  <c r="I1480"/>
  <c r="K1480" s="1"/>
  <c r="I2165"/>
  <c r="K2165" s="1"/>
  <c r="I1995"/>
  <c r="P1995" s="1"/>
  <c r="I2791"/>
  <c r="K2791" s="1"/>
  <c r="L2757" s="1"/>
  <c r="I1912"/>
  <c r="K1912" s="1"/>
  <c r="I2152"/>
  <c r="P2159" s="1"/>
  <c r="R2159" s="1"/>
  <c r="I2428"/>
  <c r="P2435" s="1"/>
  <c r="R2435" s="1"/>
  <c r="J3045"/>
  <c r="K3045" s="1"/>
  <c r="I383"/>
  <c r="D721" i="68" s="1"/>
  <c r="F721" s="1"/>
  <c r="D266"/>
  <c r="F266" s="1"/>
  <c r="D238"/>
  <c r="F238" s="1"/>
  <c r="F242" s="1"/>
  <c r="F244" s="1"/>
  <c r="I3809" i="1"/>
  <c r="K3809" s="1"/>
  <c r="I490"/>
  <c r="K490" s="1"/>
  <c r="P392"/>
  <c r="D278" i="68" s="1"/>
  <c r="F278" s="1"/>
  <c r="P83" i="1"/>
  <c r="R83" s="1"/>
  <c r="P53"/>
  <c r="R53" s="1"/>
  <c r="I359"/>
  <c r="K359" s="1"/>
  <c r="I300"/>
  <c r="K300" s="1"/>
  <c r="P309"/>
  <c r="R309" s="1"/>
  <c r="I652"/>
  <c r="K652" s="1"/>
  <c r="V711"/>
  <c r="I884"/>
  <c r="K884" s="1"/>
  <c r="I552"/>
  <c r="K552" s="1"/>
  <c r="P1146"/>
  <c r="I1149"/>
  <c r="K1149" s="1"/>
  <c r="I1162"/>
  <c r="K1162" s="1"/>
  <c r="I1273"/>
  <c r="I1420"/>
  <c r="D201" i="68" s="1"/>
  <c r="F201" s="1"/>
  <c r="I1324" i="1"/>
  <c r="K1324" s="1"/>
  <c r="I1519"/>
  <c r="K1519" s="1"/>
  <c r="P2337"/>
  <c r="R2337" s="1"/>
  <c r="I1846"/>
  <c r="K1846" s="1"/>
  <c r="I2335"/>
  <c r="K2335" s="1"/>
  <c r="I2107"/>
  <c r="K2107" s="1"/>
  <c r="I1647"/>
  <c r="I1974"/>
  <c r="K1974" s="1"/>
  <c r="I2178"/>
  <c r="K2178" s="1"/>
  <c r="I2713"/>
  <c r="D228" i="68" s="1"/>
  <c r="F228" s="1"/>
  <c r="I3459" i="1"/>
  <c r="I3826" s="1"/>
  <c r="K3826" s="1"/>
  <c r="I315"/>
  <c r="D706" i="68" s="1"/>
  <c r="F706" s="1"/>
  <c r="V479" i="1"/>
  <c r="AB479" s="1"/>
  <c r="AD479" s="1"/>
  <c r="P350"/>
  <c r="R350" s="1"/>
  <c r="P298"/>
  <c r="R298" s="1"/>
  <c r="I213"/>
  <c r="K213" s="1"/>
  <c r="I727"/>
  <c r="K727" s="1"/>
  <c r="I763"/>
  <c r="K763" s="1"/>
  <c r="P891"/>
  <c r="R891" s="1"/>
  <c r="I584"/>
  <c r="K584" s="1"/>
  <c r="I507"/>
  <c r="I1253"/>
  <c r="D108" i="68" s="1"/>
  <c r="F108" s="1"/>
  <c r="I1202" i="1"/>
  <c r="D745" i="68" s="1"/>
  <c r="F745" s="1"/>
  <c r="I1338" i="1"/>
  <c r="I1455"/>
  <c r="K1455" s="1"/>
  <c r="I1359"/>
  <c r="D91" i="68" s="1"/>
  <c r="F91" s="1"/>
  <c r="I1492" i="1"/>
  <c r="D213" i="68" s="1"/>
  <c r="F213" s="1"/>
  <c r="I2349" i="1"/>
  <c r="I2012"/>
  <c r="P2013" s="1"/>
  <c r="I1828"/>
  <c r="K1828" s="1"/>
  <c r="I2399"/>
  <c r="I1708"/>
  <c r="K1708" s="1"/>
  <c r="I2079"/>
  <c r="D376" i="68" s="1"/>
  <c r="F376" s="1"/>
  <c r="I2322" i="1"/>
  <c r="K2322" s="1"/>
  <c r="I2994"/>
  <c r="K2994" s="1"/>
  <c r="P378"/>
  <c r="R378" s="1"/>
  <c r="P338"/>
  <c r="R338" s="1"/>
  <c r="I274"/>
  <c r="K274" s="1"/>
  <c r="P82"/>
  <c r="R82" s="1"/>
  <c r="I382"/>
  <c r="D720" i="68" s="1"/>
  <c r="F720" s="1"/>
  <c r="I506" i="1"/>
  <c r="I2900" s="1"/>
  <c r="K2900" s="1"/>
  <c r="I1337"/>
  <c r="I1252"/>
  <c r="D107" i="68" s="1"/>
  <c r="F107" s="1"/>
  <c r="I2078" i="1"/>
  <c r="D375" i="68" s="1"/>
  <c r="F375" s="1"/>
  <c r="F382" s="1"/>
  <c r="F384" s="1"/>
  <c r="I2427" i="1"/>
  <c r="P2434" s="1"/>
  <c r="R2434" s="1"/>
  <c r="I2993"/>
  <c r="K2993" s="1"/>
  <c r="I413"/>
  <c r="K413" s="1"/>
  <c r="I358"/>
  <c r="V358" s="1"/>
  <c r="I273"/>
  <c r="K273" s="1"/>
  <c r="P67"/>
  <c r="R67" s="1"/>
  <c r="I299"/>
  <c r="K299" s="1"/>
  <c r="P52"/>
  <c r="R52" s="1"/>
  <c r="P391"/>
  <c r="D277" i="68" s="1"/>
  <c r="F277" s="1"/>
  <c r="F283" s="1"/>
  <c r="F285" s="1"/>
  <c r="D23" i="69" s="1"/>
  <c r="V645" i="1"/>
  <c r="X645" s="1"/>
  <c r="I1380"/>
  <c r="K1380" s="1"/>
  <c r="I1257"/>
  <c r="D112" i="68" s="1"/>
  <c r="F112" s="1"/>
  <c r="I2334" i="1"/>
  <c r="K2334" s="1"/>
  <c r="I1994"/>
  <c r="P1994" s="1"/>
  <c r="I3458"/>
  <c r="K3458" s="1"/>
  <c r="I197"/>
  <c r="D676" i="68" s="1"/>
  <c r="F676" s="1"/>
  <c r="P377" i="1"/>
  <c r="R377" s="1"/>
  <c r="I810"/>
  <c r="V804" s="1"/>
  <c r="X804" s="1"/>
  <c r="P1145"/>
  <c r="I1223"/>
  <c r="K1223" s="1"/>
  <c r="I1358"/>
  <c r="D90" i="68" s="1"/>
  <c r="F90" s="1"/>
  <c r="I1491" i="1"/>
  <c r="D212" i="68" s="1"/>
  <c r="F212" s="1"/>
  <c r="I1973" i="1"/>
  <c r="P285"/>
  <c r="R285" s="1"/>
  <c r="I227"/>
  <c r="D690" i="68" s="1"/>
  <c r="F690" s="1"/>
  <c r="I1353" i="1"/>
  <c r="D85" i="68" s="1"/>
  <c r="F85" s="1"/>
  <c r="C67" i="1"/>
  <c r="I63" s="1"/>
  <c r="AB1386"/>
  <c r="AD1386" s="1"/>
  <c r="AD1369"/>
  <c r="I3530"/>
  <c r="R3403"/>
  <c r="P1463"/>
  <c r="R1446"/>
  <c r="X1403"/>
  <c r="AB1401"/>
  <c r="V1402"/>
  <c r="X1386"/>
  <c r="K1535"/>
  <c r="K1408"/>
  <c r="K1493"/>
  <c r="P165"/>
  <c r="R165" s="1"/>
  <c r="K1407"/>
  <c r="R391"/>
  <c r="R1995"/>
  <c r="F650" i="79" s="1"/>
  <c r="K229" i="1"/>
  <c r="K2077"/>
  <c r="F34" i="79"/>
  <c r="F387"/>
  <c r="F385"/>
  <c r="D37" i="68"/>
  <c r="F37" s="1"/>
  <c r="K4007" i="1"/>
  <c r="K36" i="25" s="1"/>
  <c r="X3543" i="1"/>
  <c r="P1415"/>
  <c r="V1376" s="1"/>
  <c r="P3528"/>
  <c r="R3528" s="1"/>
  <c r="R1426"/>
  <c r="I3057"/>
  <c r="K3057" s="1"/>
  <c r="X1369"/>
  <c r="AE3543"/>
  <c r="X3554"/>
  <c r="R392"/>
  <c r="P199"/>
  <c r="K2712"/>
  <c r="V1283"/>
  <c r="X1283" s="1"/>
  <c r="K1259"/>
  <c r="K1358"/>
  <c r="AB1266"/>
  <c r="AD1266" s="1"/>
  <c r="K1420"/>
  <c r="V383"/>
  <c r="V414" s="1"/>
  <c r="X414" s="1"/>
  <c r="P233"/>
  <c r="R233" s="1"/>
  <c r="K20"/>
  <c r="D20" i="68"/>
  <c r="F20" s="1"/>
  <c r="F547" i="25"/>
  <c r="D584"/>
  <c r="D619" s="1"/>
  <c r="K1490" i="1"/>
  <c r="R390"/>
  <c r="R396" s="1"/>
  <c r="R398" s="1"/>
  <c r="I4034"/>
  <c r="K4034" s="1"/>
  <c r="P3404"/>
  <c r="I37" i="25"/>
  <c r="I3079" i="1"/>
  <c r="K3079" s="1"/>
  <c r="P947"/>
  <c r="R947" s="1"/>
  <c r="V733"/>
  <c r="X733" s="1"/>
  <c r="V898"/>
  <c r="X898" s="1"/>
  <c r="I2507"/>
  <c r="P2514" s="1"/>
  <c r="P1466"/>
  <c r="P3368"/>
  <c r="R3368" s="1"/>
  <c r="P3547"/>
  <c r="R3547" s="1"/>
  <c r="R2006"/>
  <c r="F660" i="79" s="1"/>
  <c r="R1072" i="1"/>
  <c r="F223" i="79" s="1"/>
  <c r="K384" i="1"/>
  <c r="K314"/>
  <c r="K55"/>
  <c r="D55" i="68"/>
  <c r="F55" s="1"/>
  <c r="K1533" i="1"/>
  <c r="K74"/>
  <c r="D74" i="68"/>
  <c r="F74" s="1"/>
  <c r="K1339" i="1"/>
  <c r="K1395"/>
  <c r="I2720"/>
  <c r="K2720" s="1"/>
  <c r="K2054"/>
  <c r="K1253"/>
  <c r="K1202"/>
  <c r="K1338"/>
  <c r="K1359"/>
  <c r="K1492"/>
  <c r="R2013"/>
  <c r="F667" i="79" s="1"/>
  <c r="K2079" i="1"/>
  <c r="R2012"/>
  <c r="F666" i="79" s="1"/>
  <c r="V1286" i="1"/>
  <c r="X1286" s="1"/>
  <c r="R393"/>
  <c r="F35" i="79"/>
  <c r="P1443" i="1"/>
  <c r="R1443" s="1"/>
  <c r="R3268"/>
  <c r="I1783"/>
  <c r="K1783" s="1"/>
  <c r="K3225"/>
  <c r="L3191" s="1"/>
  <c r="K2775"/>
  <c r="K2778" s="1"/>
  <c r="V382"/>
  <c r="P166"/>
  <c r="R166" s="1"/>
  <c r="K65"/>
  <c r="D65" i="68"/>
  <c r="F65" s="1"/>
  <c r="K1203" i="1"/>
  <c r="K1360"/>
  <c r="K1421"/>
  <c r="K1337"/>
  <c r="V1281"/>
  <c r="X1281" s="1"/>
  <c r="K2078"/>
  <c r="K1258"/>
  <c r="K1394"/>
  <c r="K2055"/>
  <c r="K316"/>
  <c r="K29"/>
  <c r="D29" i="68"/>
  <c r="F29" s="1"/>
  <c r="K2053" i="1"/>
  <c r="K141"/>
  <c r="F272" i="25"/>
  <c r="D256" s="1"/>
  <c r="F256" s="1"/>
  <c r="G473"/>
  <c r="A484" s="1"/>
  <c r="G484" s="1"/>
  <c r="D162"/>
  <c r="F162" s="1"/>
  <c r="K1269" i="1"/>
  <c r="R1068"/>
  <c r="F219" i="79" s="1"/>
  <c r="K1270" i="1"/>
  <c r="R1630"/>
  <c r="K2052"/>
  <c r="K2073"/>
  <c r="I896"/>
  <c r="K896" s="1"/>
  <c r="P1050"/>
  <c r="R1050" s="1"/>
  <c r="K1062"/>
  <c r="K1193"/>
  <c r="K1532"/>
  <c r="K2074"/>
  <c r="I2539"/>
  <c r="Z2605"/>
  <c r="AE2641"/>
  <c r="AE2646"/>
  <c r="K2711"/>
  <c r="P3563"/>
  <c r="F10" i="79"/>
  <c r="K1248" i="1"/>
  <c r="R1066"/>
  <c r="F217" i="79" s="1"/>
  <c r="R1070" i="1"/>
  <c r="F221" i="79" s="1"/>
  <c r="R1320" i="1"/>
  <c r="F512" i="79" s="1"/>
  <c r="K1356" i="1"/>
  <c r="K1534"/>
  <c r="K1887"/>
  <c r="R1986"/>
  <c r="F641" i="79" s="1"/>
  <c r="K2075" i="1"/>
  <c r="K2469"/>
  <c r="K2471" s="1"/>
  <c r="K2473" s="1"/>
  <c r="F493" i="79"/>
  <c r="K880" i="1"/>
  <c r="P951"/>
  <c r="R951" s="1"/>
  <c r="AE1066"/>
  <c r="AG1066" s="1"/>
  <c r="P1241"/>
  <c r="R1241" s="1"/>
  <c r="P1538"/>
  <c r="R1538" s="1"/>
  <c r="R1632"/>
  <c r="I1879"/>
  <c r="D400" i="68" s="1"/>
  <c r="F400" s="1"/>
  <c r="K2049" i="1"/>
  <c r="K2051"/>
  <c r="K2076"/>
  <c r="K2116"/>
  <c r="K2119" s="1"/>
  <c r="I2537"/>
  <c r="P2510"/>
  <c r="M2514" s="1"/>
  <c r="K3585"/>
  <c r="K3586" s="1"/>
  <c r="F22" i="79"/>
  <c r="F29"/>
  <c r="F494"/>
  <c r="U3" i="1"/>
  <c r="C3" i="68"/>
  <c r="W35" i="1"/>
  <c r="W36"/>
  <c r="W43"/>
  <c r="W44" s="1"/>
  <c r="W37"/>
  <c r="V682"/>
  <c r="X682" s="1"/>
  <c r="K2012"/>
  <c r="P1993"/>
  <c r="K868"/>
  <c r="I1588"/>
  <c r="K1588" s="1"/>
  <c r="P1305"/>
  <c r="R1305" s="1"/>
  <c r="V584"/>
  <c r="X584" s="1"/>
  <c r="V314"/>
  <c r="AQ66" s="1"/>
  <c r="AQ90" s="1"/>
  <c r="AQ110" s="1"/>
  <c r="AQ135" s="1"/>
  <c r="I2973"/>
  <c r="K2837"/>
  <c r="P1450"/>
  <c r="R1434"/>
  <c r="P1451"/>
  <c r="R1435"/>
  <c r="R1442"/>
  <c r="P1459"/>
  <c r="V3575"/>
  <c r="X3559"/>
  <c r="D368" i="79"/>
  <c r="I4010" i="1"/>
  <c r="P1539" s="1"/>
  <c r="R1539" s="1"/>
  <c r="K2507"/>
  <c r="V765"/>
  <c r="X765" s="1"/>
  <c r="V384"/>
  <c r="V415" s="1"/>
  <c r="X415" s="1"/>
  <c r="K1056"/>
  <c r="G447" i="25"/>
  <c r="E437" s="1"/>
  <c r="G437" s="1"/>
  <c r="V2598" i="1"/>
  <c r="S2603" s="1"/>
  <c r="X2603" s="1"/>
  <c r="F327" i="79"/>
  <c r="V3523" i="1"/>
  <c r="X3523" s="1"/>
  <c r="X3683"/>
  <c r="K3343"/>
  <c r="I3442"/>
  <c r="K3442" s="1"/>
  <c r="F23" i="25"/>
  <c r="AG43" i="1"/>
  <c r="I898"/>
  <c r="K898" s="1"/>
  <c r="K1682"/>
  <c r="R3266"/>
  <c r="F364" i="79"/>
  <c r="D552" i="25"/>
  <c r="F552" s="1"/>
  <c r="K3060" i="1"/>
  <c r="AE1065"/>
  <c r="AG1065" s="1"/>
  <c r="D111" i="25"/>
  <c r="C21" i="1"/>
  <c r="AF450" s="1"/>
  <c r="AF451" s="1"/>
  <c r="AF452" s="1"/>
  <c r="AF453" s="1"/>
  <c r="AF454" s="1"/>
  <c r="AF455" s="1"/>
  <c r="AF456" s="1"/>
  <c r="AF457" s="1"/>
  <c r="AF458" s="1"/>
  <c r="AF459" s="1"/>
  <c r="AF460" s="1"/>
  <c r="AF461" s="1"/>
  <c r="AF462" s="1"/>
  <c r="AF463" s="1"/>
  <c r="P2647"/>
  <c r="X2791"/>
  <c r="P3157"/>
  <c r="R3157" s="1"/>
  <c r="AG46"/>
  <c r="F319" i="79"/>
  <c r="D350"/>
  <c r="P1494" i="1"/>
  <c r="I1093"/>
  <c r="V1282"/>
  <c r="X1282" s="1"/>
  <c r="K2011"/>
  <c r="I3541"/>
  <c r="AE3541" s="1"/>
  <c r="X879"/>
  <c r="K3341"/>
  <c r="I3440"/>
  <c r="K3440" s="1"/>
  <c r="K3342"/>
  <c r="I3441"/>
  <c r="K3441" s="1"/>
  <c r="P2060"/>
  <c r="I4038"/>
  <c r="K4038" s="1"/>
  <c r="P3712"/>
  <c r="R3712" s="1"/>
  <c r="F662" i="25"/>
  <c r="V3540" i="1"/>
  <c r="P1074"/>
  <c r="D225" i="79" s="1"/>
  <c r="AH3106" i="1"/>
  <c r="F678" i="79" s="1"/>
  <c r="K338" i="1"/>
  <c r="AB1367"/>
  <c r="P3529"/>
  <c r="R3529" s="1"/>
  <c r="R2078"/>
  <c r="K1020"/>
  <c r="P1073"/>
  <c r="D224" i="79" s="1"/>
  <c r="F374"/>
  <c r="K3540" i="1"/>
  <c r="X1359"/>
  <c r="I3987"/>
  <c r="AE3561"/>
  <c r="P990"/>
  <c r="R990" s="1"/>
  <c r="P3396"/>
  <c r="R3396" s="1"/>
  <c r="K3539"/>
  <c r="F264" i="25"/>
  <c r="F265" s="1"/>
  <c r="V3609" i="1"/>
  <c r="X3609" s="1"/>
  <c r="P1460"/>
  <c r="R1460" s="1"/>
  <c r="AE3540"/>
  <c r="AB1357"/>
  <c r="X3570"/>
  <c r="P1071"/>
  <c r="D222" i="79" s="1"/>
  <c r="F395"/>
  <c r="K1306" i="1"/>
  <c r="K1972"/>
  <c r="P2010"/>
  <c r="P2160"/>
  <c r="R2160" s="1"/>
  <c r="K2151"/>
  <c r="K2030"/>
  <c r="K227"/>
  <c r="V340"/>
  <c r="X340" s="1"/>
  <c r="AD646"/>
  <c r="AF646" s="1"/>
  <c r="P2298"/>
  <c r="R2298" s="1"/>
  <c r="K2666"/>
  <c r="K1506"/>
  <c r="K2428"/>
  <c r="AB1335"/>
  <c r="AC1335" s="1"/>
  <c r="P1974"/>
  <c r="D630" i="79" s="1"/>
  <c r="P2673" i="1"/>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F52" s="1"/>
  <c r="D42" s="1"/>
  <c r="F42" s="1"/>
  <c r="P3543" i="1"/>
  <c r="R3543" s="1"/>
  <c r="K812"/>
  <c r="P3465"/>
  <c r="R3465" s="1"/>
  <c r="F325" i="79"/>
  <c r="AB1418" i="1"/>
  <c r="AD1418" s="1"/>
  <c r="AD1401"/>
  <c r="V1421"/>
  <c r="X1421" s="1"/>
  <c r="P1491"/>
  <c r="V3520"/>
  <c r="X3520" s="1"/>
  <c r="X3540"/>
  <c r="V3556"/>
  <c r="X1402"/>
  <c r="AB1400"/>
  <c r="V1419"/>
  <c r="X1419" s="1"/>
  <c r="V768"/>
  <c r="X768" s="1"/>
  <c r="AE369"/>
  <c r="AG369" s="1"/>
  <c r="X3138"/>
  <c r="K3991"/>
  <c r="V3541"/>
  <c r="P3545"/>
  <c r="R3545" s="1"/>
  <c r="K3541"/>
  <c r="X3161"/>
  <c r="D550" i="25"/>
  <c r="K2977" i="1"/>
  <c r="P2984"/>
  <c r="R2984" s="1"/>
  <c r="I3062"/>
  <c r="P1220"/>
  <c r="D588" i="79" s="1"/>
  <c r="K1225" i="1"/>
  <c r="I3643"/>
  <c r="K1648"/>
  <c r="P1176"/>
  <c r="R1176" s="1"/>
  <c r="R1145"/>
  <c r="K1973"/>
  <c r="P1973"/>
  <c r="D629" i="79" s="1"/>
  <c r="I4018" i="1"/>
  <c r="I4006"/>
  <c r="K4006" s="1"/>
  <c r="V1388"/>
  <c r="X1371"/>
  <c r="X3545"/>
  <c r="V3525"/>
  <c r="X3525" s="1"/>
  <c r="P3366"/>
  <c r="R3366" s="1"/>
  <c r="R3297"/>
  <c r="P3400"/>
  <c r="R3400" s="1"/>
  <c r="K2976"/>
  <c r="P2983"/>
  <c r="R2983" s="1"/>
  <c r="I3747"/>
  <c r="R2433"/>
  <c r="K2681"/>
  <c r="I2682"/>
  <c r="K4010"/>
  <c r="R1458"/>
  <c r="I4022"/>
  <c r="I3988"/>
  <c r="K2426"/>
  <c r="I2696"/>
  <c r="K2696" s="1"/>
  <c r="V736"/>
  <c r="X736" s="1"/>
  <c r="K3987"/>
  <c r="I3061"/>
  <c r="P1432"/>
  <c r="R1415"/>
  <c r="I3076"/>
  <c r="K3076" s="1"/>
  <c r="P3064"/>
  <c r="R3064" s="1"/>
  <c r="I3056"/>
  <c r="K3181"/>
  <c r="K3168"/>
  <c r="K2145"/>
  <c r="P1335"/>
  <c r="R1335" s="1"/>
  <c r="V805"/>
  <c r="I1782"/>
  <c r="K1782" s="1"/>
  <c r="V884"/>
  <c r="X1370"/>
  <c r="I3323"/>
  <c r="R3263"/>
  <c r="X3135"/>
  <c r="V3160"/>
  <c r="V1395"/>
  <c r="X1378"/>
  <c r="AQ3105"/>
  <c r="AH3105"/>
  <c r="K1165"/>
  <c r="K1167" s="1"/>
  <c r="I1136" s="1"/>
  <c r="K228"/>
  <c r="P234"/>
  <c r="R234" s="1"/>
  <c r="X3672"/>
  <c r="AE3666"/>
  <c r="AG3666" s="1"/>
  <c r="I3308"/>
  <c r="K3308" s="1"/>
  <c r="V868"/>
  <c r="X868" s="1"/>
  <c r="X647"/>
  <c r="AD647"/>
  <c r="AF647" s="1"/>
  <c r="P2436"/>
  <c r="R2436" s="1"/>
  <c r="K2429"/>
  <c r="V680"/>
  <c r="V766" s="1"/>
  <c r="X766" s="1"/>
  <c r="X710"/>
  <c r="D37" i="25"/>
  <c r="F37" s="1"/>
  <c r="F24"/>
  <c r="K1152" i="1"/>
  <c r="K1154" s="1"/>
  <c r="K866"/>
  <c r="I3927"/>
  <c r="V866"/>
  <c r="X866" s="1"/>
  <c r="K315"/>
  <c r="V315"/>
  <c r="I2971"/>
  <c r="K2835"/>
  <c r="K3102"/>
  <c r="P2076"/>
  <c r="X3671"/>
  <c r="AE3665"/>
  <c r="AG3665" s="1"/>
  <c r="P3192"/>
  <c r="P3261" s="1"/>
  <c r="I2817"/>
  <c r="P2824" s="1"/>
  <c r="R2824" s="1"/>
  <c r="I3660"/>
  <c r="R431"/>
  <c r="V681"/>
  <c r="I1287"/>
  <c r="K1287" s="1"/>
  <c r="K1273"/>
  <c r="I3642"/>
  <c r="K1647"/>
  <c r="I2719"/>
  <c r="K2719" s="1"/>
  <c r="K2713"/>
  <c r="I3464"/>
  <c r="K3459"/>
  <c r="AE3539"/>
  <c r="V3539"/>
  <c r="P1633"/>
  <c r="K1631"/>
  <c r="K3121"/>
  <c r="K3123" s="1"/>
  <c r="P3121"/>
  <c r="F36" i="25"/>
  <c r="D59"/>
  <c r="F620"/>
  <c r="G505"/>
  <c r="E190"/>
  <c r="K749" i="1"/>
  <c r="K751" s="1"/>
  <c r="I757" s="1"/>
  <c r="K757" s="1"/>
  <c r="I777" s="1"/>
  <c r="K3575"/>
  <c r="K3576" s="1"/>
  <c r="I3577" s="1"/>
  <c r="K730"/>
  <c r="K732" s="1"/>
  <c r="K801" s="1"/>
  <c r="E677" i="25"/>
  <c r="A690" s="1"/>
  <c r="E534"/>
  <c r="A546" s="1"/>
  <c r="R1393" i="1"/>
  <c r="P2858"/>
  <c r="R2858" s="1"/>
  <c r="R3265"/>
  <c r="I3745"/>
  <c r="K3745" s="1"/>
  <c r="K1059"/>
  <c r="I2314"/>
  <c r="K2314" s="1"/>
  <c r="K2318" s="1"/>
  <c r="R3199"/>
  <c r="D346" i="79"/>
  <c r="AK46" i="1"/>
  <c r="X36"/>
  <c r="X37" s="1"/>
  <c r="P1052"/>
  <c r="R1052" s="1"/>
  <c r="AE1194"/>
  <c r="P2051"/>
  <c r="M2074" s="1"/>
  <c r="P2299"/>
  <c r="R2299" s="1"/>
  <c r="X2788"/>
  <c r="I4068"/>
  <c r="K4068" s="1"/>
  <c r="I3979"/>
  <c r="K3979" s="1"/>
  <c r="F321" i="79"/>
  <c r="C36" i="1"/>
  <c r="K134" s="1"/>
  <c r="P3227"/>
  <c r="I3212"/>
  <c r="D304" i="68" s="1"/>
  <c r="F304" s="1"/>
  <c r="I3198" i="1"/>
  <c r="D293" i="68" s="1"/>
  <c r="F293" s="1"/>
  <c r="C461" i="1"/>
  <c r="AJ46"/>
  <c r="C24" s="1"/>
  <c r="C23"/>
  <c r="V901"/>
  <c r="X901" s="1"/>
  <c r="P991"/>
  <c r="R991" s="1"/>
  <c r="P995"/>
  <c r="R995" s="1"/>
  <c r="AE1068"/>
  <c r="AG1068" s="1"/>
  <c r="AB1359"/>
  <c r="AB1360"/>
  <c r="P1431"/>
  <c r="P2065"/>
  <c r="M2077" s="1"/>
  <c r="R2077" s="1"/>
  <c r="R2079"/>
  <c r="AE2622"/>
  <c r="AG2622" s="1"/>
  <c r="X2787"/>
  <c r="U3150"/>
  <c r="R3264"/>
  <c r="P3333"/>
  <c r="R3333" s="1"/>
  <c r="J4052"/>
  <c r="F4064" s="1"/>
  <c r="F53" i="79"/>
  <c r="I4025" i="1"/>
  <c r="F328" i="79"/>
  <c r="D371"/>
  <c r="I39" i="25"/>
  <c r="V3602" i="1"/>
  <c r="X3602" s="1"/>
  <c r="AE340"/>
  <c r="AG340" s="1"/>
  <c r="P3402"/>
  <c r="R3402" s="1"/>
  <c r="G329" i="25"/>
  <c r="G330" s="1"/>
  <c r="G331" s="1"/>
  <c r="F138"/>
  <c r="D161"/>
  <c r="F161" s="1"/>
  <c r="D304"/>
  <c r="F304" s="1"/>
  <c r="G498"/>
  <c r="E488" s="1"/>
  <c r="G419"/>
  <c r="G420" s="1"/>
  <c r="G421" s="1"/>
  <c r="A432" s="1"/>
  <c r="G432" s="1"/>
  <c r="G439" s="1"/>
  <c r="G440" s="1"/>
  <c r="F584"/>
  <c r="G466"/>
  <c r="R1404" i="1"/>
  <c r="F111" i="25"/>
  <c r="D137"/>
  <c r="F137" s="1"/>
  <c r="E570"/>
  <c r="A583" s="1"/>
  <c r="G477"/>
  <c r="F292"/>
  <c r="F293" s="1"/>
  <c r="E641"/>
  <c r="A654" s="1"/>
  <c r="V3538" i="1"/>
  <c r="P3542"/>
  <c r="R3542" s="1"/>
  <c r="K684"/>
  <c r="I686" s="1"/>
  <c r="K686" s="1"/>
  <c r="P989"/>
  <c r="R989" s="1"/>
  <c r="K1024"/>
  <c r="K1055"/>
  <c r="X1356"/>
  <c r="X1357"/>
  <c r="K1547"/>
  <c r="K1551" s="1"/>
  <c r="K1553" s="1"/>
  <c r="I2538"/>
  <c r="I2486"/>
  <c r="AE2607"/>
  <c r="AB2616" s="1"/>
  <c r="P3193"/>
  <c r="R3193" s="1"/>
  <c r="K2637"/>
  <c r="I3074"/>
  <c r="P3062"/>
  <c r="R3062" s="1"/>
  <c r="K3151"/>
  <c r="K3155"/>
  <c r="K3940"/>
  <c r="G357" i="25"/>
  <c r="E347" s="1"/>
  <c r="G347" s="1"/>
  <c r="G349" s="1"/>
  <c r="G350" s="1"/>
  <c r="Z38" i="1"/>
  <c r="AC38" s="1"/>
  <c r="AI43"/>
  <c r="P948"/>
  <c r="R948" s="1"/>
  <c r="K1670"/>
  <c r="P2675"/>
  <c r="R2826"/>
  <c r="G402" i="25"/>
  <c r="E392" s="1"/>
  <c r="G392" s="1"/>
  <c r="G394" s="1"/>
  <c r="G395" s="1"/>
  <c r="G374"/>
  <c r="D197"/>
  <c r="A194" s="1"/>
  <c r="G194" s="1"/>
  <c r="Z9" i="1"/>
  <c r="Z11"/>
  <c r="AH43"/>
  <c r="M563"/>
  <c r="P1053"/>
  <c r="R1053" s="1"/>
  <c r="V1353"/>
  <c r="R1357"/>
  <c r="R1358" s="1"/>
  <c r="R1363" s="1"/>
  <c r="R1365" s="1"/>
  <c r="R2080"/>
  <c r="K2098"/>
  <c r="K2642"/>
  <c r="K2668"/>
  <c r="X2786"/>
  <c r="V3122"/>
  <c r="R3231"/>
  <c r="I3829"/>
  <c r="K3829" s="1"/>
  <c r="K3462"/>
  <c r="AB3539"/>
  <c r="AB3538"/>
  <c r="AG3538" s="1"/>
  <c r="F287" i="79"/>
  <c r="P2056" i="1"/>
  <c r="K2639"/>
  <c r="X2789"/>
  <c r="R2827"/>
  <c r="R3230"/>
  <c r="X3653"/>
  <c r="K3691"/>
  <c r="G3899"/>
  <c r="K3055"/>
  <c r="K3148"/>
  <c r="K3538"/>
  <c r="K3692"/>
  <c r="H3869"/>
  <c r="X479"/>
  <c r="AS66"/>
  <c r="AE339"/>
  <c r="AG339" s="1"/>
  <c r="X680"/>
  <c r="AE393"/>
  <c r="AE429" s="1"/>
  <c r="AG429" s="1"/>
  <c r="K1944"/>
  <c r="V316"/>
  <c r="AE316" s="1"/>
  <c r="AG316" s="1"/>
  <c r="K83"/>
  <c r="V735"/>
  <c r="X735" s="1"/>
  <c r="K1994"/>
  <c r="P197"/>
  <c r="I3463"/>
  <c r="P3469" s="1"/>
  <c r="R3469" s="1"/>
  <c r="P1178"/>
  <c r="R1178" s="1"/>
  <c r="AE2618"/>
  <c r="AG2618" s="1"/>
  <c r="AE392"/>
  <c r="P1893"/>
  <c r="P1114"/>
  <c r="I3825"/>
  <c r="K3825" s="1"/>
  <c r="K1257"/>
  <c r="K1847"/>
  <c r="K2028"/>
  <c r="V554"/>
  <c r="K197"/>
  <c r="D71" i="25"/>
  <c r="AE2652" i="1"/>
  <c r="P3464"/>
  <c r="R3464" s="1"/>
  <c r="P1863"/>
  <c r="V1287"/>
  <c r="X1287" s="1"/>
  <c r="V359"/>
  <c r="P3507"/>
  <c r="R3507" s="1"/>
  <c r="R3509" s="1"/>
  <c r="R3510" s="1"/>
  <c r="I111"/>
  <c r="K111" s="1"/>
  <c r="K114" s="1"/>
  <c r="K116" s="1"/>
  <c r="L116" s="1"/>
  <c r="I2902"/>
  <c r="K2902" s="1"/>
  <c r="AB1333"/>
  <c r="AC1333" s="1"/>
  <c r="P2374"/>
  <c r="R2374" s="1"/>
  <c r="R432"/>
  <c r="K3661"/>
  <c r="I3682"/>
  <c r="K3682" s="1"/>
  <c r="AB1191"/>
  <c r="R3192"/>
  <c r="X338"/>
  <c r="R1552"/>
  <c r="P1541" s="1"/>
  <c r="R1541" s="1"/>
  <c r="AC25"/>
  <c r="C87" s="1"/>
  <c r="Z24"/>
  <c r="AC24" s="1"/>
  <c r="C86" s="1"/>
  <c r="Z26"/>
  <c r="K1807"/>
  <c r="V821"/>
  <c r="X821" s="1"/>
  <c r="X806"/>
  <c r="R1220"/>
  <c r="P1262"/>
  <c r="D568" i="79" s="1"/>
  <c r="P1225" i="1"/>
  <c r="D593" i="79" s="1"/>
  <c r="AI530" i="1"/>
  <c r="AI554" s="1"/>
  <c r="AD530"/>
  <c r="AB554"/>
  <c r="K3565"/>
  <c r="P3568"/>
  <c r="X358"/>
  <c r="AE367"/>
  <c r="AG367" s="1"/>
  <c r="K1511"/>
  <c r="K1513" s="1"/>
  <c r="I3182"/>
  <c r="K3056"/>
  <c r="V739"/>
  <c r="X739" s="1"/>
  <c r="I3832"/>
  <c r="K3832" s="1"/>
  <c r="X384"/>
  <c r="R3294"/>
  <c r="P2375"/>
  <c r="R2375" s="1"/>
  <c r="I3170"/>
  <c r="P1219"/>
  <c r="D587" i="79" s="1"/>
  <c r="P1218" i="1"/>
  <c r="D586" i="79" s="1"/>
  <c r="I3171" i="1"/>
  <c r="V1288"/>
  <c r="X1288" s="1"/>
  <c r="K1254"/>
  <c r="P1321"/>
  <c r="X3670"/>
  <c r="R382"/>
  <c r="R384" s="1"/>
  <c r="V3555"/>
  <c r="K3465"/>
  <c r="X530"/>
  <c r="F96" i="79" s="1"/>
  <c r="P2009" i="1"/>
  <c r="K358"/>
  <c r="P126"/>
  <c r="R126" s="1"/>
  <c r="AE3664"/>
  <c r="AG3664" s="1"/>
  <c r="D73" i="25"/>
  <c r="K3772" i="1"/>
  <c r="K3774" s="1"/>
  <c r="I3355"/>
  <c r="D313" i="68" s="1"/>
  <c r="F313" s="1"/>
  <c r="K3368" i="1"/>
  <c r="K3185"/>
  <c r="X3133"/>
  <c r="R1527"/>
  <c r="R1529" s="1"/>
  <c r="V3251"/>
  <c r="X3251" s="1"/>
  <c r="K1538"/>
  <c r="K1540" s="1"/>
  <c r="I3808"/>
  <c r="K3808" s="1"/>
  <c r="V199"/>
  <c r="X199" s="1"/>
  <c r="R199"/>
  <c r="X3158"/>
  <c r="V1323"/>
  <c r="X1323" s="1"/>
  <c r="K3104"/>
  <c r="P198"/>
  <c r="K199"/>
  <c r="K3725"/>
  <c r="I3717" s="1"/>
  <c r="K3717" s="1"/>
  <c r="K3718" s="1"/>
  <c r="K3719" s="1"/>
  <c r="K2372"/>
  <c r="K2374" s="1"/>
  <c r="K3346"/>
  <c r="K3348" s="1"/>
  <c r="P167"/>
  <c r="R167" s="1"/>
  <c r="I2336"/>
  <c r="K2336" s="1"/>
  <c r="K2337" s="1"/>
  <c r="K2338" s="1"/>
  <c r="I2342" s="1"/>
  <c r="K2342" s="1"/>
  <c r="AS90"/>
  <c r="K1524"/>
  <c r="K1526" s="1"/>
  <c r="L2759"/>
  <c r="K2793" s="1"/>
  <c r="I3547"/>
  <c r="I3109"/>
  <c r="AK530"/>
  <c r="R2379"/>
  <c r="R2381" s="1"/>
  <c r="K3708"/>
  <c r="K3709" s="1"/>
  <c r="K3799"/>
  <c r="I3789" s="1"/>
  <c r="R3518"/>
  <c r="R3519" s="1"/>
  <c r="I3506" s="1"/>
  <c r="K3506" s="1"/>
  <c r="K2167"/>
  <c r="K2169" s="1"/>
  <c r="K2085"/>
  <c r="K2087" s="1"/>
  <c r="K3046"/>
  <c r="R1309"/>
  <c r="R1311" s="1"/>
  <c r="R2338"/>
  <c r="R2339" s="1"/>
  <c r="R893"/>
  <c r="R895" s="1"/>
  <c r="R588"/>
  <c r="R590" s="1"/>
  <c r="K2180"/>
  <c r="K2182" s="1"/>
  <c r="K2184" s="1"/>
  <c r="K2723"/>
  <c r="K2725" s="1"/>
  <c r="R2414"/>
  <c r="R462"/>
  <c r="R464" s="1"/>
  <c r="P23"/>
  <c r="P9"/>
  <c r="R9" s="1"/>
  <c r="I1322"/>
  <c r="K1322" s="1"/>
  <c r="AC19"/>
  <c r="C81" s="1"/>
  <c r="Z20"/>
  <c r="AC20" s="1"/>
  <c r="I225" s="1"/>
  <c r="D688" i="68" s="1"/>
  <c r="F688" s="1"/>
  <c r="I379" i="1"/>
  <c r="D717" i="68" s="1"/>
  <c r="F717" s="1"/>
  <c r="I335" i="1"/>
  <c r="K335" s="1"/>
  <c r="I311"/>
  <c r="D702" i="68" s="1"/>
  <c r="F702" s="1"/>
  <c r="I410" i="1"/>
  <c r="K410" s="1"/>
  <c r="I355"/>
  <c r="K355" s="1"/>
  <c r="Z29"/>
  <c r="X19"/>
  <c r="X20" s="1"/>
  <c r="F16" i="25"/>
  <c r="F18" s="1"/>
  <c r="F72"/>
  <c r="D100"/>
  <c r="F615" i="68"/>
  <c r="F617" s="1"/>
  <c r="I1573" i="1"/>
  <c r="K1573" s="1"/>
  <c r="I1601"/>
  <c r="D638" i="68" s="1"/>
  <c r="F638" s="1"/>
  <c r="K2273" i="1"/>
  <c r="F455" i="79"/>
  <c r="K3577" i="1"/>
  <c r="V807"/>
  <c r="V771" s="1"/>
  <c r="R1148"/>
  <c r="P1179" s="1"/>
  <c r="R1179" s="1"/>
  <c r="R2361"/>
  <c r="S2321"/>
  <c r="R3725"/>
  <c r="P3717" s="1"/>
  <c r="R3717" s="1"/>
  <c r="R3719" s="1"/>
  <c r="R3720" s="1"/>
  <c r="I3321"/>
  <c r="R3261"/>
  <c r="AG3669"/>
  <c r="K768"/>
  <c r="K770" s="1"/>
  <c r="I2356" s="1"/>
  <c r="K777"/>
  <c r="K792" s="1"/>
  <c r="K794" s="1"/>
  <c r="I2872"/>
  <c r="K2872" s="1"/>
  <c r="K130"/>
  <c r="R487"/>
  <c r="R489" s="1"/>
  <c r="K2323"/>
  <c r="K2324" s="1"/>
  <c r="I2329" s="1"/>
  <c r="K2329" s="1"/>
  <c r="K2330" s="1"/>
  <c r="K2331" s="1"/>
  <c r="K2061"/>
  <c r="K2063" s="1"/>
  <c r="AE3555"/>
  <c r="AG3555" s="1"/>
  <c r="E517" i="25"/>
  <c r="G517" s="1"/>
  <c r="G519" s="1"/>
  <c r="G520" s="1"/>
  <c r="G488"/>
  <c r="D303"/>
  <c r="F303" s="1"/>
  <c r="D160"/>
  <c r="F160" s="1"/>
  <c r="F548"/>
  <c r="D302"/>
  <c r="F302" s="1"/>
  <c r="D159"/>
  <c r="F159" s="1"/>
  <c r="I156" i="1"/>
  <c r="K156" s="1"/>
  <c r="I46"/>
  <c r="D46" i="68" s="1"/>
  <c r="F46" s="1"/>
  <c r="I11" i="1"/>
  <c r="D11" i="68" s="1"/>
  <c r="F11" s="1"/>
  <c r="K956" i="1"/>
  <c r="P949"/>
  <c r="R949" s="1"/>
  <c r="P1069"/>
  <c r="D220" i="79" s="1"/>
  <c r="P992" i="1"/>
  <c r="R992" s="1"/>
  <c r="X1358"/>
  <c r="AB1356"/>
  <c r="X1360"/>
  <c r="AB1358"/>
  <c r="AE2624"/>
  <c r="AG2624" s="1"/>
  <c r="X2610"/>
  <c r="AE2658"/>
  <c r="P3161"/>
  <c r="K3154"/>
  <c r="R3158"/>
  <c r="P3194"/>
  <c r="I3328"/>
  <c r="I3430" s="1"/>
  <c r="V3258"/>
  <c r="X3258" s="1"/>
  <c r="K3366"/>
  <c r="K3370" s="1"/>
  <c r="K3371" s="1"/>
  <c r="I3353"/>
  <c r="D311" i="68" s="1"/>
  <c r="F311" s="1"/>
  <c r="X15" i="1"/>
  <c r="I3005"/>
  <c r="K3005" s="1"/>
  <c r="C30"/>
  <c r="P2862"/>
  <c r="R2862" s="1"/>
  <c r="K3074"/>
  <c r="P3148"/>
  <c r="M3155" s="1"/>
  <c r="R3155" s="1"/>
  <c r="I3958"/>
  <c r="K1025"/>
  <c r="P1099"/>
  <c r="V1394"/>
  <c r="X1377"/>
  <c r="V1355"/>
  <c r="P1411"/>
  <c r="R1412"/>
  <c r="P1429"/>
  <c r="K1626"/>
  <c r="P1628"/>
  <c r="K3327"/>
  <c r="I3396"/>
  <c r="I3429" s="1"/>
  <c r="P950"/>
  <c r="R950" s="1"/>
  <c r="K957"/>
  <c r="R1603"/>
  <c r="P1615"/>
  <c r="R1615" s="1"/>
  <c r="K2024"/>
  <c r="P2024"/>
  <c r="R2024" s="1"/>
  <c r="K2670"/>
  <c r="P2677"/>
  <c r="I3108"/>
  <c r="K2970"/>
  <c r="P2977"/>
  <c r="R2977" s="1"/>
  <c r="I3395"/>
  <c r="I3428" s="1"/>
  <c r="K3428" s="1"/>
  <c r="K3326"/>
  <c r="C10"/>
  <c r="D31"/>
  <c r="V81"/>
  <c r="AF684"/>
  <c r="AF686" s="1"/>
  <c r="K704"/>
  <c r="I706" s="1"/>
  <c r="K706" s="1"/>
  <c r="P2061"/>
  <c r="K2886"/>
  <c r="K2888" s="1"/>
  <c r="V3109"/>
  <c r="K4067"/>
  <c r="AI531"/>
  <c r="AI555" s="1"/>
  <c r="D629" i="68" s="1"/>
  <c r="AB555" i="1"/>
  <c r="K960"/>
  <c r="P953"/>
  <c r="K992"/>
  <c r="I2838"/>
  <c r="K1021"/>
  <c r="P1095"/>
  <c r="P3295"/>
  <c r="R3228"/>
  <c r="P3262"/>
  <c r="K3325"/>
  <c r="I3394"/>
  <c r="K3526"/>
  <c r="P3530"/>
  <c r="R3530" s="1"/>
  <c r="I3542"/>
  <c r="K3529"/>
  <c r="P3533"/>
  <c r="R3533" s="1"/>
  <c r="I1091"/>
  <c r="K1091" s="1"/>
  <c r="V1373"/>
  <c r="K3791"/>
  <c r="K3792" s="1"/>
  <c r="K881"/>
  <c r="K993"/>
  <c r="K996"/>
  <c r="K1630"/>
  <c r="K1922"/>
  <c r="K1986"/>
  <c r="K2609"/>
  <c r="K2641"/>
  <c r="P3159"/>
  <c r="R3159" s="1"/>
  <c r="K3941"/>
  <c r="K3943"/>
  <c r="F260" i="79"/>
  <c r="D329"/>
  <c r="AE2651" i="1"/>
  <c r="P3332"/>
  <c r="R3332" s="1"/>
  <c r="V881"/>
  <c r="D60" i="25"/>
  <c r="F60" s="1"/>
  <c r="F38"/>
  <c r="G218"/>
  <c r="D692"/>
  <c r="F692" s="1"/>
  <c r="I1589" i="1" l="1"/>
  <c r="K1589" s="1"/>
  <c r="I1561"/>
  <c r="K1561" s="1"/>
  <c r="K1567" s="1"/>
  <c r="I44"/>
  <c r="D44" i="68" s="1"/>
  <c r="F44" s="1"/>
  <c r="C138" i="1"/>
  <c r="I1613" s="1"/>
  <c r="I9"/>
  <c r="D9" i="68" s="1"/>
  <c r="F9" s="1"/>
  <c r="I1226" i="1"/>
  <c r="P1221" s="1"/>
  <c r="D589" i="79" s="1"/>
  <c r="P403" i="1"/>
  <c r="R403" s="1"/>
  <c r="K1580"/>
  <c r="K1582" s="1"/>
  <c r="I2928" s="1"/>
  <c r="I53"/>
  <c r="K53" s="1"/>
  <c r="I2127"/>
  <c r="K2127" s="1"/>
  <c r="I808"/>
  <c r="K808" s="1"/>
  <c r="I271"/>
  <c r="K271" s="1"/>
  <c r="I1645"/>
  <c r="K1645" s="1"/>
  <c r="I1304"/>
  <c r="K1304" s="1"/>
  <c r="P1379"/>
  <c r="R1379" s="1"/>
  <c r="P3467"/>
  <c r="R3467" s="1"/>
  <c r="I18"/>
  <c r="I1284"/>
  <c r="K1284" s="1"/>
  <c r="I2147"/>
  <c r="P2154" s="1"/>
  <c r="R2154" s="1"/>
  <c r="I2425"/>
  <c r="P2432" s="1"/>
  <c r="R2432" s="1"/>
  <c r="I2296"/>
  <c r="I3828"/>
  <c r="K3828" s="1"/>
  <c r="F330" i="68"/>
  <c r="F333" s="1"/>
  <c r="I504" i="1"/>
  <c r="K504" s="1"/>
  <c r="I1576"/>
  <c r="K1576" s="1"/>
  <c r="I27"/>
  <c r="D27" i="68" s="1"/>
  <c r="F27" s="1"/>
  <c r="I72" i="1"/>
  <c r="D72" i="68" s="1"/>
  <c r="F72" s="1"/>
  <c r="X1375" i="1"/>
  <c r="V1392"/>
  <c r="K2269"/>
  <c r="AE2621"/>
  <c r="AG2621" s="1"/>
  <c r="X2607"/>
  <c r="D167" i="79"/>
  <c r="D251" i="68"/>
  <c r="F251" s="1"/>
  <c r="F254" s="1"/>
  <c r="F256" s="1"/>
  <c r="D513" i="79"/>
  <c r="R3568" i="1"/>
  <c r="F245" i="79" s="1"/>
  <c r="D245"/>
  <c r="AB2650" i="1"/>
  <c r="A166" i="79" s="1"/>
  <c r="D157"/>
  <c r="D171" i="68"/>
  <c r="F171" s="1"/>
  <c r="D667" i="79"/>
  <c r="X711" i="1"/>
  <c r="D128" i="79"/>
  <c r="D509" i="68"/>
  <c r="F509" s="1"/>
  <c r="T1222" i="1"/>
  <c r="F590" i="79"/>
  <c r="D513" i="68"/>
  <c r="F513" s="1"/>
  <c r="R2642" i="1"/>
  <c r="F198" i="79" s="1"/>
  <c r="A198"/>
  <c r="F62"/>
  <c r="D385"/>
  <c r="D827" i="68"/>
  <c r="F827" s="1"/>
  <c r="AG2658" i="1"/>
  <c r="F174" i="79" s="1"/>
  <c r="D174"/>
  <c r="R2363" i="1"/>
  <c r="F443" i="79"/>
  <c r="D88"/>
  <c r="F419"/>
  <c r="D419"/>
  <c r="R3121" i="1"/>
  <c r="D523" i="79"/>
  <c r="Z710" i="1"/>
  <c r="F127" i="79"/>
  <c r="D544" i="68"/>
  <c r="F544" s="1"/>
  <c r="R2647" i="1"/>
  <c r="F203" i="79" s="1"/>
  <c r="D203"/>
  <c r="R3563" i="1"/>
  <c r="F240" i="79" s="1"/>
  <c r="D240"/>
  <c r="D804" i="68"/>
  <c r="F804" s="1"/>
  <c r="F529"/>
  <c r="F305" i="79"/>
  <c r="F294"/>
  <c r="X1379" i="1"/>
  <c r="V1396"/>
  <c r="D550" i="68"/>
  <c r="F550" s="1"/>
  <c r="F456" i="79"/>
  <c r="F453"/>
  <c r="D167" i="68"/>
  <c r="F167" s="1"/>
  <c r="D663" i="79"/>
  <c r="X554" i="1"/>
  <c r="F111" i="79" s="1"/>
  <c r="D111"/>
  <c r="E3873" i="1"/>
  <c r="A733" i="79" s="1"/>
  <c r="D729"/>
  <c r="G3900" i="1"/>
  <c r="C760" i="79" s="1"/>
  <c r="C759"/>
  <c r="F52"/>
  <c r="D52"/>
  <c r="AH3109" i="1"/>
  <c r="F681" i="79" s="1"/>
  <c r="F677"/>
  <c r="F36"/>
  <c r="D151" i="68"/>
  <c r="F151" s="1"/>
  <c r="D648" i="79"/>
  <c r="D153" i="68"/>
  <c r="F153" s="1"/>
  <c r="D650" i="79"/>
  <c r="X715" i="1"/>
  <c r="F132" i="79" s="1"/>
  <c r="D132"/>
  <c r="Z709" i="1"/>
  <c r="F126" i="79"/>
  <c r="F307"/>
  <c r="D552" i="68"/>
  <c r="F552" s="1"/>
  <c r="F306" i="79"/>
  <c r="F266"/>
  <c r="D554" i="68"/>
  <c r="F554" s="1"/>
  <c r="AB1405" i="1"/>
  <c r="X1407"/>
  <c r="T1220"/>
  <c r="F588" i="79"/>
  <c r="AG2652" i="1"/>
  <c r="F168" i="79" s="1"/>
  <c r="D168"/>
  <c r="D841" i="68"/>
  <c r="F841" s="1"/>
  <c r="D521"/>
  <c r="F521" s="1"/>
  <c r="D168"/>
  <c r="F168" s="1"/>
  <c r="D664" i="79"/>
  <c r="AB2651" i="1"/>
  <c r="A167" i="79" s="1"/>
  <c r="D162"/>
  <c r="D152" i="68"/>
  <c r="F152" s="1"/>
  <c r="D649" i="79"/>
  <c r="D170" i="68"/>
  <c r="F170" s="1"/>
  <c r="D666" i="79"/>
  <c r="D34"/>
  <c r="D322"/>
  <c r="F322"/>
  <c r="J3892" i="1"/>
  <c r="F752" i="79" s="1"/>
  <c r="D752"/>
  <c r="D345"/>
  <c r="F345"/>
  <c r="Z39" i="1"/>
  <c r="AC39" s="1"/>
  <c r="P125" s="1"/>
  <c r="R125" s="1"/>
  <c r="R129" s="1"/>
  <c r="P1489"/>
  <c r="P1475"/>
  <c r="J3891"/>
  <c r="F751" i="79" s="1"/>
  <c r="D751"/>
  <c r="D40" i="69"/>
  <c r="F40" s="1"/>
  <c r="R2416" i="1"/>
  <c r="F556" i="79"/>
  <c r="D589" i="25"/>
  <c r="F445" i="68"/>
  <c r="D467"/>
  <c r="F467" s="1"/>
  <c r="K1602" i="1"/>
  <c r="D639" i="68"/>
  <c r="F639" s="1"/>
  <c r="F643" s="1"/>
  <c r="F645" s="1"/>
  <c r="D466"/>
  <c r="F466" s="1"/>
  <c r="F444"/>
  <c r="F449" s="1"/>
  <c r="F451" s="1"/>
  <c r="D291"/>
  <c r="F291" s="1"/>
  <c r="K3196" i="1"/>
  <c r="I3241"/>
  <c r="F430" i="68"/>
  <c r="F432" s="1"/>
  <c r="D30" i="69"/>
  <c r="F30" s="1"/>
  <c r="K2276" i="1"/>
  <c r="D81" i="69"/>
  <c r="F81" s="1"/>
  <c r="AR401" i="1"/>
  <c r="AR402" s="1"/>
  <c r="AR403" s="1"/>
  <c r="AR404" s="1"/>
  <c r="AR405" s="1"/>
  <c r="AR406" s="1"/>
  <c r="K3149"/>
  <c r="P3156"/>
  <c r="R3156" s="1"/>
  <c r="P1067"/>
  <c r="P1049"/>
  <c r="R1049" s="1"/>
  <c r="D662" i="68"/>
  <c r="F662" s="1"/>
  <c r="L82" i="1"/>
  <c r="K82"/>
  <c r="K81"/>
  <c r="D661" i="68"/>
  <c r="F661" s="1"/>
  <c r="K3660" i="1"/>
  <c r="D772" i="68"/>
  <c r="F772" s="1"/>
  <c r="F787" s="1"/>
  <c r="F789" s="1"/>
  <c r="R1969" i="1"/>
  <c r="F625" i="79" s="1"/>
  <c r="D127" i="68"/>
  <c r="F127" s="1"/>
  <c r="P1970" i="1"/>
  <c r="I96"/>
  <c r="D663" i="68"/>
  <c r="F663" s="1"/>
  <c r="D128"/>
  <c r="F128" s="1"/>
  <c r="K1179" i="1"/>
  <c r="K1183" s="1"/>
  <c r="K1185" s="1"/>
  <c r="D497" i="68"/>
  <c r="F497" s="1"/>
  <c r="F501" s="1"/>
  <c r="F503" s="1"/>
  <c r="AS3105" i="1"/>
  <c r="AS3109" s="1"/>
  <c r="D571" i="68"/>
  <c r="F571" s="1"/>
  <c r="F575" s="1"/>
  <c r="R1972" i="1"/>
  <c r="F628" i="79" s="1"/>
  <c r="D130" i="68"/>
  <c r="F130" s="1"/>
  <c r="K1943" i="1"/>
  <c r="I3564"/>
  <c r="F271" i="68"/>
  <c r="F273" s="1"/>
  <c r="D22" i="69" s="1"/>
  <c r="F22" s="1"/>
  <c r="D229" i="68"/>
  <c r="F229" s="1"/>
  <c r="F230" s="1"/>
  <c r="F231" s="1"/>
  <c r="K2714" i="1"/>
  <c r="K2715" s="1"/>
  <c r="K2716" s="1"/>
  <c r="X712"/>
  <c r="K2385"/>
  <c r="D816" i="68"/>
  <c r="F816" s="1"/>
  <c r="P861" i="1"/>
  <c r="R861" s="1"/>
  <c r="I3929"/>
  <c r="R1974"/>
  <c r="F630" i="79" s="1"/>
  <c r="D132" i="68"/>
  <c r="F132" s="1"/>
  <c r="F217"/>
  <c r="F219" s="1"/>
  <c r="K2996" i="1"/>
  <c r="I2901"/>
  <c r="K2901" s="1"/>
  <c r="K507"/>
  <c r="AK554"/>
  <c r="D628" i="68"/>
  <c r="F628" s="1"/>
  <c r="K2349" i="1"/>
  <c r="K2351" s="1"/>
  <c r="K2352" s="1"/>
  <c r="K2353" s="1"/>
  <c r="I3578"/>
  <c r="P1177"/>
  <c r="R1177" s="1"/>
  <c r="R1146"/>
  <c r="K2399"/>
  <c r="I2411"/>
  <c r="K2411" s="1"/>
  <c r="V819"/>
  <c r="X819" s="1"/>
  <c r="R1973"/>
  <c r="F629" i="79" s="1"/>
  <c r="D131" i="68"/>
  <c r="F131" s="1"/>
  <c r="R1994" i="1"/>
  <c r="F649" i="79" s="1"/>
  <c r="AD645" i="1"/>
  <c r="AF645" s="1"/>
  <c r="AE427"/>
  <c r="AG427" s="1"/>
  <c r="K1491"/>
  <c r="K1496" s="1"/>
  <c r="K1498" s="1"/>
  <c r="K810"/>
  <c r="K1353"/>
  <c r="I1255"/>
  <c r="I35"/>
  <c r="D651" i="68"/>
  <c r="F651" s="1"/>
  <c r="F657" s="1"/>
  <c r="D36" i="69"/>
  <c r="F36" s="1"/>
  <c r="K3353" i="1"/>
  <c r="D42" i="69"/>
  <c r="F42" s="1"/>
  <c r="D64"/>
  <c r="F64" s="1"/>
  <c r="I2574" i="1"/>
  <c r="K2539"/>
  <c r="P1497"/>
  <c r="R1466"/>
  <c r="R1069"/>
  <c r="F220" i="79" s="1"/>
  <c r="R1628" i="1"/>
  <c r="D19" i="69"/>
  <c r="F19" s="1"/>
  <c r="R2009" i="1"/>
  <c r="F663" i="79" s="1"/>
  <c r="R2010" i="1"/>
  <c r="F664" i="79" s="1"/>
  <c r="K63" i="1"/>
  <c r="D63" i="68"/>
  <c r="F63" s="1"/>
  <c r="I3482" i="1"/>
  <c r="K3482" s="1"/>
  <c r="I2572"/>
  <c r="K2537"/>
  <c r="R2514"/>
  <c r="K3530"/>
  <c r="I3546"/>
  <c r="P3534"/>
  <c r="R3534" s="1"/>
  <c r="AD554"/>
  <c r="R1633"/>
  <c r="K3642"/>
  <c r="K3643"/>
  <c r="I3996"/>
  <c r="R1071"/>
  <c r="F222" i="79" s="1"/>
  <c r="R1993" i="1"/>
  <c r="F648" i="79" s="1"/>
  <c r="R3404" i="1"/>
  <c r="P3448"/>
  <c r="D655" i="25"/>
  <c r="F619"/>
  <c r="AE3559" i="1"/>
  <c r="AG3543"/>
  <c r="R1604"/>
  <c r="R1073"/>
  <c r="F224" i="79" s="1"/>
  <c r="K72" i="1"/>
  <c r="D13" i="69"/>
  <c r="F13" s="1"/>
  <c r="K1879" i="1"/>
  <c r="F23" i="69"/>
  <c r="V1393" i="1"/>
  <c r="X1376"/>
  <c r="V1424"/>
  <c r="X1424" s="1"/>
  <c r="R1463"/>
  <c r="K225"/>
  <c r="K379"/>
  <c r="K311"/>
  <c r="AQ393"/>
  <c r="AS393" s="1"/>
  <c r="X314"/>
  <c r="AS110"/>
  <c r="AE314"/>
  <c r="AG314" s="1"/>
  <c r="AQ3114"/>
  <c r="AQ3115" s="1"/>
  <c r="AQ3116" s="1"/>
  <c r="AR3114"/>
  <c r="AR3115" s="1"/>
  <c r="AR3116" s="1"/>
  <c r="P2857"/>
  <c r="R2857" s="1"/>
  <c r="V2785"/>
  <c r="X2785" s="1"/>
  <c r="AE2789"/>
  <c r="AG2789" s="1"/>
  <c r="AG3541"/>
  <c r="AE3557"/>
  <c r="Z43"/>
  <c r="AC43" s="1"/>
  <c r="P150" s="1"/>
  <c r="R150" s="1"/>
  <c r="R154" s="1"/>
  <c r="D9" i="79"/>
  <c r="F368"/>
  <c r="AG3561" i="1"/>
  <c r="V3624"/>
  <c r="F350" i="79"/>
  <c r="F845" i="68"/>
  <c r="K2973" i="1"/>
  <c r="I3058"/>
  <c r="P2980"/>
  <c r="R2980" s="1"/>
  <c r="P1100"/>
  <c r="R1074"/>
  <c r="F225" i="79" s="1"/>
  <c r="V3590" i="1"/>
  <c r="X3575"/>
  <c r="K3355"/>
  <c r="I3443"/>
  <c r="K3443" s="1"/>
  <c r="K3445" s="1"/>
  <c r="K3447" s="1"/>
  <c r="K3448" s="1"/>
  <c r="Z41"/>
  <c r="AB1374"/>
  <c r="AD1357"/>
  <c r="P1468"/>
  <c r="R1451"/>
  <c r="AG3540"/>
  <c r="AE3556"/>
  <c r="AB1384"/>
  <c r="AD1384" s="1"/>
  <c r="AD1367"/>
  <c r="I1108"/>
  <c r="K1108" s="1"/>
  <c r="K1093"/>
  <c r="R1494"/>
  <c r="V1455"/>
  <c r="P1537"/>
  <c r="R1537" s="1"/>
  <c r="P1490"/>
  <c r="R1459"/>
  <c r="V1420"/>
  <c r="X1420" s="1"/>
  <c r="R1450"/>
  <c r="P1467"/>
  <c r="C165"/>
  <c r="X2604"/>
  <c r="I2671"/>
  <c r="P402"/>
  <c r="R402" s="1"/>
  <c r="I3354"/>
  <c r="D312" i="68" s="1"/>
  <c r="F312" s="1"/>
  <c r="F315" s="1"/>
  <c r="F316" s="1"/>
  <c r="X886" i="1"/>
  <c r="I3491"/>
  <c r="K3491" s="1"/>
  <c r="P1452"/>
  <c r="R1452" s="1"/>
  <c r="R1419"/>
  <c r="V1380"/>
  <c r="V1397" s="1"/>
  <c r="R1860"/>
  <c r="P1891"/>
  <c r="R1891" s="1"/>
  <c r="K2817"/>
  <c r="AG393"/>
  <c r="R444"/>
  <c r="R446" s="1"/>
  <c r="AB1378"/>
  <c r="X685"/>
  <c r="AG3113"/>
  <c r="AF3113"/>
  <c r="AH3113"/>
  <c r="X316"/>
  <c r="X3675"/>
  <c r="V3659" s="1"/>
  <c r="V1302"/>
  <c r="X1302" s="1"/>
  <c r="I3681"/>
  <c r="K3681" s="1"/>
  <c r="K3695" s="1"/>
  <c r="K3697" s="1"/>
  <c r="K3675"/>
  <c r="K3677" s="1"/>
  <c r="P413"/>
  <c r="R413" s="1"/>
  <c r="R1637"/>
  <c r="T1640" s="1"/>
  <c r="AQ68"/>
  <c r="AG3539"/>
  <c r="K3463"/>
  <c r="AD1359"/>
  <c r="AB1376"/>
  <c r="K3198"/>
  <c r="I3243"/>
  <c r="P3470"/>
  <c r="R3470" s="1"/>
  <c r="I3831"/>
  <c r="K3831" s="1"/>
  <c r="K3464"/>
  <c r="V767"/>
  <c r="X767" s="1"/>
  <c r="X681"/>
  <c r="V1411"/>
  <c r="X1395"/>
  <c r="I3392"/>
  <c r="K3323"/>
  <c r="V820"/>
  <c r="X820" s="1"/>
  <c r="X805"/>
  <c r="P3063"/>
  <c r="R3063" s="1"/>
  <c r="I3075"/>
  <c r="K3075" s="1"/>
  <c r="I3644"/>
  <c r="K3747"/>
  <c r="V3521"/>
  <c r="X3521" s="1"/>
  <c r="X3541"/>
  <c r="V3557"/>
  <c r="AD1400"/>
  <c r="AB1417"/>
  <c r="AD1417" s="1"/>
  <c r="AC1198"/>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I3227"/>
  <c r="F346" i="79"/>
  <c r="D366"/>
  <c r="V3519" i="1"/>
  <c r="X3519" s="1"/>
  <c r="X3539"/>
  <c r="K2971"/>
  <c r="P2978"/>
  <c r="R2978" s="1"/>
  <c r="K3927"/>
  <c r="I3945"/>
  <c r="V734"/>
  <c r="X734" s="1"/>
  <c r="X3160"/>
  <c r="D549" i="25"/>
  <c r="P1448" i="1"/>
  <c r="R1432"/>
  <c r="I3989"/>
  <c r="K3988"/>
  <c r="I2683"/>
  <c r="K2683" s="1"/>
  <c r="K2682"/>
  <c r="V1404"/>
  <c r="X1388"/>
  <c r="P1447"/>
  <c r="R1431"/>
  <c r="J616"/>
  <c r="V594" s="1"/>
  <c r="AJ1199"/>
  <c r="P3441"/>
  <c r="R3441" s="1"/>
  <c r="R3227"/>
  <c r="P3328"/>
  <c r="K3492"/>
  <c r="R3301"/>
  <c r="X315"/>
  <c r="AE315"/>
  <c r="AG315" s="1"/>
  <c r="AQ67"/>
  <c r="X884"/>
  <c r="V900"/>
  <c r="X900" s="1"/>
  <c r="P3068"/>
  <c r="R3068" s="1"/>
  <c r="I3080"/>
  <c r="K3080" s="1"/>
  <c r="K3061"/>
  <c r="K4022"/>
  <c r="I4035"/>
  <c r="K4035" s="1"/>
  <c r="D587" i="25"/>
  <c r="F550"/>
  <c r="X3556" i="1"/>
  <c r="V3572"/>
  <c r="V1452"/>
  <c r="R1491"/>
  <c r="I3995"/>
  <c r="AD1360"/>
  <c r="AB1377"/>
  <c r="D84" i="25"/>
  <c r="F59"/>
  <c r="K4018" i="1"/>
  <c r="I4019"/>
  <c r="I4033"/>
  <c r="K4033" s="1"/>
  <c r="I3081"/>
  <c r="K3081" s="1"/>
  <c r="K3062"/>
  <c r="P3069"/>
  <c r="R3069" s="1"/>
  <c r="I3490"/>
  <c r="K3490" s="1"/>
  <c r="Z35"/>
  <c r="AC35" s="1"/>
  <c r="I254" s="1"/>
  <c r="K254" s="1"/>
  <c r="Z36"/>
  <c r="AC36" s="1"/>
  <c r="I243" s="1"/>
  <c r="K243" s="1"/>
  <c r="Z37"/>
  <c r="AC37" s="1"/>
  <c r="I242" s="1"/>
  <c r="K242" s="1"/>
  <c r="Z44"/>
  <c r="AC44" s="1"/>
  <c r="AB1331" s="1"/>
  <c r="AC1331" s="1"/>
  <c r="Z12"/>
  <c r="AC12" s="1"/>
  <c r="AC11"/>
  <c r="I687"/>
  <c r="K687" s="1"/>
  <c r="X1353"/>
  <c r="AB1351"/>
  <c r="K2486"/>
  <c r="K2490" s="1"/>
  <c r="K2492" s="1"/>
  <c r="I2508"/>
  <c r="G467" i="25"/>
  <c r="G468" s="1"/>
  <c r="A483" s="1"/>
  <c r="G483" s="1"/>
  <c r="G490" s="1"/>
  <c r="G491" s="1"/>
  <c r="F371" i="79"/>
  <c r="L2318" i="1"/>
  <c r="P2447"/>
  <c r="R2447" s="1"/>
  <c r="K118"/>
  <c r="K119" s="1"/>
  <c r="F332" i="79"/>
  <c r="V3139" i="1"/>
  <c r="I4072"/>
  <c r="K4072" s="1"/>
  <c r="X3122"/>
  <c r="I2573"/>
  <c r="K2538"/>
  <c r="K2542" s="1"/>
  <c r="K2545" s="1"/>
  <c r="V3518"/>
  <c r="X3518" s="1"/>
  <c r="X3538"/>
  <c r="G375" i="25"/>
  <c r="G376" s="1"/>
  <c r="I4036" i="1"/>
  <c r="K4036" s="1"/>
  <c r="K4025"/>
  <c r="I3830"/>
  <c r="K3830" s="1"/>
  <c r="R197"/>
  <c r="V197"/>
  <c r="X197" s="1"/>
  <c r="C166"/>
  <c r="AE368"/>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V3707" i="1"/>
  <c r="I3184"/>
  <c r="K3171"/>
  <c r="K3170"/>
  <c r="I3183"/>
  <c r="R1219"/>
  <c r="P1261"/>
  <c r="D567" i="79" s="1"/>
  <c r="P1224" i="1"/>
  <c r="D592" i="79" s="1"/>
  <c r="V1242" i="1"/>
  <c r="P1239"/>
  <c r="R1239" s="1"/>
  <c r="R1262"/>
  <c r="F568" i="79" s="1"/>
  <c r="D101" i="25"/>
  <c r="F73"/>
  <c r="X3555" i="1"/>
  <c r="V3571"/>
  <c r="AS68"/>
  <c r="AQ92"/>
  <c r="P1260"/>
  <c r="D566" i="79" s="1"/>
  <c r="R1218" i="1"/>
  <c r="P1223"/>
  <c r="D591" i="79" s="1"/>
  <c r="I3197" i="1"/>
  <c r="D292" i="68" s="1"/>
  <c r="F292" s="1"/>
  <c r="F295" s="1"/>
  <c r="F297" s="1"/>
  <c r="K3182" i="1"/>
  <c r="R1225"/>
  <c r="P1267"/>
  <c r="D573" i="79" s="1"/>
  <c r="R1321" i="1"/>
  <c r="V1322"/>
  <c r="X1322" s="1"/>
  <c r="F45" i="25"/>
  <c r="F46" s="1"/>
  <c r="V198" i="1"/>
  <c r="X198" s="1"/>
  <c r="R198"/>
  <c r="P140"/>
  <c r="D145" i="79" s="1"/>
  <c r="C141" i="1"/>
  <c r="I3004"/>
  <c r="K3004" s="1"/>
  <c r="K3006" s="1"/>
  <c r="I244"/>
  <c r="K244" s="1"/>
  <c r="C35"/>
  <c r="P3551"/>
  <c r="R3551" s="1"/>
  <c r="AE3547"/>
  <c r="AE3563" s="1"/>
  <c r="V3547"/>
  <c r="K3109"/>
  <c r="P2083"/>
  <c r="R2083" s="1"/>
  <c r="W593"/>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D121" i="25"/>
  <c r="F100"/>
  <c r="F20" i="79"/>
  <c r="P1116" i="1"/>
  <c r="R1116" s="1"/>
  <c r="R1095"/>
  <c r="M2075"/>
  <c r="R2061"/>
  <c r="R1099"/>
  <c r="P1120"/>
  <c r="R1120" s="1"/>
  <c r="AB1373"/>
  <c r="AD1356"/>
  <c r="P3364"/>
  <c r="R3364" s="1"/>
  <c r="P3398"/>
  <c r="R3398" s="1"/>
  <c r="R3295"/>
  <c r="X136"/>
  <c r="V82"/>
  <c r="X82" s="1"/>
  <c r="V110"/>
  <c r="X110" s="1"/>
  <c r="X114" s="1"/>
  <c r="X116" s="1"/>
  <c r="X118" s="1"/>
  <c r="X133"/>
  <c r="X81"/>
  <c r="V1410"/>
  <c r="X1394"/>
  <c r="K3958"/>
  <c r="I3975"/>
  <c r="K3975" s="1"/>
  <c r="I1129"/>
  <c r="I920"/>
  <c r="K920" s="1"/>
  <c r="I2865"/>
  <c r="K2865" s="1"/>
  <c r="I927"/>
  <c r="K927" s="1"/>
  <c r="R3194"/>
  <c r="K46"/>
  <c r="K1136"/>
  <c r="I3531"/>
  <c r="P3535" s="1"/>
  <c r="R3535" s="1"/>
  <c r="I2358"/>
  <c r="I2360"/>
  <c r="I2354"/>
  <c r="AS135"/>
  <c r="AQ166"/>
  <c r="AS166" s="1"/>
  <c r="P1602"/>
  <c r="K1601"/>
  <c r="K1606" s="1"/>
  <c r="K1608" s="1"/>
  <c r="AE3542"/>
  <c r="P3546"/>
  <c r="R3546" s="1"/>
  <c r="K3542"/>
  <c r="V3542"/>
  <c r="P1055"/>
  <c r="R1055" s="1"/>
  <c r="R953"/>
  <c r="I3483"/>
  <c r="K3483" s="1"/>
  <c r="I1073"/>
  <c r="K1073" s="1"/>
  <c r="I1088"/>
  <c r="K1088" s="1"/>
  <c r="X881"/>
  <c r="V897"/>
  <c r="X897" s="1"/>
  <c r="F329" i="79"/>
  <c r="E3852" i="1"/>
  <c r="K2838"/>
  <c r="K2843" s="1"/>
  <c r="K2845" s="1"/>
  <c r="I2974"/>
  <c r="AF690"/>
  <c r="AF688"/>
  <c r="AF687"/>
  <c r="K3108"/>
  <c r="P2082"/>
  <c r="R2082" s="1"/>
  <c r="K3429"/>
  <c r="P1445"/>
  <c r="V1423"/>
  <c r="X1423" s="1"/>
  <c r="R1429"/>
  <c r="I3608"/>
  <c r="K3430"/>
  <c r="R3161"/>
  <c r="V3120"/>
  <c r="AB1375"/>
  <c r="AD1358"/>
  <c r="K11"/>
  <c r="I688"/>
  <c r="K688" s="1"/>
  <c r="AU110"/>
  <c r="AV110" s="1"/>
  <c r="V822"/>
  <c r="X822" s="1"/>
  <c r="X807"/>
  <c r="V1390"/>
  <c r="X1373"/>
  <c r="I3322"/>
  <c r="R3262"/>
  <c r="I707"/>
  <c r="K707" s="1"/>
  <c r="I460"/>
  <c r="K460" s="1"/>
  <c r="I298"/>
  <c r="K298" s="1"/>
  <c r="P320"/>
  <c r="R320" s="1"/>
  <c r="P337"/>
  <c r="R337" s="1"/>
  <c r="I3457"/>
  <c r="I1945"/>
  <c r="I1809"/>
  <c r="K1809" s="1"/>
  <c r="K1816" s="1"/>
  <c r="K1818" s="1"/>
  <c r="I1872" s="1"/>
  <c r="K1872" s="1"/>
  <c r="K1874" s="1"/>
  <c r="I2698"/>
  <c r="K2698" s="1"/>
  <c r="K2701" s="1"/>
  <c r="K2702" s="1"/>
  <c r="K2703" s="1"/>
  <c r="I1827"/>
  <c r="K1827" s="1"/>
  <c r="K1834" s="1"/>
  <c r="K1836" s="1"/>
  <c r="I1880" s="1"/>
  <c r="D401" i="68" s="1"/>
  <c r="F401" s="1"/>
  <c r="F403" s="1"/>
  <c r="I1379" i="1"/>
  <c r="K1379" s="1"/>
  <c r="I1251"/>
  <c r="D106" i="68" s="1"/>
  <c r="F10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33" i="68" s="1"/>
  <c r="F733" s="1"/>
  <c r="I313" i="1"/>
  <c r="D704" i="68" s="1"/>
  <c r="F704" s="1"/>
  <c r="I412" i="1"/>
  <c r="K412" s="1"/>
  <c r="I427"/>
  <c r="K427" s="1"/>
  <c r="P181"/>
  <c r="R181" s="1"/>
  <c r="P308"/>
  <c r="R308" s="1"/>
  <c r="I1646"/>
  <c r="I1911"/>
  <c r="K1911" s="1"/>
  <c r="K1915" s="1"/>
  <c r="K1917" s="1"/>
  <c r="I1924" s="1"/>
  <c r="K1924" s="1"/>
  <c r="K1927" s="1"/>
  <c r="I1479"/>
  <c r="K1479" s="1"/>
  <c r="I2150"/>
  <c r="I1406"/>
  <c r="D756" i="68" s="1"/>
  <c r="F756" s="1"/>
  <c r="I1357" i="1"/>
  <c r="D89" i="68" s="1"/>
  <c r="F89" s="1"/>
  <c r="I1201" i="1"/>
  <c r="D744" i="68" s="1"/>
  <c r="F744" s="1"/>
  <c r="I1454" i="1"/>
  <c r="K1454" s="1"/>
  <c r="I1393"/>
  <c r="D188" i="68" s="1"/>
  <c r="F188" s="1"/>
  <c r="I865" i="1"/>
  <c r="I527"/>
  <c r="K527" s="1"/>
  <c r="P522"/>
  <c r="R522" s="1"/>
  <c r="R529" s="1"/>
  <c r="R531" s="1"/>
  <c r="I381"/>
  <c r="D719" i="68" s="1"/>
  <c r="F719" s="1"/>
  <c r="I2130" i="1"/>
  <c r="K2130" s="1"/>
  <c r="I1845"/>
  <c r="I2384"/>
  <c r="D815" i="68" s="1"/>
  <c r="F815" s="1"/>
  <c r="I1419" i="1"/>
  <c r="D200" i="68" s="1"/>
  <c r="F200" s="1"/>
  <c r="I1222" i="1"/>
  <c r="P504"/>
  <c r="R504" s="1"/>
  <c r="R511" s="1"/>
  <c r="R513" s="1"/>
  <c r="V529"/>
  <c r="D95" i="79" s="1"/>
  <c r="I899" i="1"/>
  <c r="K899" s="1"/>
  <c r="I551"/>
  <c r="K551" s="1"/>
  <c r="I488"/>
  <c r="K488" s="1"/>
  <c r="P297"/>
  <c r="R297" s="1"/>
  <c r="I337"/>
  <c r="L1601"/>
  <c r="L1602" s="1"/>
  <c r="K1635"/>
  <c r="K1638" s="1"/>
  <c r="X1355"/>
  <c r="X1365" s="1"/>
  <c r="AB1353"/>
  <c r="K2671"/>
  <c r="P2678"/>
  <c r="K3321"/>
  <c r="V1372"/>
  <c r="R1411"/>
  <c r="R1421" s="1"/>
  <c r="P1428"/>
  <c r="K2425" l="1"/>
  <c r="K1226"/>
  <c r="K27"/>
  <c r="K44"/>
  <c r="D53" i="68"/>
  <c r="F53" s="1"/>
  <c r="R405" i="1"/>
  <c r="R407" s="1"/>
  <c r="P414" s="1"/>
  <c r="R414" s="1"/>
  <c r="R416" s="1"/>
  <c r="R418" s="1"/>
  <c r="K2147"/>
  <c r="I2898"/>
  <c r="K2898" s="1"/>
  <c r="I1586"/>
  <c r="K1586" s="1"/>
  <c r="K1593" s="1"/>
  <c r="K1595" s="1"/>
  <c r="K9"/>
  <c r="I3746"/>
  <c r="K3746" s="1"/>
  <c r="K3752" s="1"/>
  <c r="K3753" s="1"/>
  <c r="I3640"/>
  <c r="K3640" s="1"/>
  <c r="V643"/>
  <c r="P1144"/>
  <c r="V803"/>
  <c r="K2296"/>
  <c r="K2302" s="1"/>
  <c r="K2304" s="1"/>
  <c r="P2296"/>
  <c r="R2296" s="1"/>
  <c r="R2302" s="1"/>
  <c r="R2304" s="1"/>
  <c r="I2937"/>
  <c r="K2937" s="1"/>
  <c r="D267" i="79"/>
  <c r="F267"/>
  <c r="D18" i="68"/>
  <c r="F18" s="1"/>
  <c r="K18" i="1"/>
  <c r="X1392"/>
  <c r="V1408"/>
  <c r="F666" i="68"/>
  <c r="F668" s="1"/>
  <c r="F471"/>
  <c r="F474" s="1"/>
  <c r="F54" i="79"/>
  <c r="F355"/>
  <c r="P1482" i="1"/>
  <c r="V1436"/>
  <c r="R1475"/>
  <c r="D834" i="68"/>
  <c r="F834" s="1"/>
  <c r="A712" i="79"/>
  <c r="F422"/>
  <c r="F420"/>
  <c r="R1324" i="1"/>
  <c r="F513" i="79"/>
  <c r="D551" i="68"/>
  <c r="F551" s="1"/>
  <c r="AH3114" i="1"/>
  <c r="F685" i="79"/>
  <c r="V1450" i="1"/>
  <c r="R1489"/>
  <c r="P1535"/>
  <c r="R1535" s="1"/>
  <c r="Z711"/>
  <c r="F128" i="79"/>
  <c r="T1219" i="1"/>
  <c r="F587" i="79"/>
  <c r="F271"/>
  <c r="AF3114" i="1"/>
  <c r="D685" i="79"/>
  <c r="D840" i="68"/>
  <c r="F840" s="1"/>
  <c r="R1067" i="1"/>
  <c r="F218" i="79" s="1"/>
  <c r="D218"/>
  <c r="D347"/>
  <c r="F347"/>
  <c r="F37"/>
  <c r="T1225" i="1"/>
  <c r="F593" i="79"/>
  <c r="T1218" i="1"/>
  <c r="F586" i="79"/>
  <c r="F830" i="68"/>
  <c r="F388" i="79"/>
  <c r="AG3114" i="1"/>
  <c r="E685" i="79"/>
  <c r="D548" i="68"/>
  <c r="F548" s="1"/>
  <c r="R1970" i="1"/>
  <c r="F626" i="79" s="1"/>
  <c r="D626"/>
  <c r="D365"/>
  <c r="F365"/>
  <c r="D838" i="68"/>
  <c r="F838" s="1"/>
  <c r="AD1405" i="1"/>
  <c r="AB1422"/>
  <c r="AD1422" s="1"/>
  <c r="X1396"/>
  <c r="V1412"/>
  <c r="R3123"/>
  <c r="F523" i="79"/>
  <c r="F88"/>
  <c r="R2365" i="1"/>
  <c r="F445" i="79"/>
  <c r="F65"/>
  <c r="K2285" i="1"/>
  <c r="AG2651"/>
  <c r="F167" i="79" s="1"/>
  <c r="V642" i="1"/>
  <c r="AD642" s="1"/>
  <c r="AF642" s="1"/>
  <c r="F558" i="79"/>
  <c r="Z712" i="1"/>
  <c r="F129" i="79"/>
  <c r="D624" i="25"/>
  <c r="F589"/>
  <c r="K86" i="1"/>
  <c r="K88" s="1"/>
  <c r="P595" s="1"/>
  <c r="R595" s="1"/>
  <c r="K3241"/>
  <c r="L3207" s="1"/>
  <c r="D29" i="69"/>
  <c r="F29" s="1"/>
  <c r="D49"/>
  <c r="F49" s="1"/>
  <c r="D50"/>
  <c r="F50" s="1"/>
  <c r="K89" i="1"/>
  <c r="K96"/>
  <c r="K99" s="1"/>
  <c r="K101" s="1"/>
  <c r="M96"/>
  <c r="M97" s="1"/>
  <c r="E580" i="68"/>
  <c r="E581" s="1"/>
  <c r="E582" s="1"/>
  <c r="D580"/>
  <c r="D581" s="1"/>
  <c r="D582" s="1"/>
  <c r="D605"/>
  <c r="F605" s="1"/>
  <c r="K3564" i="1"/>
  <c r="P3567"/>
  <c r="D18" i="69"/>
  <c r="F18" s="1"/>
  <c r="L2691" i="1"/>
  <c r="I3947"/>
  <c r="K3929"/>
  <c r="D17" i="69"/>
  <c r="F17" s="1"/>
  <c r="K3578" i="1"/>
  <c r="K3580" s="1"/>
  <c r="K3581" s="1"/>
  <c r="K3591" s="1"/>
  <c r="I3592" s="1"/>
  <c r="I3587"/>
  <c r="K3587" s="1"/>
  <c r="K3589" s="1"/>
  <c r="K3590" s="1"/>
  <c r="J3592" s="1"/>
  <c r="J3593" s="1"/>
  <c r="J3594" s="1"/>
  <c r="J3595" s="1"/>
  <c r="R140"/>
  <c r="D803" i="68"/>
  <c r="F803" s="1"/>
  <c r="F807" s="1"/>
  <c r="D35"/>
  <c r="F35" s="1"/>
  <c r="K35" i="1"/>
  <c r="D110" i="68"/>
  <c r="F110" s="1"/>
  <c r="V1284" i="1"/>
  <c r="X1284" s="1"/>
  <c r="K1255"/>
  <c r="K1201"/>
  <c r="R1602"/>
  <c r="R1607" s="1"/>
  <c r="R1609" s="1"/>
  <c r="D41" i="69"/>
  <c r="F41" s="1"/>
  <c r="K3227" i="1"/>
  <c r="F9" i="79"/>
  <c r="AE3546" i="1"/>
  <c r="K3546"/>
  <c r="P3550"/>
  <c r="R3550" s="1"/>
  <c r="V3546"/>
  <c r="K1357"/>
  <c r="K1880"/>
  <c r="K1882" s="1"/>
  <c r="K2689"/>
  <c r="K2690" s="1"/>
  <c r="K3354"/>
  <c r="K3357" s="1"/>
  <c r="K3358" s="1"/>
  <c r="D26" i="69" s="1"/>
  <c r="F26" s="1"/>
  <c r="D691" i="25"/>
  <c r="F691" s="1"/>
  <c r="F655"/>
  <c r="R3448" i="1"/>
  <c r="I3528"/>
  <c r="I4012"/>
  <c r="K3996"/>
  <c r="D54" i="69"/>
  <c r="F54" s="1"/>
  <c r="K1419" i="1"/>
  <c r="K1406"/>
  <c r="D72" i="69"/>
  <c r="F72" s="1"/>
  <c r="X1393" i="1"/>
  <c r="V1409"/>
  <c r="P2573"/>
  <c r="R2573" s="1"/>
  <c r="K2572"/>
  <c r="I2607"/>
  <c r="H3852" s="1"/>
  <c r="D712" i="79" s="1"/>
  <c r="P2575" i="1"/>
  <c r="R2575" s="1"/>
  <c r="K2574"/>
  <c r="M2581"/>
  <c r="O2581" s="1"/>
  <c r="O2583" s="1"/>
  <c r="O2584" s="1"/>
  <c r="K3243"/>
  <c r="AG3559"/>
  <c r="V3622"/>
  <c r="V1458"/>
  <c r="R1497"/>
  <c r="R1640"/>
  <c r="P1498"/>
  <c r="R1467"/>
  <c r="AB3624"/>
  <c r="AD3624" s="1"/>
  <c r="X3624"/>
  <c r="P1499"/>
  <c r="R1468"/>
  <c r="X3590"/>
  <c r="V3607"/>
  <c r="X3607" s="1"/>
  <c r="P1121"/>
  <c r="R1100"/>
  <c r="Z42"/>
  <c r="AC42" s="1"/>
  <c r="Z45"/>
  <c r="AC45" s="1"/>
  <c r="AC41"/>
  <c r="F523" i="68"/>
  <c r="F555"/>
  <c r="R1490" i="1"/>
  <c r="V1451"/>
  <c r="AG3556"/>
  <c r="V3619"/>
  <c r="F12" i="79"/>
  <c r="R1221" i="1"/>
  <c r="P1263"/>
  <c r="D569" i="79" s="1"/>
  <c r="AB1453" i="1"/>
  <c r="AD1453" s="1"/>
  <c r="X1455"/>
  <c r="AD1374"/>
  <c r="AB1391"/>
  <c r="AD1391" s="1"/>
  <c r="I3077"/>
  <c r="K3077" s="1"/>
  <c r="P3065"/>
  <c r="R3065" s="1"/>
  <c r="K3058"/>
  <c r="AG3557"/>
  <c r="V3620"/>
  <c r="Z13"/>
  <c r="AC13" s="1"/>
  <c r="C72" s="1"/>
  <c r="F76" i="25"/>
  <c r="D65" s="1"/>
  <c r="D93" s="1"/>
  <c r="F93" s="1"/>
  <c r="AB1395" i="1"/>
  <c r="AD1395" s="1"/>
  <c r="AD1378"/>
  <c r="K4019"/>
  <c r="I4020"/>
  <c r="R3328"/>
  <c r="P3363"/>
  <c r="R3363" s="1"/>
  <c r="J539"/>
  <c r="W538"/>
  <c r="AB1394"/>
  <c r="AD1394" s="1"/>
  <c r="AD1377"/>
  <c r="X1452"/>
  <c r="AB1450"/>
  <c r="AD1450" s="1"/>
  <c r="F587" i="25"/>
  <c r="D622"/>
  <c r="P1465" i="1"/>
  <c r="R1448"/>
  <c r="J561"/>
  <c r="W562"/>
  <c r="AJ1202"/>
  <c r="AC1203"/>
  <c r="V3573"/>
  <c r="X3557"/>
  <c r="K3644"/>
  <c r="P3468"/>
  <c r="R3468" s="1"/>
  <c r="D85" i="25"/>
  <c r="F84"/>
  <c r="V3587" i="1"/>
  <c r="X3572"/>
  <c r="R1447"/>
  <c r="P1464"/>
  <c r="D586" i="25"/>
  <c r="F549"/>
  <c r="I3961" i="1"/>
  <c r="K3945"/>
  <c r="F366" i="79"/>
  <c r="W487" i="1"/>
  <c r="AC487" s="1"/>
  <c r="J663"/>
  <c r="AD1376"/>
  <c r="AB1393"/>
  <c r="AD1393" s="1"/>
  <c r="P1540"/>
  <c r="R1540" s="1"/>
  <c r="K3995"/>
  <c r="AS67"/>
  <c r="AQ91"/>
  <c r="X1404"/>
  <c r="AB1402"/>
  <c r="I3990"/>
  <c r="K3990" s="1"/>
  <c r="K3989"/>
  <c r="AB1409"/>
  <c r="X1411"/>
  <c r="F49" i="79"/>
  <c r="K2508" i="1"/>
  <c r="K2512" s="1"/>
  <c r="K2515" s="1"/>
  <c r="P2515"/>
  <c r="R2515" s="1"/>
  <c r="R2519" s="1"/>
  <c r="R2521" s="1"/>
  <c r="AD1351"/>
  <c r="AB1368"/>
  <c r="K2291"/>
  <c r="I3018" s="1"/>
  <c r="K3018" s="1"/>
  <c r="F273" i="79"/>
  <c r="V3164" i="1"/>
  <c r="X3139"/>
  <c r="C70"/>
  <c r="I1303" s="1"/>
  <c r="K1303" s="1"/>
  <c r="K247"/>
  <c r="K249" s="1"/>
  <c r="K2280"/>
  <c r="K2548"/>
  <c r="P2574"/>
  <c r="R2574" s="1"/>
  <c r="R2578" s="1"/>
  <c r="R2580" s="1"/>
  <c r="I2608"/>
  <c r="H3853" s="1"/>
  <c r="K2573"/>
  <c r="K2577" s="1"/>
  <c r="K2580" s="1"/>
  <c r="F375" i="79"/>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F573" i="79" s="1"/>
  <c r="V1247" i="1"/>
  <c r="P1383"/>
  <c r="R1383" s="1"/>
  <c r="V1301"/>
  <c r="P1237"/>
  <c r="R1237" s="1"/>
  <c r="V1240"/>
  <c r="R1260"/>
  <c r="F566" i="79" s="1"/>
  <c r="P1266" i="1"/>
  <c r="D572" i="79" s="1"/>
  <c r="R1224" i="1"/>
  <c r="X3659"/>
  <c r="X3667" s="1"/>
  <c r="X3668" s="1"/>
  <c r="V3689"/>
  <c r="AE3660"/>
  <c r="AG3660" s="1"/>
  <c r="AG3661" s="1"/>
  <c r="AG3662" s="1"/>
  <c r="K3174"/>
  <c r="K3175" s="1"/>
  <c r="V3586"/>
  <c r="X3571"/>
  <c r="I3268"/>
  <c r="K3268" s="1"/>
  <c r="L3234" s="1"/>
  <c r="K3183"/>
  <c r="I3254"/>
  <c r="K3254" s="1"/>
  <c r="V3721"/>
  <c r="X3721" s="1"/>
  <c r="X3723" s="1"/>
  <c r="X3724" s="1"/>
  <c r="X3707"/>
  <c r="X3709" s="1"/>
  <c r="X3710" s="1"/>
  <c r="R1223"/>
  <c r="P1265"/>
  <c r="D571" i="79" s="1"/>
  <c r="D122" i="25"/>
  <c r="F101"/>
  <c r="K3184" i="1"/>
  <c r="I3255"/>
  <c r="K3255" s="1"/>
  <c r="I3269"/>
  <c r="K3269" s="1"/>
  <c r="L3235" s="1"/>
  <c r="F65" i="25"/>
  <c r="F68" s="1"/>
  <c r="F69" s="1"/>
  <c r="I3211" i="1"/>
  <c r="D303" i="68" s="1"/>
  <c r="F303" s="1"/>
  <c r="F306" s="1"/>
  <c r="F308" s="1"/>
  <c r="I3242" i="1"/>
  <c r="K3197"/>
  <c r="K3200" s="1"/>
  <c r="K3202" s="1"/>
  <c r="D24" i="69" s="1"/>
  <c r="F24" s="1"/>
  <c r="AS92" i="1"/>
  <c r="AQ112"/>
  <c r="AB1247"/>
  <c r="X1242"/>
  <c r="V1241"/>
  <c r="R1261"/>
  <c r="F567" i="79" s="1"/>
  <c r="P1238" i="1"/>
  <c r="R1238" s="1"/>
  <c r="I1752"/>
  <c r="K1752" s="1"/>
  <c r="I184"/>
  <c r="K184" s="1"/>
  <c r="K189" s="1"/>
  <c r="I154"/>
  <c r="K154" s="1"/>
  <c r="V3563"/>
  <c r="V3579" s="1"/>
  <c r="V3527"/>
  <c r="X86"/>
  <c r="X88" s="1"/>
  <c r="X90" s="1"/>
  <c r="X91" s="1"/>
  <c r="K1328"/>
  <c r="K1330" s="1"/>
  <c r="Z17"/>
  <c r="AC17" s="1"/>
  <c r="AC16"/>
  <c r="AC46"/>
  <c r="Z47"/>
  <c r="AC47" s="1"/>
  <c r="C71"/>
  <c r="P1142" s="1"/>
  <c r="V801"/>
  <c r="F121" i="25"/>
  <c r="D148"/>
  <c r="X1372" i="1"/>
  <c r="X1382" s="1"/>
  <c r="V1389"/>
  <c r="V553"/>
  <c r="AB529"/>
  <c r="X529"/>
  <c r="F95" i="79" s="1"/>
  <c r="K2384" i="1"/>
  <c r="I2398"/>
  <c r="K1393"/>
  <c r="K1646"/>
  <c r="I3641"/>
  <c r="P1334"/>
  <c r="K1305"/>
  <c r="K583"/>
  <c r="K587" s="1"/>
  <c r="K589" s="1"/>
  <c r="I590" s="1"/>
  <c r="K590" s="1"/>
  <c r="V583"/>
  <c r="X583" s="1"/>
  <c r="X587" s="1"/>
  <c r="X589" s="1"/>
  <c r="X590" s="1"/>
  <c r="P3463"/>
  <c r="R3463" s="1"/>
  <c r="K3457"/>
  <c r="I3824"/>
  <c r="K3824" s="1"/>
  <c r="I3391"/>
  <c r="K3322"/>
  <c r="V1406"/>
  <c r="X1390"/>
  <c r="X3120"/>
  <c r="I4070"/>
  <c r="K4070" s="1"/>
  <c r="V3137"/>
  <c r="I3629"/>
  <c r="K3629" s="1"/>
  <c r="K3608"/>
  <c r="C878"/>
  <c r="K1129"/>
  <c r="X1410"/>
  <c r="AB1408"/>
  <c r="AB1390"/>
  <c r="AD1390" s="1"/>
  <c r="AD1373"/>
  <c r="AB1370"/>
  <c r="AD1353"/>
  <c r="AD1363" s="1"/>
  <c r="K337"/>
  <c r="V337"/>
  <c r="V381"/>
  <c r="K381"/>
  <c r="K865"/>
  <c r="P858"/>
  <c r="R858" s="1"/>
  <c r="I3305"/>
  <c r="K3305" s="1"/>
  <c r="I3926"/>
  <c r="V865"/>
  <c r="X865" s="1"/>
  <c r="V395"/>
  <c r="K395"/>
  <c r="P2008"/>
  <c r="K2007"/>
  <c r="K2015" s="1"/>
  <c r="AB478"/>
  <c r="AD478" s="1"/>
  <c r="X478"/>
  <c r="K1945"/>
  <c r="K1948" s="1"/>
  <c r="I3566"/>
  <c r="D607" i="68" s="1"/>
  <c r="F607" s="1"/>
  <c r="AD1375" i="1"/>
  <c r="AB1392"/>
  <c r="AD1392" s="1"/>
  <c r="P2981"/>
  <c r="R2981" s="1"/>
  <c r="R2986" s="1"/>
  <c r="R2988" s="1"/>
  <c r="K2974"/>
  <c r="K2979" s="1"/>
  <c r="K2981" s="1"/>
  <c r="I3059"/>
  <c r="I878"/>
  <c r="I3921"/>
  <c r="P2094"/>
  <c r="AU135"/>
  <c r="AV135" s="1"/>
  <c r="X119"/>
  <c r="K2928"/>
  <c r="I2947"/>
  <c r="R1428"/>
  <c r="R1438" s="1"/>
  <c r="P1444"/>
  <c r="K1222"/>
  <c r="P1217"/>
  <c r="D585" i="79" s="1"/>
  <c r="K2134" i="1"/>
  <c r="V313"/>
  <c r="K313"/>
  <c r="V883"/>
  <c r="K883"/>
  <c r="V1280"/>
  <c r="X1280" s="1"/>
  <c r="K1251"/>
  <c r="I708"/>
  <c r="K708" s="1"/>
  <c r="I689"/>
  <c r="K689" s="1"/>
  <c r="V3558"/>
  <c r="V3522"/>
  <c r="X3522" s="1"/>
  <c r="X3542"/>
  <c r="AU166"/>
  <c r="AV166" s="1"/>
  <c r="I2386"/>
  <c r="X134"/>
  <c r="M2076"/>
  <c r="R2076" s="1"/>
  <c r="K120"/>
  <c r="P1614"/>
  <c r="R1614" s="1"/>
  <c r="R1619" s="1"/>
  <c r="R1621" s="1"/>
  <c r="K1613"/>
  <c r="K1618" s="1"/>
  <c r="K1620" s="1"/>
  <c r="P1861"/>
  <c r="K1845"/>
  <c r="K1852" s="1"/>
  <c r="K1854" s="1"/>
  <c r="I1888" s="1"/>
  <c r="D409" i="68" s="1"/>
  <c r="F409" s="1"/>
  <c r="F411" s="1"/>
  <c r="K2150" i="1"/>
  <c r="P2157"/>
  <c r="R2157" s="1"/>
  <c r="P2026"/>
  <c r="R2026" s="1"/>
  <c r="R2037" s="1"/>
  <c r="K2026"/>
  <c r="K2034" s="1"/>
  <c r="V357"/>
  <c r="K357"/>
  <c r="I612"/>
  <c r="K612"/>
  <c r="AB1265"/>
  <c r="AD1265" s="1"/>
  <c r="I1286"/>
  <c r="K1286" s="1"/>
  <c r="K1272"/>
  <c r="R1445"/>
  <c r="P1462"/>
  <c r="AE3558"/>
  <c r="AG3542"/>
  <c r="I2938"/>
  <c r="K2938" s="1"/>
  <c r="I2929"/>
  <c r="X89"/>
  <c r="K2290"/>
  <c r="X642" l="1"/>
  <c r="D61" i="69"/>
  <c r="F61" s="1"/>
  <c r="I1987" i="1"/>
  <c r="P1987" s="1"/>
  <c r="P1175"/>
  <c r="R1175" s="1"/>
  <c r="R1144"/>
  <c r="F610" i="68"/>
  <c r="X803" i="1"/>
  <c r="V818"/>
  <c r="X818" s="1"/>
  <c r="D330" i="79"/>
  <c r="V708" i="1"/>
  <c r="AD643"/>
  <c r="AF643" s="1"/>
  <c r="X643"/>
  <c r="I1644"/>
  <c r="K1644" s="1"/>
  <c r="AB1406"/>
  <c r="X1408"/>
  <c r="P608"/>
  <c r="R608" s="1"/>
  <c r="D713" i="79"/>
  <c r="J3853" i="1"/>
  <c r="F713" i="79" s="1"/>
  <c r="T1221" i="1"/>
  <c r="F589" i="79"/>
  <c r="K2275" i="1"/>
  <c r="F24" i="79"/>
  <c r="K90" i="1"/>
  <c r="F89" i="79"/>
  <c r="D545" i="68"/>
  <c r="F545" s="1"/>
  <c r="F367" i="79"/>
  <c r="D367"/>
  <c r="AH3115" i="1"/>
  <c r="F686" i="79"/>
  <c r="J3852" i="1"/>
  <c r="X553"/>
  <c r="F110" i="79" s="1"/>
  <c r="D110"/>
  <c r="T1223" i="1"/>
  <c r="F591" i="79"/>
  <c r="T1224" i="1"/>
  <c r="F592" i="79"/>
  <c r="D836" i="68"/>
  <c r="F836" s="1"/>
  <c r="F48" i="79"/>
  <c r="AG3115" i="1"/>
  <c r="E687" i="79" s="1"/>
  <c r="E686"/>
  <c r="F865" i="68"/>
  <c r="F867" s="1"/>
  <c r="F868" s="1"/>
  <c r="F46" i="79"/>
  <c r="F858" i="68"/>
  <c r="F860" s="1"/>
  <c r="F495" i="79"/>
  <c r="D166" i="68"/>
  <c r="F166" s="1"/>
  <c r="F176" s="1"/>
  <c r="D662" i="79"/>
  <c r="P2354" i="1"/>
  <c r="F447" i="79"/>
  <c r="T3123" i="1"/>
  <c r="F525" i="79"/>
  <c r="R3124" i="1"/>
  <c r="F526" i="79" s="1"/>
  <c r="D386"/>
  <c r="D828" i="68"/>
  <c r="F828" s="1"/>
  <c r="AF3115" i="1"/>
  <c r="D686" i="79"/>
  <c r="X1450" i="1"/>
  <c r="AB1448"/>
  <c r="AD1448" s="1"/>
  <c r="R1326"/>
  <c r="F516" i="79"/>
  <c r="D844" i="68"/>
  <c r="F844" s="1"/>
  <c r="AB1434" i="1"/>
  <c r="AD1434" s="1"/>
  <c r="X1436"/>
  <c r="F423" i="79"/>
  <c r="D546" i="68"/>
  <c r="F546" s="1"/>
  <c r="AC562" i="1"/>
  <c r="AJ562" s="1"/>
  <c r="E119" i="79"/>
  <c r="AC538" i="1"/>
  <c r="AJ538" s="1"/>
  <c r="E104" i="79"/>
  <c r="R3567" i="1"/>
  <c r="F244" i="79" s="1"/>
  <c r="D244"/>
  <c r="AB1410" i="1"/>
  <c r="X1412"/>
  <c r="F832" i="68"/>
  <c r="F590"/>
  <c r="F592" s="1"/>
  <c r="F30" i="79"/>
  <c r="D835" i="68"/>
  <c r="F835" s="1"/>
  <c r="R1482" i="1"/>
  <c r="V1443"/>
  <c r="R144"/>
  <c r="F145" i="79"/>
  <c r="D660" i="25"/>
  <c r="F624"/>
  <c r="K3998" i="1"/>
  <c r="K3999" s="1"/>
  <c r="D522" i="68"/>
  <c r="F522" s="1"/>
  <c r="D60" i="69"/>
  <c r="F60" s="1"/>
  <c r="D34"/>
  <c r="F34" s="1"/>
  <c r="D33"/>
  <c r="F33" s="1"/>
  <c r="D27"/>
  <c r="F27" s="1"/>
  <c r="D62"/>
  <c r="F62" s="1"/>
  <c r="L89" i="1"/>
  <c r="M89" s="1"/>
  <c r="I1767"/>
  <c r="K1767" s="1"/>
  <c r="K1775" s="1"/>
  <c r="P2344"/>
  <c r="K91"/>
  <c r="K102"/>
  <c r="K104"/>
  <c r="I3963"/>
  <c r="K3947"/>
  <c r="K2386"/>
  <c r="D817" i="68"/>
  <c r="F817" s="1"/>
  <c r="K3592" i="1"/>
  <c r="I3593" s="1"/>
  <c r="K3593" s="1"/>
  <c r="I3594" s="1"/>
  <c r="R2008"/>
  <c r="AB3622"/>
  <c r="AD3622" s="1"/>
  <c r="X3622"/>
  <c r="I3544"/>
  <c r="P3532"/>
  <c r="R3532" s="1"/>
  <c r="R3536" s="1"/>
  <c r="R3537" s="1"/>
  <c r="K3528"/>
  <c r="K3532" s="1"/>
  <c r="K3533" s="1"/>
  <c r="AE3562"/>
  <c r="AG3546"/>
  <c r="K3641"/>
  <c r="K3647" s="1"/>
  <c r="K3648" s="1"/>
  <c r="V3562"/>
  <c r="V3526"/>
  <c r="X3526" s="1"/>
  <c r="X3546"/>
  <c r="X1458"/>
  <c r="AB1456"/>
  <c r="AD1456" s="1"/>
  <c r="I4027"/>
  <c r="I41" i="25"/>
  <c r="K4012" i="1"/>
  <c r="K4014" s="1"/>
  <c r="K4015" s="1"/>
  <c r="K2607"/>
  <c r="X1409"/>
  <c r="AB1407"/>
  <c r="Z14"/>
  <c r="Z15" s="1"/>
  <c r="I503"/>
  <c r="K503" s="1"/>
  <c r="AB3620"/>
  <c r="AD3620" s="1"/>
  <c r="X3620"/>
  <c r="X1451"/>
  <c r="AB1449"/>
  <c r="AD1449" s="1"/>
  <c r="R1263"/>
  <c r="F569" i="79" s="1"/>
  <c r="P1240" i="1"/>
  <c r="R1240" s="1"/>
  <c r="V1243"/>
  <c r="P2831"/>
  <c r="I2824"/>
  <c r="R1121"/>
  <c r="K2268"/>
  <c r="V335"/>
  <c r="X335" s="1"/>
  <c r="V379"/>
  <c r="P79"/>
  <c r="R79" s="1"/>
  <c r="V311"/>
  <c r="X311" s="1"/>
  <c r="V355"/>
  <c r="X355" s="1"/>
  <c r="AQ107"/>
  <c r="AS107" s="1"/>
  <c r="AU107" s="1"/>
  <c r="AV107" s="1"/>
  <c r="AQ87"/>
  <c r="AS87" s="1"/>
  <c r="AQ63"/>
  <c r="AS63" s="1"/>
  <c r="AQ132"/>
  <c r="AS132" s="1"/>
  <c r="AU132" s="1"/>
  <c r="AV132" s="1"/>
  <c r="AQ163"/>
  <c r="X3619"/>
  <c r="AB3619"/>
  <c r="AD3619" s="1"/>
  <c r="AE335"/>
  <c r="AG335" s="1"/>
  <c r="AE388"/>
  <c r="AE364"/>
  <c r="AG364" s="1"/>
  <c r="AE311"/>
  <c r="AG311" s="1"/>
  <c r="V1460"/>
  <c r="R1499"/>
  <c r="R1498"/>
  <c r="V1459"/>
  <c r="F103" i="25"/>
  <c r="K3187" i="1"/>
  <c r="K3188" s="1"/>
  <c r="AD1409"/>
  <c r="AB1426"/>
  <c r="AD1426" s="1"/>
  <c r="D621" i="25"/>
  <c r="F586"/>
  <c r="D86"/>
  <c r="F85"/>
  <c r="AJ1203" i="1"/>
  <c r="AC1204"/>
  <c r="K4020"/>
  <c r="I4021"/>
  <c r="K4021" s="1"/>
  <c r="AQ111"/>
  <c r="AS91"/>
  <c r="V3588"/>
  <c r="X3573"/>
  <c r="W563"/>
  <c r="AC563" s="1"/>
  <c r="AJ563" s="1"/>
  <c r="J562"/>
  <c r="P1496"/>
  <c r="V1426"/>
  <c r="X1426" s="1"/>
  <c r="R1465"/>
  <c r="AD1402"/>
  <c r="AB1419"/>
  <c r="AD1419" s="1"/>
  <c r="J664"/>
  <c r="W488"/>
  <c r="AC488" s="1"/>
  <c r="K1651"/>
  <c r="K1653" s="1"/>
  <c r="I3978"/>
  <c r="K3978" s="1"/>
  <c r="K3961"/>
  <c r="P1495"/>
  <c r="R1464"/>
  <c r="V1425"/>
  <c r="X1425" s="1"/>
  <c r="V3604"/>
  <c r="X3604" s="1"/>
  <c r="X3587"/>
  <c r="F622" i="25"/>
  <c r="D658"/>
  <c r="W539" i="1"/>
  <c r="J540"/>
  <c r="K2583"/>
  <c r="K2608"/>
  <c r="K2612" s="1"/>
  <c r="K2615" s="1"/>
  <c r="M2615" s="1"/>
  <c r="F293" i="79"/>
  <c r="D621" i="68"/>
  <c r="F621" s="1"/>
  <c r="F623" s="1"/>
  <c r="AD1368" i="1"/>
  <c r="AB1385"/>
  <c r="AD1385" s="1"/>
  <c r="X3164"/>
  <c r="D553" i="25"/>
  <c r="K2281" i="1"/>
  <c r="R955"/>
  <c r="R957" s="1"/>
  <c r="R1057"/>
  <c r="R1059" s="1"/>
  <c r="F120" i="25"/>
  <c r="D147"/>
  <c r="AB1411" i="1"/>
  <c r="X1413"/>
  <c r="R1477"/>
  <c r="V1438"/>
  <c r="P1484"/>
  <c r="R1500"/>
  <c r="V1461"/>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I950"/>
  <c r="I1127"/>
  <c r="K1127" s="1"/>
  <c r="I2815"/>
  <c r="C90"/>
  <c r="P3259"/>
  <c r="R3259" s="1"/>
  <c r="I3282"/>
  <c r="K3146"/>
  <c r="P3153"/>
  <c r="R3153" s="1"/>
  <c r="M2256"/>
  <c r="L2221"/>
  <c r="K2255"/>
  <c r="K2288" s="1"/>
  <c r="R3188"/>
  <c r="P3257"/>
  <c r="R3257" s="1"/>
  <c r="P3221"/>
  <c r="P3291"/>
  <c r="V2601"/>
  <c r="K2633"/>
  <c r="P2640"/>
  <c r="D196" i="79" s="1"/>
  <c r="I3420" i="1"/>
  <c r="K3420" s="1"/>
  <c r="AQ137"/>
  <c r="AS112"/>
  <c r="AU112" s="1"/>
  <c r="AV112" s="1"/>
  <c r="K3211"/>
  <c r="I3226"/>
  <c r="R1266"/>
  <c r="F572" i="79" s="1"/>
  <c r="P1382" i="1"/>
  <c r="R1382" s="1"/>
  <c r="P1243"/>
  <c r="R1243" s="1"/>
  <c r="V1246"/>
  <c r="X1301"/>
  <c r="V1321"/>
  <c r="X1321" s="1"/>
  <c r="AD1247"/>
  <c r="AB1219"/>
  <c r="AD1219" s="1"/>
  <c r="K3242"/>
  <c r="I3267"/>
  <c r="K3267" s="1"/>
  <c r="P1242"/>
  <c r="R1242" s="1"/>
  <c r="V1245"/>
  <c r="R1265"/>
  <c r="F571" i="79" s="1"/>
  <c r="P1381" i="1"/>
  <c r="R1381" s="1"/>
  <c r="X1240"/>
  <c r="AB1245"/>
  <c r="AB1252"/>
  <c r="X1247"/>
  <c r="AB1246"/>
  <c r="X1241"/>
  <c r="F122" i="25"/>
  <c r="D149"/>
  <c r="X3586" i="1"/>
  <c r="V3603"/>
  <c r="X3689"/>
  <c r="X3695" s="1"/>
  <c r="X3696" s="1"/>
  <c r="V706"/>
  <c r="I255"/>
  <c r="K255" s="1"/>
  <c r="K259" s="1"/>
  <c r="K261" s="1"/>
  <c r="C79"/>
  <c r="I36"/>
  <c r="D36" i="68" s="1"/>
  <c r="F36" s="1"/>
  <c r="F40" s="1"/>
  <c r="C78" i="1"/>
  <c r="I3504"/>
  <c r="R1142"/>
  <c r="P1173"/>
  <c r="R1173" s="1"/>
  <c r="X771"/>
  <c r="X801"/>
  <c r="V816"/>
  <c r="X816" s="1"/>
  <c r="K1310"/>
  <c r="K1312" s="1"/>
  <c r="D170" i="25"/>
  <c r="F170" s="1"/>
  <c r="F148"/>
  <c r="V3621" i="1"/>
  <c r="AG3558"/>
  <c r="P1892"/>
  <c r="R1861"/>
  <c r="R1868" s="1"/>
  <c r="R1870" s="1"/>
  <c r="P1879" s="1"/>
  <c r="R1879" s="1"/>
  <c r="R1881" s="1"/>
  <c r="X3558"/>
  <c r="V3574"/>
  <c r="P1259"/>
  <c r="D565" i="79" s="1"/>
  <c r="R1217" i="1"/>
  <c r="P1461"/>
  <c r="R1444"/>
  <c r="R1454" s="1"/>
  <c r="R1455" s="1"/>
  <c r="R2094"/>
  <c r="P2100"/>
  <c r="V878"/>
  <c r="K878"/>
  <c r="I894"/>
  <c r="K894" s="1"/>
  <c r="I860"/>
  <c r="AE337"/>
  <c r="AG337" s="1"/>
  <c r="X337"/>
  <c r="X591"/>
  <c r="K2398"/>
  <c r="K2403" s="1"/>
  <c r="I2410"/>
  <c r="I1897"/>
  <c r="K1897" s="1"/>
  <c r="K1899" s="1"/>
  <c r="K1888"/>
  <c r="K1890" s="1"/>
  <c r="I709"/>
  <c r="K709" s="1"/>
  <c r="X883"/>
  <c r="V899"/>
  <c r="X899" s="1"/>
  <c r="P3066"/>
  <c r="R3066" s="1"/>
  <c r="R3071" s="1"/>
  <c r="R3073" s="1"/>
  <c r="K3059"/>
  <c r="K3064" s="1"/>
  <c r="K3066" s="1"/>
  <c r="I3078"/>
  <c r="K3078" s="1"/>
  <c r="K3083" s="1"/>
  <c r="K3085" s="1"/>
  <c r="P3569"/>
  <c r="K3566"/>
  <c r="K3569" s="1"/>
  <c r="V412"/>
  <c r="X412" s="1"/>
  <c r="AE390"/>
  <c r="X381"/>
  <c r="AB1387"/>
  <c r="AD1387" s="1"/>
  <c r="AD1370"/>
  <c r="AD1380" s="1"/>
  <c r="AB1404"/>
  <c r="X1406"/>
  <c r="AB1190"/>
  <c r="R1334"/>
  <c r="V1300"/>
  <c r="AB553"/>
  <c r="AD529"/>
  <c r="AI529"/>
  <c r="I613"/>
  <c r="K613"/>
  <c r="I690"/>
  <c r="K690" s="1"/>
  <c r="K3594"/>
  <c r="I3595" s="1"/>
  <c r="X395"/>
  <c r="V427"/>
  <c r="X427" s="1"/>
  <c r="K3926"/>
  <c r="I3944"/>
  <c r="AB1425"/>
  <c r="AD1425" s="1"/>
  <c r="AD1408"/>
  <c r="X1389"/>
  <c r="X1399" s="1"/>
  <c r="V1405"/>
  <c r="K2929"/>
  <c r="I2948"/>
  <c r="P1493"/>
  <c r="P1476"/>
  <c r="R1462"/>
  <c r="AE366"/>
  <c r="AG366" s="1"/>
  <c r="X357"/>
  <c r="K2154"/>
  <c r="K121"/>
  <c r="AE313"/>
  <c r="X313"/>
  <c r="AQ65"/>
  <c r="I2956"/>
  <c r="K2956" s="1"/>
  <c r="K2947"/>
  <c r="I3939"/>
  <c r="K3921"/>
  <c r="V3162"/>
  <c r="X3137"/>
  <c r="I591"/>
  <c r="K591" s="1"/>
  <c r="K1987" l="1"/>
  <c r="I2897"/>
  <c r="K2897" s="1"/>
  <c r="F274" i="79"/>
  <c r="F330"/>
  <c r="D353"/>
  <c r="D125"/>
  <c r="X708" i="1"/>
  <c r="V678"/>
  <c r="AD1406"/>
  <c r="AB1423"/>
  <c r="AD1423" s="1"/>
  <c r="AC14"/>
  <c r="I175" s="1"/>
  <c r="K175" s="1"/>
  <c r="K179" s="1"/>
  <c r="D474" i="79"/>
  <c r="F485"/>
  <c r="F518"/>
  <c r="S1326" i="1"/>
  <c r="D687" i="79"/>
  <c r="J3857" i="1"/>
  <c r="F712" i="79"/>
  <c r="AC539" i="1"/>
  <c r="AJ539" s="1"/>
  <c r="E105" i="79"/>
  <c r="V1467" i="1"/>
  <c r="X1467" s="1"/>
  <c r="X1443"/>
  <c r="F32" i="79"/>
  <c r="K2277" i="1"/>
  <c r="R2354"/>
  <c r="F436" i="79" s="1"/>
  <c r="D436"/>
  <c r="F882" i="68"/>
  <c r="F883" s="1"/>
  <c r="F83" i="79"/>
  <c r="R3569" i="1"/>
  <c r="D246" i="79"/>
  <c r="T1217" i="1"/>
  <c r="F585" i="79"/>
  <c r="F475"/>
  <c r="D475"/>
  <c r="AD1410" i="1"/>
  <c r="AB1427"/>
  <c r="AD1427" s="1"/>
  <c r="D837" i="68"/>
  <c r="F837" s="1"/>
  <c r="F847" s="1"/>
  <c r="F848" s="1"/>
  <c r="D564"/>
  <c r="F564" s="1"/>
  <c r="F405" i="79"/>
  <c r="D405"/>
  <c r="F687"/>
  <c r="F497"/>
  <c r="R2018" i="1"/>
  <c r="F662" i="79"/>
  <c r="R2344" i="1"/>
  <c r="F426" i="79" s="1"/>
  <c r="D426"/>
  <c r="F386"/>
  <c r="D547" i="68"/>
  <c r="F547" s="1"/>
  <c r="F149" i="79"/>
  <c r="D145" i="68"/>
  <c r="F145" s="1"/>
  <c r="D642" i="79"/>
  <c r="D123"/>
  <c r="D696" i="25"/>
  <c r="F696" s="1"/>
  <c r="F660"/>
  <c r="D84" i="69"/>
  <c r="F84" s="1"/>
  <c r="D35"/>
  <c r="F35" s="1"/>
  <c r="D83"/>
  <c r="F83" s="1"/>
  <c r="K105" i="1"/>
  <c r="I3980"/>
  <c r="K3980" s="1"/>
  <c r="K3963"/>
  <c r="AD553"/>
  <c r="H3873"/>
  <c r="D733" i="79" s="1"/>
  <c r="K3544" i="1"/>
  <c r="K3548" s="1"/>
  <c r="K3549" s="1"/>
  <c r="AE3544"/>
  <c r="P3548"/>
  <c r="R3548" s="1"/>
  <c r="R3552" s="1"/>
  <c r="R3553" s="1"/>
  <c r="V3544"/>
  <c r="K3226"/>
  <c r="AB1424"/>
  <c r="AD1424" s="1"/>
  <c r="AD1407"/>
  <c r="K4027"/>
  <c r="K4029" s="1"/>
  <c r="K4030" s="1"/>
  <c r="I4039"/>
  <c r="K4039" s="1"/>
  <c r="K4041" s="1"/>
  <c r="K4042" s="1"/>
  <c r="X3562"/>
  <c r="V3578"/>
  <c r="AG3562"/>
  <c r="V3625"/>
  <c r="R1987"/>
  <c r="F642" i="79" s="1"/>
  <c r="P2864" i="1"/>
  <c r="R2831"/>
  <c r="V2792"/>
  <c r="P2650"/>
  <c r="X1460"/>
  <c r="AB1458"/>
  <c r="AD1458" s="1"/>
  <c r="X1243"/>
  <c r="AB1248"/>
  <c r="AG388"/>
  <c r="AE424"/>
  <c r="AG424" s="1"/>
  <c r="AQ195"/>
  <c r="AS195" s="1"/>
  <c r="AS163"/>
  <c r="AU163" s="1"/>
  <c r="AV163" s="1"/>
  <c r="AB1457"/>
  <c r="AD1457" s="1"/>
  <c r="X1459"/>
  <c r="X379"/>
  <c r="V410"/>
  <c r="X410" s="1"/>
  <c r="I2643"/>
  <c r="K2824"/>
  <c r="F658" i="25"/>
  <c r="D694"/>
  <c r="F694" s="1"/>
  <c r="R1495" i="1"/>
  <c r="V1456"/>
  <c r="R1496"/>
  <c r="V1457"/>
  <c r="AC1205"/>
  <c r="AJ1204"/>
  <c r="W564"/>
  <c r="AC564" s="1"/>
  <c r="AJ564" s="1"/>
  <c r="J563"/>
  <c r="J541"/>
  <c r="W540"/>
  <c r="AC540" s="1"/>
  <c r="AJ540" s="1"/>
  <c r="W489"/>
  <c r="AC489" s="1"/>
  <c r="J665"/>
  <c r="AS111"/>
  <c r="AU111" s="1"/>
  <c r="AV111" s="1"/>
  <c r="AQ136"/>
  <c r="V3605"/>
  <c r="X3605" s="1"/>
  <c r="X3588"/>
  <c r="AD1397"/>
  <c r="F125" i="25"/>
  <c r="D115" s="1"/>
  <c r="F115" s="1"/>
  <c r="D87"/>
  <c r="F86"/>
  <c r="F621"/>
  <c r="D657"/>
  <c r="K2261" i="1"/>
  <c r="X3621"/>
  <c r="AB3621"/>
  <c r="AD3621" s="1"/>
  <c r="D590" i="25"/>
  <c r="F553"/>
  <c r="H3874" i="1"/>
  <c r="D734" i="79" s="1"/>
  <c r="F297"/>
  <c r="X706" i="1"/>
  <c r="V676"/>
  <c r="X676" s="1"/>
  <c r="F147" i="25"/>
  <c r="D169"/>
  <c r="F169" s="1"/>
  <c r="V1445" i="1"/>
  <c r="R1484"/>
  <c r="AD1411"/>
  <c r="AB1428"/>
  <c r="AD1428" s="1"/>
  <c r="X1461"/>
  <c r="AB1459"/>
  <c r="AD1459" s="1"/>
  <c r="AB1436"/>
  <c r="AD1436" s="1"/>
  <c r="X1438"/>
  <c r="V3247"/>
  <c r="X3247" s="1"/>
  <c r="P3360"/>
  <c r="R3360" s="1"/>
  <c r="R3291"/>
  <c r="P3394"/>
  <c r="R3394" s="1"/>
  <c r="AE2787"/>
  <c r="AG2787" s="1"/>
  <c r="P2821"/>
  <c r="I2864"/>
  <c r="K2864" s="1"/>
  <c r="K2875" s="1"/>
  <c r="K2877" s="1"/>
  <c r="K2814"/>
  <c r="I3600"/>
  <c r="P2641"/>
  <c r="D197" i="79" s="1"/>
  <c r="K2634" i="1"/>
  <c r="V2602"/>
  <c r="I3421"/>
  <c r="P2074"/>
  <c r="R2074" s="1"/>
  <c r="K3100"/>
  <c r="X2601"/>
  <c r="AE2615"/>
  <c r="AG2615" s="1"/>
  <c r="Z2599"/>
  <c r="AE2649"/>
  <c r="K3282"/>
  <c r="V3250"/>
  <c r="X3250" s="1"/>
  <c r="K950"/>
  <c r="K3319"/>
  <c r="K3329" s="1"/>
  <c r="K3331" s="1"/>
  <c r="K3147"/>
  <c r="K3157" s="1"/>
  <c r="K3159" s="1"/>
  <c r="P3154"/>
  <c r="P2822"/>
  <c r="K2815"/>
  <c r="I3479"/>
  <c r="K3479" s="1"/>
  <c r="P1064"/>
  <c r="D215" i="79" s="1"/>
  <c r="K1053" i="1"/>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I951"/>
  <c r="R2820"/>
  <c r="P2853"/>
  <c r="R2853" s="1"/>
  <c r="R2640"/>
  <c r="F196" i="79" s="1"/>
  <c r="R3221" i="1"/>
  <c r="P3435"/>
  <c r="R3435" s="1"/>
  <c r="P3323"/>
  <c r="R3323" s="1"/>
  <c r="I1017"/>
  <c r="I952"/>
  <c r="K952" s="1"/>
  <c r="I987"/>
  <c r="K987" s="1"/>
  <c r="P3292"/>
  <c r="P3222"/>
  <c r="P3258"/>
  <c r="R3258" s="1"/>
  <c r="R3270" s="1"/>
  <c r="R3272" s="1"/>
  <c r="R3189"/>
  <c r="R3201" s="1"/>
  <c r="R3203" s="1"/>
  <c r="AB1218"/>
  <c r="AD1218" s="1"/>
  <c r="AD1246"/>
  <c r="V3618"/>
  <c r="X3603"/>
  <c r="AD1245"/>
  <c r="AB1217"/>
  <c r="AD1217" s="1"/>
  <c r="L3208"/>
  <c r="L3211" s="1"/>
  <c r="K3245"/>
  <c r="K3247" s="1"/>
  <c r="K3214"/>
  <c r="K3216" s="1"/>
  <c r="D25" i="69" s="1"/>
  <c r="F25" s="1"/>
  <c r="L3177" i="1"/>
  <c r="L3180" s="1"/>
  <c r="L3182" s="1"/>
  <c r="AB1224"/>
  <c r="AD1224" s="1"/>
  <c r="AD1252"/>
  <c r="X1245"/>
  <c r="AB1250"/>
  <c r="K3273"/>
  <c r="K3275" s="1"/>
  <c r="L3233"/>
  <c r="L3239" s="1"/>
  <c r="L3241" s="1"/>
  <c r="L3192"/>
  <c r="L3195" s="1"/>
  <c r="L3197" s="1"/>
  <c r="K3229"/>
  <c r="K3231" s="1"/>
  <c r="F149" i="25"/>
  <c r="D171"/>
  <c r="F171" s="1"/>
  <c r="AB1251" i="1"/>
  <c r="X1246"/>
  <c r="AS137"/>
  <c r="AU137" s="1"/>
  <c r="AV137" s="1"/>
  <c r="AQ168"/>
  <c r="AS168" s="1"/>
  <c r="AU168" s="1"/>
  <c r="AV168" s="1"/>
  <c r="R2100"/>
  <c r="P2107"/>
  <c r="K3504"/>
  <c r="P22"/>
  <c r="I152"/>
  <c r="K152" s="1"/>
  <c r="K161" s="1"/>
  <c r="P627"/>
  <c r="R627" s="1"/>
  <c r="I140"/>
  <c r="D794" i="68" s="1"/>
  <c r="F794" s="1"/>
  <c r="F798" s="1"/>
  <c r="K36" i="1"/>
  <c r="K40" s="1"/>
  <c r="I45"/>
  <c r="D45" i="68" s="1"/>
  <c r="F45" s="1"/>
  <c r="F49" s="1"/>
  <c r="I19" i="1"/>
  <c r="D19" i="68" s="1"/>
  <c r="F19" s="1"/>
  <c r="F23" s="1"/>
  <c r="I2148" i="1"/>
  <c r="I272"/>
  <c r="K272" s="1"/>
  <c r="I54"/>
  <c r="D54" i="68" s="1"/>
  <c r="F54" s="1"/>
  <c r="F58" s="1"/>
  <c r="I1753" i="1"/>
  <c r="K1753" s="1"/>
  <c r="K1760" s="1"/>
  <c r="K1762" s="1"/>
  <c r="I505"/>
  <c r="I73"/>
  <c r="I2128"/>
  <c r="K2128" s="1"/>
  <c r="K2136" s="1"/>
  <c r="K2138" s="1"/>
  <c r="I809"/>
  <c r="P10"/>
  <c r="R10" s="1"/>
  <c r="R14" s="1"/>
  <c r="I10"/>
  <c r="D10" i="68" s="1"/>
  <c r="F10" s="1"/>
  <c r="F14" s="1"/>
  <c r="P1143" i="1"/>
  <c r="I28"/>
  <c r="D28" i="68" s="1"/>
  <c r="F28" s="1"/>
  <c r="F32" s="1"/>
  <c r="I64" i="1"/>
  <c r="AC15"/>
  <c r="I3502"/>
  <c r="I3500"/>
  <c r="X3162"/>
  <c r="D551" i="25"/>
  <c r="I3955" i="1"/>
  <c r="K3939"/>
  <c r="P1536"/>
  <c r="R1536" s="1"/>
  <c r="R1543" s="1"/>
  <c r="R1545" s="1"/>
  <c r="V1454"/>
  <c r="R1493"/>
  <c r="AB1403"/>
  <c r="X1405"/>
  <c r="X1415" s="1"/>
  <c r="V1320"/>
  <c r="X1320" s="1"/>
  <c r="X1300"/>
  <c r="AD1404"/>
  <c r="AB1421"/>
  <c r="AD1421" s="1"/>
  <c r="I710"/>
  <c r="K710" s="1"/>
  <c r="K2410"/>
  <c r="K2415" s="1"/>
  <c r="I2443"/>
  <c r="K2443" s="1"/>
  <c r="X3574"/>
  <c r="V3589"/>
  <c r="R1892"/>
  <c r="R1899" s="1"/>
  <c r="R1901" s="1"/>
  <c r="P1910" s="1"/>
  <c r="R1910" s="1"/>
  <c r="R1912" s="1"/>
  <c r="AS65"/>
  <c r="AQ89"/>
  <c r="R1476"/>
  <c r="R1478" s="1"/>
  <c r="R1479" s="1"/>
  <c r="V1437"/>
  <c r="P1483"/>
  <c r="K3944"/>
  <c r="I3960"/>
  <c r="V860"/>
  <c r="X860" s="1"/>
  <c r="P853"/>
  <c r="R853" s="1"/>
  <c r="K860"/>
  <c r="I3300"/>
  <c r="K3300" s="1"/>
  <c r="R1259"/>
  <c r="F565" i="79" s="1"/>
  <c r="P1236" i="1"/>
  <c r="R1236" s="1"/>
  <c r="V1239"/>
  <c r="D484" i="79"/>
  <c r="K3595" i="1"/>
  <c r="K614"/>
  <c r="I614"/>
  <c r="AD1190"/>
  <c r="AI1190"/>
  <c r="AK1190" s="1"/>
  <c r="AG390"/>
  <c r="AE426"/>
  <c r="AQ390"/>
  <c r="AS390" s="1"/>
  <c r="AE404"/>
  <c r="AG404" s="1"/>
  <c r="X592"/>
  <c r="X878"/>
  <c r="V894"/>
  <c r="X894" s="1"/>
  <c r="I592"/>
  <c r="K592" s="1"/>
  <c r="AG313"/>
  <c r="I2957"/>
  <c r="K2957" s="1"/>
  <c r="K2948"/>
  <c r="AI553"/>
  <c r="AK529"/>
  <c r="V1422"/>
  <c r="X1422" s="1"/>
  <c r="X1432" s="1"/>
  <c r="R1461"/>
  <c r="R1471" s="1"/>
  <c r="P1492"/>
  <c r="V800" l="1"/>
  <c r="X800" s="1"/>
  <c r="V705"/>
  <c r="D122" i="79" s="1"/>
  <c r="C73" i="1"/>
  <c r="P65" s="1"/>
  <c r="R65" s="1"/>
  <c r="V732"/>
  <c r="X732" s="1"/>
  <c r="V764"/>
  <c r="X764" s="1"/>
  <c r="X678"/>
  <c r="F353" i="79"/>
  <c r="F125"/>
  <c r="Z708" i="1"/>
  <c r="D373" i="79"/>
  <c r="F334"/>
  <c r="D56" i="69"/>
  <c r="F56" s="1"/>
  <c r="V762" i="1"/>
  <c r="X762" s="1"/>
  <c r="K2825"/>
  <c r="K2827" s="1"/>
  <c r="F312" i="79"/>
  <c r="F304"/>
  <c r="R2650" i="1"/>
  <c r="F206" i="79" s="1"/>
  <c r="D206"/>
  <c r="F390"/>
  <c r="K2266" i="1"/>
  <c r="R3572"/>
  <c r="F246" i="79"/>
  <c r="F474"/>
  <c r="F672"/>
  <c r="F84"/>
  <c r="K2286" i="1"/>
  <c r="D52" i="69"/>
  <c r="F52" s="1"/>
  <c r="J3859" i="1"/>
  <c r="F719" i="79" s="1"/>
  <c r="F717"/>
  <c r="F152" i="25"/>
  <c r="D141" s="1"/>
  <c r="D307" s="1"/>
  <c r="F307" s="1"/>
  <c r="AG2649" i="1"/>
  <c r="F165" i="79" s="1"/>
  <c r="D165"/>
  <c r="D20" i="69"/>
  <c r="F20" s="1"/>
  <c r="D74"/>
  <c r="F74" s="1"/>
  <c r="Z706" i="1"/>
  <c r="F123" i="79"/>
  <c r="D32" i="69"/>
  <c r="F32" s="1"/>
  <c r="AK553" i="1"/>
  <c r="D627" i="68"/>
  <c r="F627" s="1"/>
  <c r="R1064" i="1"/>
  <c r="F215" i="79" s="1"/>
  <c r="AG3544" i="1"/>
  <c r="AG3548" s="1"/>
  <c r="AG3549" s="1"/>
  <c r="AE3560"/>
  <c r="X3544"/>
  <c r="X3548" s="1"/>
  <c r="X3549" s="1"/>
  <c r="V3560"/>
  <c r="V3524"/>
  <c r="X3524" s="1"/>
  <c r="X3528" s="1"/>
  <c r="X3529" s="1"/>
  <c r="H3889"/>
  <c r="J3873"/>
  <c r="F733" i="79" s="1"/>
  <c r="F484"/>
  <c r="AB3625" i="1"/>
  <c r="AD3625" s="1"/>
  <c r="X3626"/>
  <c r="X3625"/>
  <c r="V3593"/>
  <c r="X3578"/>
  <c r="K73"/>
  <c r="K77" s="1"/>
  <c r="I226" s="1"/>
  <c r="D689" i="68" s="1"/>
  <c r="F689" s="1"/>
  <c r="F695" s="1"/>
  <c r="F697" s="1"/>
  <c r="D73"/>
  <c r="F73" s="1"/>
  <c r="F77" s="1"/>
  <c r="K64" i="1"/>
  <c r="K68" s="1"/>
  <c r="D64" i="68"/>
  <c r="F64" s="1"/>
  <c r="F68" s="1"/>
  <c r="V730" i="1"/>
  <c r="X730" s="1"/>
  <c r="K3494"/>
  <c r="AD1248"/>
  <c r="AB1220"/>
  <c r="AD1220" s="1"/>
  <c r="AE2796"/>
  <c r="AG2796" s="1"/>
  <c r="AG2797" s="1"/>
  <c r="AG2799" s="1"/>
  <c r="X2792"/>
  <c r="X2793" s="1"/>
  <c r="X2795" s="1"/>
  <c r="AU195"/>
  <c r="AV195" s="1"/>
  <c r="AS199"/>
  <c r="P3163"/>
  <c r="R3163" s="1"/>
  <c r="R2864"/>
  <c r="K2643"/>
  <c r="K2645" s="1"/>
  <c r="K2647" s="1"/>
  <c r="V2612"/>
  <c r="J542"/>
  <c r="W541"/>
  <c r="AC541" s="1"/>
  <c r="AJ541" s="1"/>
  <c r="J564"/>
  <c r="J565" s="1"/>
  <c r="J566" s="1"/>
  <c r="J567" s="1"/>
  <c r="J568" s="1"/>
  <c r="J569" s="1"/>
  <c r="J570" s="1"/>
  <c r="J571" s="1"/>
  <c r="W565"/>
  <c r="AC565" s="1"/>
  <c r="AJ565" s="1"/>
  <c r="AB1455"/>
  <c r="AD1455" s="1"/>
  <c r="X1457"/>
  <c r="F174" i="25"/>
  <c r="F176" s="1"/>
  <c r="F87"/>
  <c r="F96" s="1"/>
  <c r="F97" s="1"/>
  <c r="D109"/>
  <c r="AQ167" i="1"/>
  <c r="AS167" s="1"/>
  <c r="AU167" s="1"/>
  <c r="AV167" s="1"/>
  <c r="AS136"/>
  <c r="AU136" s="1"/>
  <c r="AV136" s="1"/>
  <c r="AB1454"/>
  <c r="AD1454" s="1"/>
  <c r="X1456"/>
  <c r="AJ1205"/>
  <c r="AC1206"/>
  <c r="K998"/>
  <c r="K1000" s="1"/>
  <c r="F657" i="25"/>
  <c r="D693"/>
  <c r="F693" s="1"/>
  <c r="J666" i="1"/>
  <c r="J667" s="1"/>
  <c r="J668" s="1"/>
  <c r="J669" s="1"/>
  <c r="J670" s="1"/>
  <c r="W490"/>
  <c r="AC490" s="1"/>
  <c r="AC491" s="1"/>
  <c r="AC492" s="1"/>
  <c r="AC493" s="1"/>
  <c r="AC494" s="1"/>
  <c r="AC495" s="1"/>
  <c r="AC496" s="1"/>
  <c r="AC497" s="1"/>
  <c r="F590" i="25"/>
  <c r="D625"/>
  <c r="H3890" i="1"/>
  <c r="J3874"/>
  <c r="F734" i="79" s="1"/>
  <c r="X1445" i="1"/>
  <c r="V1469"/>
  <c r="X1469" s="1"/>
  <c r="K3421"/>
  <c r="K3432" s="1"/>
  <c r="K3434" s="1"/>
  <c r="R2821"/>
  <c r="P2854"/>
  <c r="R2854" s="1"/>
  <c r="P3324"/>
  <c r="R3324" s="1"/>
  <c r="R3337" s="1"/>
  <c r="R3339" s="1"/>
  <c r="R3222"/>
  <c r="R3236" s="1"/>
  <c r="R3238" s="1"/>
  <c r="P3436"/>
  <c r="R3436" s="1"/>
  <c r="R3450" s="1"/>
  <c r="R3452" s="1"/>
  <c r="P2075"/>
  <c r="R2075" s="1"/>
  <c r="R2085" s="1"/>
  <c r="R2087" s="1"/>
  <c r="K3101"/>
  <c r="K3112" s="1"/>
  <c r="K3114" s="1"/>
  <c r="I3280"/>
  <c r="K1102"/>
  <c r="K1110" s="1"/>
  <c r="K1112" s="1"/>
  <c r="R2641"/>
  <c r="K1017"/>
  <c r="K1028" s="1"/>
  <c r="K1030" s="1"/>
  <c r="P1091"/>
  <c r="K1054"/>
  <c r="K1064" s="1"/>
  <c r="K1066" s="1"/>
  <c r="P988"/>
  <c r="R988" s="1"/>
  <c r="R998" s="1"/>
  <c r="R1000" s="1"/>
  <c r="P1065"/>
  <c r="D216" i="79" s="1"/>
  <c r="P1090" i="1"/>
  <c r="AE1063"/>
  <c r="AG1063" s="1"/>
  <c r="AG1073" s="1"/>
  <c r="AG1075" s="1"/>
  <c r="Z2600"/>
  <c r="Z2610" s="1"/>
  <c r="Z2611" s="1"/>
  <c r="AE2616"/>
  <c r="AG2616" s="1"/>
  <c r="AG2627" s="1"/>
  <c r="AG2629" s="1"/>
  <c r="AE2650"/>
  <c r="X2602"/>
  <c r="K3600"/>
  <c r="K3610" s="1"/>
  <c r="K3612" s="1"/>
  <c r="I3623"/>
  <c r="K3623" s="1"/>
  <c r="K3631" s="1"/>
  <c r="K3633" s="1"/>
  <c r="P3395"/>
  <c r="R3395" s="1"/>
  <c r="R3292"/>
  <c r="R3303" s="1"/>
  <c r="R3305" s="1"/>
  <c r="P3361"/>
  <c r="R3361" s="1"/>
  <c r="R3372" s="1"/>
  <c r="R3374" s="1"/>
  <c r="K951"/>
  <c r="K962" s="1"/>
  <c r="K964" s="1"/>
  <c r="D546" i="25"/>
  <c r="R1089" i="1"/>
  <c r="P1111"/>
  <c r="R2822"/>
  <c r="P2855"/>
  <c r="R2855" s="1"/>
  <c r="R3154"/>
  <c r="R3164" s="1"/>
  <c r="R3166" s="1"/>
  <c r="V3114"/>
  <c r="R3406"/>
  <c r="R3408" s="1"/>
  <c r="F141" i="25"/>
  <c r="AD1251" i="1"/>
  <c r="AB1223"/>
  <c r="AD1223" s="1"/>
  <c r="AD1250"/>
  <c r="AB1222"/>
  <c r="AD1222" s="1"/>
  <c r="AB3618"/>
  <c r="AD3618" s="1"/>
  <c r="X3618"/>
  <c r="P2114"/>
  <c r="R2114" s="1"/>
  <c r="R2116" s="1"/>
  <c r="R2107"/>
  <c r="P1174"/>
  <c r="R1174" s="1"/>
  <c r="R1143"/>
  <c r="K54"/>
  <c r="K58" s="1"/>
  <c r="K45"/>
  <c r="K49" s="1"/>
  <c r="K28"/>
  <c r="K32" s="1"/>
  <c r="I1418" s="1"/>
  <c r="D199" i="68" s="1"/>
  <c r="F199" s="1"/>
  <c r="F205" s="1"/>
  <c r="F207" s="1"/>
  <c r="K809" i="1"/>
  <c r="V644"/>
  <c r="V802"/>
  <c r="I2899"/>
  <c r="K2899" s="1"/>
  <c r="K2905" s="1"/>
  <c r="K2907" s="1"/>
  <c r="K2911" s="1"/>
  <c r="K505"/>
  <c r="K511" s="1"/>
  <c r="K513" s="1"/>
  <c r="P2155"/>
  <c r="R2155" s="1"/>
  <c r="R2163" s="1"/>
  <c r="R2165" s="1"/>
  <c r="K2148"/>
  <c r="K2156" s="1"/>
  <c r="K2158" s="1"/>
  <c r="K19"/>
  <c r="K23" s="1"/>
  <c r="P2348"/>
  <c r="K140"/>
  <c r="K144" s="1"/>
  <c r="R22"/>
  <c r="R28" s="1"/>
  <c r="R30" s="1"/>
  <c r="W590"/>
  <c r="K10"/>
  <c r="AQ108"/>
  <c r="AS108" s="1"/>
  <c r="AU108" s="1"/>
  <c r="AV108" s="1"/>
  <c r="P164"/>
  <c r="R164" s="1"/>
  <c r="P232"/>
  <c r="R232" s="1"/>
  <c r="I1405"/>
  <c r="D755" i="68" s="1"/>
  <c r="F755" s="1"/>
  <c r="F762" s="1"/>
  <c r="F764" s="1"/>
  <c r="I411" i="1"/>
  <c r="K411" s="1"/>
  <c r="K418" s="1"/>
  <c r="K420" s="1"/>
  <c r="I487"/>
  <c r="K487" s="1"/>
  <c r="K495" s="1"/>
  <c r="K497" s="1"/>
  <c r="I356"/>
  <c r="I1200"/>
  <c r="D743" i="68" s="1"/>
  <c r="F743" s="1"/>
  <c r="F749" s="1"/>
  <c r="F751" s="1"/>
  <c r="AQ133" i="1"/>
  <c r="I445"/>
  <c r="K445" s="1"/>
  <c r="K452" s="1"/>
  <c r="K454" s="1"/>
  <c r="I459" s="1"/>
  <c r="K459" s="1"/>
  <c r="K463" s="1"/>
  <c r="K465" s="1"/>
  <c r="K467" s="1"/>
  <c r="I380"/>
  <c r="D718" i="68" s="1"/>
  <c r="F718" s="1"/>
  <c r="F725" s="1"/>
  <c r="F727" s="1"/>
  <c r="D732" s="1"/>
  <c r="F732" s="1"/>
  <c r="F736" s="1"/>
  <c r="F738" s="1"/>
  <c r="P362" i="1"/>
  <c r="R362" s="1"/>
  <c r="R370" s="1"/>
  <c r="R372" s="1"/>
  <c r="P2346"/>
  <c r="D428" i="79" s="1"/>
  <c r="C74" i="1"/>
  <c r="P231"/>
  <c r="R231" s="1"/>
  <c r="I167"/>
  <c r="K167" s="1"/>
  <c r="K171" s="1"/>
  <c r="K3502"/>
  <c r="K3500"/>
  <c r="P626"/>
  <c r="R626" s="1"/>
  <c r="I593"/>
  <c r="K593" s="1"/>
  <c r="D471" i="79"/>
  <c r="AB1244" i="1"/>
  <c r="X1239"/>
  <c r="AB1435"/>
  <c r="AD1435" s="1"/>
  <c r="AD1437" s="1"/>
  <c r="AD1438" s="1"/>
  <c r="X1437"/>
  <c r="X1439" s="1"/>
  <c r="X1440" s="1"/>
  <c r="AS89"/>
  <c r="AQ109"/>
  <c r="AB1420"/>
  <c r="AD1420" s="1"/>
  <c r="AD1430" s="1"/>
  <c r="AD1403"/>
  <c r="AD1413" s="1"/>
  <c r="AB1452"/>
  <c r="AD1452" s="1"/>
  <c r="X1454"/>
  <c r="D588" i="25"/>
  <c r="F551"/>
  <c r="I615" i="1"/>
  <c r="K615"/>
  <c r="I3977"/>
  <c r="K3977" s="1"/>
  <c r="K3960"/>
  <c r="V1444"/>
  <c r="R1483"/>
  <c r="R1485" s="1"/>
  <c r="K3955"/>
  <c r="I3972"/>
  <c r="K3972" s="1"/>
  <c r="V3606"/>
  <c r="X3606" s="1"/>
  <c r="X3589"/>
  <c r="V1453"/>
  <c r="R1492"/>
  <c r="R1502" s="1"/>
  <c r="X593"/>
  <c r="AG426"/>
  <c r="AE441"/>
  <c r="AG441" s="1"/>
  <c r="F487" i="79"/>
  <c r="S1545" i="1"/>
  <c r="V675" l="1"/>
  <c r="X675" s="1"/>
  <c r="V815"/>
  <c r="X815" s="1"/>
  <c r="X705"/>
  <c r="F122" i="79" s="1"/>
  <c r="I1705" i="1"/>
  <c r="K1705" s="1"/>
  <c r="P1141"/>
  <c r="R1141" s="1"/>
  <c r="R1152" s="1"/>
  <c r="R1156" s="1"/>
  <c r="I210"/>
  <c r="K210" s="1"/>
  <c r="I270"/>
  <c r="K270" s="1"/>
  <c r="K278" s="1"/>
  <c r="K280" s="1"/>
  <c r="I637" s="1"/>
  <c r="K637" s="1"/>
  <c r="K641" s="1"/>
  <c r="K643" s="1"/>
  <c r="P195"/>
  <c r="R195" s="1"/>
  <c r="I807"/>
  <c r="K807" s="1"/>
  <c r="K815" s="1"/>
  <c r="K817" s="1"/>
  <c r="K821" s="1"/>
  <c r="F313" i="79"/>
  <c r="F298"/>
  <c r="D553" i="68"/>
  <c r="F553" s="1"/>
  <c r="F557" s="1"/>
  <c r="F558" s="1"/>
  <c r="D164" i="25"/>
  <c r="F164" s="1"/>
  <c r="F373" i="79"/>
  <c r="K2264" i="1"/>
  <c r="F335" i="79"/>
  <c r="F357"/>
  <c r="J3890" i="1"/>
  <c r="D750" i="79"/>
  <c r="D85" i="69"/>
  <c r="F85" s="1"/>
  <c r="F476" i="79"/>
  <c r="R2652" i="1"/>
  <c r="F197" i="79"/>
  <c r="D80" i="69"/>
  <c r="F80" s="1"/>
  <c r="J3889" i="1"/>
  <c r="F749" i="79" s="1"/>
  <c r="D749"/>
  <c r="F249"/>
  <c r="D79" i="69"/>
  <c r="F79" s="1"/>
  <c r="AG2650" i="1"/>
  <c r="F166" i="79" s="1"/>
  <c r="D166"/>
  <c r="D12" i="69"/>
  <c r="F12" s="1"/>
  <c r="R2348" i="1"/>
  <c r="F430" i="79" s="1"/>
  <c r="D430"/>
  <c r="P51" i="1"/>
  <c r="R51" s="1"/>
  <c r="R57" s="1"/>
  <c r="R60" s="1"/>
  <c r="P610" s="1"/>
  <c r="R610" s="1"/>
  <c r="R1065"/>
  <c r="J3878"/>
  <c r="V3610"/>
  <c r="X3610" s="1"/>
  <c r="X3593"/>
  <c r="AG3560"/>
  <c r="AG3564" s="1"/>
  <c r="AG3565" s="1"/>
  <c r="V3623"/>
  <c r="V3576"/>
  <c r="X3560"/>
  <c r="X3564" s="1"/>
  <c r="X3565" s="1"/>
  <c r="K226"/>
  <c r="K232" s="1"/>
  <c r="K234" s="1"/>
  <c r="K1200"/>
  <c r="K1211" s="1"/>
  <c r="K1213" s="1"/>
  <c r="K1405"/>
  <c r="K1412" s="1"/>
  <c r="K1414" s="1"/>
  <c r="X2612"/>
  <c r="X2613" s="1"/>
  <c r="X2615" s="1"/>
  <c r="AE2660"/>
  <c r="AS201"/>
  <c r="AU199"/>
  <c r="AV199" s="1"/>
  <c r="R2865"/>
  <c r="R2867" s="1"/>
  <c r="F109" i="25"/>
  <c r="F118" s="1"/>
  <c r="H118" s="1"/>
  <c r="D132"/>
  <c r="AC1207" i="1"/>
  <c r="AC1208" s="1"/>
  <c r="AJ1206"/>
  <c r="W542"/>
  <c r="AC542" s="1"/>
  <c r="AJ542" s="1"/>
  <c r="J543"/>
  <c r="K2262"/>
  <c r="F625" i="25"/>
  <c r="D661"/>
  <c r="K3514" i="1"/>
  <c r="K3515" s="1"/>
  <c r="F546" i="25"/>
  <c r="F556" s="1"/>
  <c r="F558" s="1"/>
  <c r="D583"/>
  <c r="I4064" i="1"/>
  <c r="K4064" s="1"/>
  <c r="K4074" s="1"/>
  <c r="K4076" s="1"/>
  <c r="V3131"/>
  <c r="X3114"/>
  <c r="X3124" s="1"/>
  <c r="X3126" s="1"/>
  <c r="R1111"/>
  <c r="V3634"/>
  <c r="X3634" s="1"/>
  <c r="V3248"/>
  <c r="X3248" s="1"/>
  <c r="X3259" s="1"/>
  <c r="X3261" s="1"/>
  <c r="K3280"/>
  <c r="K3291" s="1"/>
  <c r="K3293" s="1"/>
  <c r="P1112"/>
  <c r="R1090"/>
  <c r="R1091"/>
  <c r="P1113"/>
  <c r="R2832"/>
  <c r="R2834" s="1"/>
  <c r="R238"/>
  <c r="R240" s="1"/>
  <c r="I1271"/>
  <c r="AB1332"/>
  <c r="AC1332" s="1"/>
  <c r="AC1336" s="1"/>
  <c r="AC1337" s="1"/>
  <c r="V1341" s="1"/>
  <c r="I211"/>
  <c r="K211" s="1"/>
  <c r="P307"/>
  <c r="R307" s="1"/>
  <c r="R313" s="1"/>
  <c r="R315" s="1"/>
  <c r="P66"/>
  <c r="R66" s="1"/>
  <c r="R72" s="1"/>
  <c r="R74" s="1"/>
  <c r="P653" s="1"/>
  <c r="R653" s="1"/>
  <c r="P319"/>
  <c r="R319" s="1"/>
  <c r="R325" s="1"/>
  <c r="R327" s="1"/>
  <c r="I3807"/>
  <c r="K3807" s="1"/>
  <c r="K3812" s="1"/>
  <c r="K3814" s="1"/>
  <c r="K2913"/>
  <c r="V707"/>
  <c r="D124" i="79" s="1"/>
  <c r="AD644" i="1"/>
  <c r="AF644" s="1"/>
  <c r="AF650" s="1"/>
  <c r="AF652" s="1"/>
  <c r="AF654" s="1"/>
  <c r="AF655" s="1"/>
  <c r="AF657" s="1"/>
  <c r="X644"/>
  <c r="X650" s="1"/>
  <c r="X652" s="1"/>
  <c r="X654" s="1"/>
  <c r="X655" s="1"/>
  <c r="X657" s="1"/>
  <c r="I1392"/>
  <c r="D187" i="68" s="1"/>
  <c r="F187" s="1"/>
  <c r="F193" s="1"/>
  <c r="F195" s="1"/>
  <c r="P80" i="1"/>
  <c r="R80" s="1"/>
  <c r="R87" s="1"/>
  <c r="R89" s="1"/>
  <c r="P654" s="1"/>
  <c r="R654" s="1"/>
  <c r="P336"/>
  <c r="R336" s="1"/>
  <c r="R342" s="1"/>
  <c r="R344" s="1"/>
  <c r="V312"/>
  <c r="X312" s="1"/>
  <c r="X319" s="1"/>
  <c r="X321" s="1"/>
  <c r="I1478"/>
  <c r="K1478" s="1"/>
  <c r="K1483" s="1"/>
  <c r="K1485" s="1"/>
  <c r="AE312"/>
  <c r="I1453"/>
  <c r="K1453" s="1"/>
  <c r="K1458" s="1"/>
  <c r="K1460" s="1"/>
  <c r="I1465"/>
  <c r="K1465" s="1"/>
  <c r="K1470" s="1"/>
  <c r="K1472" s="1"/>
  <c r="AQ64"/>
  <c r="AS64" s="1"/>
  <c r="AS71" s="1"/>
  <c r="AS73" s="1"/>
  <c r="I297"/>
  <c r="K297" s="1"/>
  <c r="K304" s="1"/>
  <c r="K306" s="1"/>
  <c r="I3252"/>
  <c r="K3252" s="1"/>
  <c r="K3258" s="1"/>
  <c r="K3260" s="1"/>
  <c r="I196"/>
  <c r="D675" i="68" s="1"/>
  <c r="F675" s="1"/>
  <c r="I312" i="1"/>
  <c r="D703" i="68" s="1"/>
  <c r="F703" s="1"/>
  <c r="F710" s="1"/>
  <c r="F712" s="1"/>
  <c r="AQ164" i="1"/>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I1336"/>
  <c r="P196"/>
  <c r="K1418"/>
  <c r="K1424" s="1"/>
  <c r="K1426" s="1"/>
  <c r="I1354"/>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04" i="68" s="1"/>
  <c r="F104" s="1"/>
  <c r="F117" s="1"/>
  <c r="F119" s="1"/>
  <c r="I1220" i="1"/>
  <c r="I3455"/>
  <c r="P1333"/>
  <c r="P657"/>
  <c r="R657" s="1"/>
  <c r="K468"/>
  <c r="I336"/>
  <c r="AQ88"/>
  <c r="AS88" s="1"/>
  <c r="AS95" s="1"/>
  <c r="AS97" s="1"/>
  <c r="AS99" s="1"/>
  <c r="P180"/>
  <c r="R180" s="1"/>
  <c r="V380"/>
  <c r="K380"/>
  <c r="K387" s="1"/>
  <c r="K389" s="1"/>
  <c r="I394" s="1"/>
  <c r="K394" s="1"/>
  <c r="K398" s="1"/>
  <c r="K400" s="1"/>
  <c r="V356"/>
  <c r="K356"/>
  <c r="K363" s="1"/>
  <c r="K365" s="1"/>
  <c r="K367" s="1"/>
  <c r="R2346"/>
  <c r="F428" i="79" s="1"/>
  <c r="P2355" i="1"/>
  <c r="V195"/>
  <c r="X195" s="1"/>
  <c r="I195"/>
  <c r="D674" i="68" s="1"/>
  <c r="F674" s="1"/>
  <c r="P656" i="1"/>
  <c r="R656" s="1"/>
  <c r="AB1451"/>
  <c r="AD1451" s="1"/>
  <c r="AD1461" s="1"/>
  <c r="X1453"/>
  <c r="X1463" s="1"/>
  <c r="AQ134"/>
  <c r="AS109"/>
  <c r="X594"/>
  <c r="X595" s="1"/>
  <c r="Y590" s="1"/>
  <c r="Y591" s="1"/>
  <c r="Y592" s="1"/>
  <c r="Y593" s="1"/>
  <c r="Y594" s="1"/>
  <c r="V1468"/>
  <c r="X1468" s="1"/>
  <c r="X1470" s="1"/>
  <c r="X1471" s="1"/>
  <c r="X1444"/>
  <c r="X1446" s="1"/>
  <c r="X1447" s="1"/>
  <c r="S1446"/>
  <c r="R1486"/>
  <c r="I594"/>
  <c r="K594" s="1"/>
  <c r="K616"/>
  <c r="I616"/>
  <c r="D623" i="25"/>
  <c r="F588"/>
  <c r="AB1216" i="1"/>
  <c r="AD1216" s="1"/>
  <c r="AD1244"/>
  <c r="V729" l="1"/>
  <c r="X729" s="1"/>
  <c r="V761"/>
  <c r="X761" s="1"/>
  <c r="X826"/>
  <c r="Z815" s="1"/>
  <c r="Z816" s="1"/>
  <c r="Z817" s="1"/>
  <c r="Z818" s="1"/>
  <c r="Z819" s="1"/>
  <c r="Z820" s="1"/>
  <c r="Z821" s="1"/>
  <c r="Z822" s="1"/>
  <c r="Z823" s="1"/>
  <c r="Z824" s="1"/>
  <c r="K217"/>
  <c r="K219" s="1"/>
  <c r="P596"/>
  <c r="R596" s="1"/>
  <c r="K285"/>
  <c r="P1172"/>
  <c r="R1172" s="1"/>
  <c r="R1183" s="1"/>
  <c r="R1184" s="1"/>
  <c r="Z705"/>
  <c r="K2263"/>
  <c r="F358" i="79"/>
  <c r="K2265" i="1"/>
  <c r="F377" i="79"/>
  <c r="D73" i="69"/>
  <c r="F73" s="1"/>
  <c r="K2287" i="1"/>
  <c r="D53" i="69"/>
  <c r="F53" s="1"/>
  <c r="F467" i="79"/>
  <c r="F477"/>
  <c r="F471"/>
  <c r="AG2660" i="1"/>
  <c r="D176" i="79"/>
  <c r="R1075" i="1"/>
  <c r="F216" i="79"/>
  <c r="J3880" i="1"/>
  <c r="F740" i="79" s="1"/>
  <c r="F738"/>
  <c r="R2654" i="1"/>
  <c r="F208" i="79"/>
  <c r="J3894" i="1"/>
  <c r="F750" i="79"/>
  <c r="R2355" i="1"/>
  <c r="D437" i="79"/>
  <c r="X1341" i="1"/>
  <c r="F611" i="79" s="1"/>
  <c r="D611"/>
  <c r="I1971" i="1"/>
  <c r="K1971" s="1"/>
  <c r="K1977" s="1"/>
  <c r="D66" i="69"/>
  <c r="F66" s="1"/>
  <c r="F681" i="68"/>
  <c r="F683" s="1"/>
  <c r="I2105" i="1"/>
  <c r="K2105" s="1"/>
  <c r="K2111" s="1"/>
  <c r="I1991"/>
  <c r="K1991" s="1"/>
  <c r="P623"/>
  <c r="R623" s="1"/>
  <c r="I2441"/>
  <c r="K2441" s="1"/>
  <c r="K2446" s="1"/>
  <c r="K2448" s="1"/>
  <c r="X3576"/>
  <c r="X3580" s="1"/>
  <c r="X3581" s="1"/>
  <c r="V3591"/>
  <c r="X3623"/>
  <c r="X3627" s="1"/>
  <c r="X3628" s="1"/>
  <c r="AB3623"/>
  <c r="AD3623" s="1"/>
  <c r="AD3628" s="1"/>
  <c r="AD3629" s="1"/>
  <c r="K1336"/>
  <c r="K1342" s="1"/>
  <c r="K1344" s="1"/>
  <c r="V1333" s="1"/>
  <c r="K1354"/>
  <c r="I2992"/>
  <c r="K2992" s="1"/>
  <c r="K2999" s="1"/>
  <c r="K3001" s="1"/>
  <c r="K312"/>
  <c r="K319" s="1"/>
  <c r="K321" s="1"/>
  <c r="AS203"/>
  <c r="AU201"/>
  <c r="AV201" s="1"/>
  <c r="R1101"/>
  <c r="R1103" s="1"/>
  <c r="D133" i="25"/>
  <c r="D298"/>
  <c r="F298" s="1"/>
  <c r="F132"/>
  <c r="J544" i="1"/>
  <c r="W543"/>
  <c r="AC543" s="1"/>
  <c r="AJ543" s="1"/>
  <c r="D697" i="25"/>
  <c r="F697" s="1"/>
  <c r="F661"/>
  <c r="V3156" i="1"/>
  <c r="X3131"/>
  <c r="X3141" s="1"/>
  <c r="X3143" s="1"/>
  <c r="V3635"/>
  <c r="X3635" s="1"/>
  <c r="R1112"/>
  <c r="R1113"/>
  <c r="V3636"/>
  <c r="X3636" s="1"/>
  <c r="F583" i="25"/>
  <c r="F593" s="1"/>
  <c r="F595" s="1"/>
  <c r="D618"/>
  <c r="AS100" i="1"/>
  <c r="AU99"/>
  <c r="AV99" s="1"/>
  <c r="I1720"/>
  <c r="K1720" s="1"/>
  <c r="K1725" s="1"/>
  <c r="K1727" s="1"/>
  <c r="I2383"/>
  <c r="D814" i="68" s="1"/>
  <c r="F814" s="1"/>
  <c r="F821" s="1"/>
  <c r="F823" s="1"/>
  <c r="I1731" i="1"/>
  <c r="K1731" s="1"/>
  <c r="K1734" s="1"/>
  <c r="K1736" s="1"/>
  <c r="I1741" s="1"/>
  <c r="K1741" s="1"/>
  <c r="K1744" s="1"/>
  <c r="K1746" s="1"/>
  <c r="K402"/>
  <c r="P3461"/>
  <c r="R3461" s="1"/>
  <c r="R3474" s="1"/>
  <c r="R3476" s="1"/>
  <c r="I3822"/>
  <c r="K3822" s="1"/>
  <c r="K3835" s="1"/>
  <c r="K3837" s="1"/>
  <c r="K3455"/>
  <c r="K3468" s="1"/>
  <c r="K3470" s="1"/>
  <c r="I629"/>
  <c r="K629" s="1"/>
  <c r="V196"/>
  <c r="X196" s="1"/>
  <c r="X202" s="1"/>
  <c r="X204" s="1"/>
  <c r="R196"/>
  <c r="R202" s="1"/>
  <c r="R204" s="1"/>
  <c r="L519"/>
  <c r="K520"/>
  <c r="K521" s="1"/>
  <c r="K522" s="1"/>
  <c r="AS75"/>
  <c r="AS76" s="1"/>
  <c r="AS77" s="1"/>
  <c r="AS78" s="1"/>
  <c r="AS79" s="1"/>
  <c r="K1392"/>
  <c r="K1398" s="1"/>
  <c r="K1400" s="1"/>
  <c r="K1271"/>
  <c r="K1276" s="1"/>
  <c r="K1278" s="1"/>
  <c r="I1285"/>
  <c r="K1285" s="1"/>
  <c r="K1290" s="1"/>
  <c r="K1292" s="1"/>
  <c r="AB1264"/>
  <c r="AD1264" s="1"/>
  <c r="AD1269" s="1"/>
  <c r="AD1271" s="1"/>
  <c r="AE365"/>
  <c r="AG365" s="1"/>
  <c r="AG372" s="1"/>
  <c r="AG374" s="1"/>
  <c r="AG376" s="1"/>
  <c r="AG377" s="1"/>
  <c r="X356"/>
  <c r="X363" s="1"/>
  <c r="X365" s="1"/>
  <c r="R1333"/>
  <c r="R1338" s="1"/>
  <c r="R1340" s="1"/>
  <c r="R1341" s="1"/>
  <c r="R1342" s="1"/>
  <c r="R1343" s="1"/>
  <c r="R1344" s="1"/>
  <c r="R1345" s="1"/>
  <c r="Q1341" s="1"/>
  <c r="Q1342" s="1"/>
  <c r="AB1189"/>
  <c r="V1332"/>
  <c r="V1299"/>
  <c r="P1373"/>
  <c r="R1373" s="1"/>
  <c r="R1386" s="1"/>
  <c r="R1388" s="1"/>
  <c r="K1440"/>
  <c r="K1442" s="1"/>
  <c r="L1412"/>
  <c r="P2431"/>
  <c r="R2431" s="1"/>
  <c r="R2440" s="1"/>
  <c r="R2442" s="1"/>
  <c r="K2424"/>
  <c r="K2433" s="1"/>
  <c r="K2435" s="1"/>
  <c r="AG312"/>
  <c r="AG319" s="1"/>
  <c r="AG321" s="1"/>
  <c r="V677"/>
  <c r="X707"/>
  <c r="F124" i="79" s="1"/>
  <c r="K368" i="1"/>
  <c r="J367"/>
  <c r="K469"/>
  <c r="K1249"/>
  <c r="K1262" s="1"/>
  <c r="K1264" s="1"/>
  <c r="V1278"/>
  <c r="X1278" s="1"/>
  <c r="X1291" s="1"/>
  <c r="X1293" s="1"/>
  <c r="I559"/>
  <c r="K559" s="1"/>
  <c r="K435"/>
  <c r="AF659"/>
  <c r="AF660" s="1"/>
  <c r="AF661" s="1"/>
  <c r="AF662" s="1"/>
  <c r="AF663" s="1"/>
  <c r="AF664" s="1"/>
  <c r="AB528"/>
  <c r="V411"/>
  <c r="X411" s="1"/>
  <c r="X418" s="1"/>
  <c r="X420" s="1"/>
  <c r="V426" s="1"/>
  <c r="X426" s="1"/>
  <c r="X430" s="1"/>
  <c r="X432" s="1"/>
  <c r="X434" s="1"/>
  <c r="X380"/>
  <c r="X387" s="1"/>
  <c r="X389" s="1"/>
  <c r="V394" s="1"/>
  <c r="X394" s="1"/>
  <c r="X398" s="1"/>
  <c r="X400" s="1"/>
  <c r="AE389"/>
  <c r="V336"/>
  <c r="K336"/>
  <c r="K343" s="1"/>
  <c r="K345" s="1"/>
  <c r="K347" s="1"/>
  <c r="K1220"/>
  <c r="K1238" s="1"/>
  <c r="K1241" s="1"/>
  <c r="P1216"/>
  <c r="D584" i="79" s="1"/>
  <c r="P655" i="1"/>
  <c r="R655" s="1"/>
  <c r="R672" s="1"/>
  <c r="P598"/>
  <c r="R598" s="1"/>
  <c r="P612"/>
  <c r="R612" s="1"/>
  <c r="I536"/>
  <c r="K536" s="1"/>
  <c r="K196"/>
  <c r="X323"/>
  <c r="X659"/>
  <c r="X660" s="1"/>
  <c r="X661" s="1"/>
  <c r="X662" s="1"/>
  <c r="X663" s="1"/>
  <c r="X664" s="1"/>
  <c r="V528"/>
  <c r="D94" i="79" s="1"/>
  <c r="I2927" i="1"/>
  <c r="K2927" s="1"/>
  <c r="K2930" s="1"/>
  <c r="K2931" s="1"/>
  <c r="K2914"/>
  <c r="P1971"/>
  <c r="D627" i="79" s="1"/>
  <c r="I649" i="1"/>
  <c r="K649" s="1"/>
  <c r="K655" s="1"/>
  <c r="K657" s="1"/>
  <c r="I659" s="1"/>
  <c r="K659" s="1"/>
  <c r="P613"/>
  <c r="R613" s="1"/>
  <c r="P630"/>
  <c r="R630" s="1"/>
  <c r="P599"/>
  <c r="R599" s="1"/>
  <c r="K195"/>
  <c r="P163"/>
  <c r="R163" s="1"/>
  <c r="R170" s="1"/>
  <c r="R172" s="1"/>
  <c r="K823"/>
  <c r="I3920"/>
  <c r="S1159"/>
  <c r="R1158"/>
  <c r="AQ148"/>
  <c r="AS148" s="1"/>
  <c r="AQ165"/>
  <c r="AS134"/>
  <c r="I595"/>
  <c r="K595" s="1"/>
  <c r="I596" s="1"/>
  <c r="K596" s="1"/>
  <c r="I597" s="1"/>
  <c r="K597" s="1"/>
  <c r="I598" s="1"/>
  <c r="K598" s="1"/>
  <c r="I599" s="1"/>
  <c r="K599" s="1"/>
  <c r="K602"/>
  <c r="AU109"/>
  <c r="AV109" s="1"/>
  <c r="AS115"/>
  <c r="F623" i="25"/>
  <c r="D659"/>
  <c r="K287" i="1" l="1"/>
  <c r="K288" s="1"/>
  <c r="D71" i="69"/>
  <c r="F71" s="1"/>
  <c r="D70"/>
  <c r="F70" s="1"/>
  <c r="F378" i="79"/>
  <c r="K2267" i="1"/>
  <c r="F562" i="68"/>
  <c r="F566" s="1"/>
  <c r="F567" s="1"/>
  <c r="F403" i="79"/>
  <c r="AS101" i="1"/>
  <c r="AU101" s="1"/>
  <c r="AV101" s="1"/>
  <c r="D517" i="68"/>
  <c r="F517" s="1"/>
  <c r="F525" s="1"/>
  <c r="F526" s="1"/>
  <c r="D16" i="69"/>
  <c r="F16" s="1"/>
  <c r="R1077" i="1"/>
  <c r="F226" i="79"/>
  <c r="D465"/>
  <c r="J3896" i="1"/>
  <c r="F756" i="79" s="1"/>
  <c r="F754"/>
  <c r="F210"/>
  <c r="F176"/>
  <c r="AG2661" i="1"/>
  <c r="X1332"/>
  <c r="F602" i="79" s="1"/>
  <c r="D602"/>
  <c r="X1333" i="1"/>
  <c r="F603" i="79" s="1"/>
  <c r="D603"/>
  <c r="R2357" i="1"/>
  <c r="F437" i="79"/>
  <c r="D69" i="69"/>
  <c r="F69" s="1"/>
  <c r="I1377" i="1"/>
  <c r="K1377" s="1"/>
  <c r="K1385" s="1"/>
  <c r="K1387" s="1"/>
  <c r="I1355"/>
  <c r="D87" i="68" s="1"/>
  <c r="F87" s="1"/>
  <c r="F95" s="1"/>
  <c r="F97" s="1"/>
  <c r="P1991" i="1"/>
  <c r="R1971"/>
  <c r="D129" i="68"/>
  <c r="F129" s="1"/>
  <c r="F136" s="1"/>
  <c r="P624" i="1"/>
  <c r="R624" s="1"/>
  <c r="K323"/>
  <c r="K324" s="1"/>
  <c r="V3608"/>
  <c r="X3608" s="1"/>
  <c r="X3612" s="1"/>
  <c r="X3613" s="1"/>
  <c r="X3591"/>
  <c r="X3595" s="1"/>
  <c r="X3596" s="1"/>
  <c r="P625"/>
  <c r="R625" s="1"/>
  <c r="X3645"/>
  <c r="X3647" s="1"/>
  <c r="K2383"/>
  <c r="K2390" s="1"/>
  <c r="K2392" s="1"/>
  <c r="AU203"/>
  <c r="AV203" s="1"/>
  <c r="AR203"/>
  <c r="AS204"/>
  <c r="K202"/>
  <c r="K204" s="1"/>
  <c r="W544"/>
  <c r="AC544" s="1"/>
  <c r="AJ544" s="1"/>
  <c r="J545"/>
  <c r="F133" i="25"/>
  <c r="D134"/>
  <c r="D299"/>
  <c r="F299" s="1"/>
  <c r="AU100" i="1"/>
  <c r="AV100" s="1"/>
  <c r="F618" i="25"/>
  <c r="F628" s="1"/>
  <c r="F630" s="1"/>
  <c r="D654"/>
  <c r="X3156" i="1"/>
  <c r="X3166" s="1"/>
  <c r="X3168" s="1"/>
  <c r="R1122"/>
  <c r="R1124" s="1"/>
  <c r="I2936"/>
  <c r="K2936" s="1"/>
  <c r="K2939" s="1"/>
  <c r="K2940" s="1"/>
  <c r="K2915"/>
  <c r="Y323"/>
  <c r="X324"/>
  <c r="I537"/>
  <c r="K537" s="1"/>
  <c r="P1258"/>
  <c r="D564" i="79" s="1"/>
  <c r="R1216" i="1"/>
  <c r="F584" i="79" s="1"/>
  <c r="AQ389" i="1"/>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L368"/>
  <c r="J368"/>
  <c r="K369"/>
  <c r="P597"/>
  <c r="AG323"/>
  <c r="AG378"/>
  <c r="AH368"/>
  <c r="P628"/>
  <c r="R628" s="1"/>
  <c r="I630"/>
  <c r="K630" s="1"/>
  <c r="AE336"/>
  <c r="AG336" s="1"/>
  <c r="AG343" s="1"/>
  <c r="AG345" s="1"/>
  <c r="AG347" s="1"/>
  <c r="X336"/>
  <c r="X343" s="1"/>
  <c r="X345" s="1"/>
  <c r="X347" s="1"/>
  <c r="V763"/>
  <c r="X763" s="1"/>
  <c r="X769" s="1"/>
  <c r="X770" s="1"/>
  <c r="X772" s="1"/>
  <c r="X773" s="1"/>
  <c r="X774" s="1"/>
  <c r="X776" s="1"/>
  <c r="X777" s="1"/>
  <c r="X778" s="1"/>
  <c r="X779" s="1"/>
  <c r="X780" s="1"/>
  <c r="X781" s="1"/>
  <c r="X782" s="1"/>
  <c r="X783" s="1"/>
  <c r="X677"/>
  <c r="X683" s="1"/>
  <c r="X684" s="1"/>
  <c r="V731"/>
  <c r="X731" s="1"/>
  <c r="X737" s="1"/>
  <c r="X738" s="1"/>
  <c r="X1299"/>
  <c r="V1319"/>
  <c r="X1319" s="1"/>
  <c r="X1326" s="1"/>
  <c r="X1328" s="1"/>
  <c r="X367"/>
  <c r="X528"/>
  <c r="V552"/>
  <c r="L347"/>
  <c r="K348"/>
  <c r="X435"/>
  <c r="I560"/>
  <c r="K560" s="1"/>
  <c r="P284"/>
  <c r="R284" s="1"/>
  <c r="R289" s="1"/>
  <c r="R291" s="1"/>
  <c r="X402"/>
  <c r="AB552"/>
  <c r="AD528"/>
  <c r="AD533" s="1"/>
  <c r="AD535" s="1"/>
  <c r="AB537" s="1"/>
  <c r="AD537" s="1"/>
  <c r="K470"/>
  <c r="Z707"/>
  <c r="X713"/>
  <c r="F130" i="79" s="1"/>
  <c r="I1989" i="1"/>
  <c r="AD1189"/>
  <c r="AD1194" s="1"/>
  <c r="AD1196" s="1"/>
  <c r="AD1197" s="1"/>
  <c r="AI1189"/>
  <c r="AK1189" s="1"/>
  <c r="AK1194" s="1"/>
  <c r="AK1196" s="1"/>
  <c r="AK1197" s="1"/>
  <c r="J402"/>
  <c r="K403"/>
  <c r="K824"/>
  <c r="R1185"/>
  <c r="R1186" s="1"/>
  <c r="R1159"/>
  <c r="K3920"/>
  <c r="K3932" s="1"/>
  <c r="I3938"/>
  <c r="I660"/>
  <c r="K660" s="1"/>
  <c r="AS165"/>
  <c r="AQ180"/>
  <c r="AS180" s="1"/>
  <c r="AU115"/>
  <c r="AV115" s="1"/>
  <c r="AS117"/>
  <c r="AU134"/>
  <c r="AV134" s="1"/>
  <c r="AS140"/>
  <c r="F659" i="25"/>
  <c r="D695"/>
  <c r="F695" s="1"/>
  <c r="AU148" i="1"/>
  <c r="AV148" s="1"/>
  <c r="X1345" l="1"/>
  <c r="F615" i="79" s="1"/>
  <c r="L323" i="1"/>
  <c r="D67" i="69"/>
  <c r="F67" s="1"/>
  <c r="K1355" i="1"/>
  <c r="L1337" s="1"/>
  <c r="K2283"/>
  <c r="D48" i="69"/>
  <c r="F48" s="1"/>
  <c r="L369" i="1"/>
  <c r="K2282"/>
  <c r="D47" i="69"/>
  <c r="F47" s="1"/>
  <c r="F407" i="79"/>
  <c r="AS102" i="1"/>
  <c r="AU102" s="1"/>
  <c r="AV102" s="1"/>
  <c r="X1306"/>
  <c r="X1308" s="1"/>
  <c r="X1309" s="1"/>
  <c r="X1310" s="1"/>
  <c r="X1311" s="1"/>
  <c r="X1312" s="1"/>
  <c r="X1313" s="1"/>
  <c r="W1309" s="1"/>
  <c r="W1310" s="1"/>
  <c r="F465" i="79"/>
  <c r="AG2663" i="1"/>
  <c r="F177" i="79"/>
  <c r="F228"/>
  <c r="R1978" i="1"/>
  <c r="F627" i="79"/>
  <c r="D149" i="68"/>
  <c r="F149" s="1"/>
  <c r="D646" i="79"/>
  <c r="X1347" i="1"/>
  <c r="X552"/>
  <c r="D109" i="79"/>
  <c r="F439"/>
  <c r="X533" i="1"/>
  <c r="F94" i="79"/>
  <c r="D15" i="69"/>
  <c r="F15" s="1"/>
  <c r="D9"/>
  <c r="F9" s="1"/>
  <c r="D65"/>
  <c r="F65" s="1"/>
  <c r="R1991" i="1"/>
  <c r="F646" i="79" s="1"/>
  <c r="R634" i="1"/>
  <c r="K1363"/>
  <c r="K1365" s="1"/>
  <c r="AD552"/>
  <c r="AD557" s="1"/>
  <c r="AD559" s="1"/>
  <c r="AR204"/>
  <c r="AS205"/>
  <c r="AU204"/>
  <c r="AV204" s="1"/>
  <c r="I1781"/>
  <c r="K1781" s="1"/>
  <c r="K1790" s="1"/>
  <c r="J546"/>
  <c r="W545"/>
  <c r="AC545" s="1"/>
  <c r="AJ545" s="1"/>
  <c r="D300" i="25"/>
  <c r="F300" s="1"/>
  <c r="D135"/>
  <c r="F134"/>
  <c r="F654"/>
  <c r="F664" s="1"/>
  <c r="F666" s="1"/>
  <c r="D690"/>
  <c r="F690" s="1"/>
  <c r="F700" s="1"/>
  <c r="F702" s="1"/>
  <c r="J372" i="1"/>
  <c r="AD1198"/>
  <c r="X714"/>
  <c r="F131" i="79" s="1"/>
  <c r="Z713" i="1"/>
  <c r="AB538"/>
  <c r="AD538" s="1"/>
  <c r="Y684"/>
  <c r="Y686" s="1"/>
  <c r="Y687" s="1"/>
  <c r="Y688" s="1"/>
  <c r="X686"/>
  <c r="X687" s="1"/>
  <c r="X688" s="1"/>
  <c r="X348"/>
  <c r="P611"/>
  <c r="R611" s="1"/>
  <c r="R617" s="1"/>
  <c r="R597"/>
  <c r="R603" s="1"/>
  <c r="J369"/>
  <c r="K370"/>
  <c r="K437"/>
  <c r="T1216"/>
  <c r="T1228" s="1"/>
  <c r="T1230" s="1"/>
  <c r="R1228"/>
  <c r="Y324"/>
  <c r="X325"/>
  <c r="X326" s="1"/>
  <c r="X327" s="1"/>
  <c r="J403"/>
  <c r="K404"/>
  <c r="AK1198"/>
  <c r="K1989"/>
  <c r="K1998" s="1"/>
  <c r="P1989"/>
  <c r="K471"/>
  <c r="L470"/>
  <c r="X403"/>
  <c r="X436"/>
  <c r="X368"/>
  <c r="X369" s="1"/>
  <c r="X370" s="1"/>
  <c r="X371" s="1"/>
  <c r="X740"/>
  <c r="X741" s="1"/>
  <c r="X742" s="1"/>
  <c r="Y738"/>
  <c r="Y740" s="1"/>
  <c r="Y741" s="1"/>
  <c r="Y742" s="1"/>
  <c r="AI528" s="1"/>
  <c r="AH323"/>
  <c r="AG324"/>
  <c r="I2946"/>
  <c r="K2946" s="1"/>
  <c r="K2949" s="1"/>
  <c r="K2950" s="1"/>
  <c r="K2916"/>
  <c r="I2955" s="1"/>
  <c r="K2955" s="1"/>
  <c r="K2958" s="1"/>
  <c r="K2959" s="1"/>
  <c r="K325"/>
  <c r="L324"/>
  <c r="AG411"/>
  <c r="I538"/>
  <c r="K538" s="1"/>
  <c r="I561"/>
  <c r="K561" s="1"/>
  <c r="K349"/>
  <c r="L348"/>
  <c r="AG348"/>
  <c r="I631"/>
  <c r="K631" s="1"/>
  <c r="AH369"/>
  <c r="AG379"/>
  <c r="AG449"/>
  <c r="V1238"/>
  <c r="R1258"/>
  <c r="P1235"/>
  <c r="R1235" s="1"/>
  <c r="R1247" s="1"/>
  <c r="R1249" s="1"/>
  <c r="K825"/>
  <c r="I661"/>
  <c r="K661" s="1"/>
  <c r="K289"/>
  <c r="K3938"/>
  <c r="K3950" s="1"/>
  <c r="I3954"/>
  <c r="R1160"/>
  <c r="AU140"/>
  <c r="AV140" s="1"/>
  <c r="AS142"/>
  <c r="AU165"/>
  <c r="AV165" s="1"/>
  <c r="AS171"/>
  <c r="AU180"/>
  <c r="AV180" s="1"/>
  <c r="AS119"/>
  <c r="AU117"/>
  <c r="AV117" s="1"/>
  <c r="AS103" l="1"/>
  <c r="L1335"/>
  <c r="F528" i="68"/>
  <c r="F408" i="79"/>
  <c r="P2347" i="1"/>
  <c r="R2347" s="1"/>
  <c r="D75" i="69"/>
  <c r="F75" s="1"/>
  <c r="F179" i="79"/>
  <c r="F469"/>
  <c r="R1270" i="1"/>
  <c r="F564" i="79"/>
  <c r="R1230" i="1"/>
  <c r="F596" i="79"/>
  <c r="F634"/>
  <c r="D147" i="68"/>
  <c r="F147" s="1"/>
  <c r="F157" s="1"/>
  <c r="D644" i="79"/>
  <c r="X557" i="1"/>
  <c r="F109" i="79"/>
  <c r="F617"/>
  <c r="X535" i="1"/>
  <c r="F99" i="79"/>
  <c r="D7" i="69"/>
  <c r="F7" s="1"/>
  <c r="AB561" i="1"/>
  <c r="AD561" s="1"/>
  <c r="R1989"/>
  <c r="AS206"/>
  <c r="AU205"/>
  <c r="AV205" s="1"/>
  <c r="AR205"/>
  <c r="J547"/>
  <c r="W547" s="1"/>
  <c r="AC547" s="1"/>
  <c r="AJ547" s="1"/>
  <c r="W546"/>
  <c r="AC546" s="1"/>
  <c r="AJ546" s="1"/>
  <c r="D301" i="25"/>
  <c r="F301" s="1"/>
  <c r="F309" s="1"/>
  <c r="F310" s="1"/>
  <c r="D158"/>
  <c r="F158" s="1"/>
  <c r="F166" s="1"/>
  <c r="F167" s="1"/>
  <c r="F135"/>
  <c r="F144" s="1"/>
  <c r="F145" s="1"/>
  <c r="Y367" i="1"/>
  <c r="Z367" s="1"/>
  <c r="Y368"/>
  <c r="Y369"/>
  <c r="X372"/>
  <c r="AG412"/>
  <c r="X744"/>
  <c r="K371"/>
  <c r="J370"/>
  <c r="K372"/>
  <c r="I2341"/>
  <c r="K2341" s="1"/>
  <c r="K2343" s="1"/>
  <c r="C877"/>
  <c r="AB464"/>
  <c r="AD464" s="1"/>
  <c r="AD468" s="1"/>
  <c r="AD470" s="1"/>
  <c r="AB476" s="1"/>
  <c r="AD476" s="1"/>
  <c r="AD482" s="1"/>
  <c r="AD484" s="1"/>
  <c r="AB486" s="1"/>
  <c r="AD486" s="1"/>
  <c r="AD1199"/>
  <c r="AB1242"/>
  <c r="X1238"/>
  <c r="X1250" s="1"/>
  <c r="X1252" s="1"/>
  <c r="AG380"/>
  <c r="AG381"/>
  <c r="AG349"/>
  <c r="AI552"/>
  <c r="AK528"/>
  <c r="AK533" s="1"/>
  <c r="AK535" s="1"/>
  <c r="AI537" s="1"/>
  <c r="AK537" s="1"/>
  <c r="I2789"/>
  <c r="K2789" s="1"/>
  <c r="K2796" s="1"/>
  <c r="K2798" s="1"/>
  <c r="X690"/>
  <c r="AB539"/>
  <c r="AD539" s="1"/>
  <c r="I632"/>
  <c r="K632" s="1"/>
  <c r="L349"/>
  <c r="K350"/>
  <c r="I539"/>
  <c r="K539" s="1"/>
  <c r="K405"/>
  <c r="K438"/>
  <c r="X349"/>
  <c r="X716"/>
  <c r="Z714"/>
  <c r="Z716" s="1"/>
  <c r="Z717" s="1"/>
  <c r="Z718" s="1"/>
  <c r="P2106" s="1"/>
  <c r="R2106" s="1"/>
  <c r="R2109" s="1"/>
  <c r="AG450"/>
  <c r="I562"/>
  <c r="K562" s="1"/>
  <c r="K326"/>
  <c r="K327" s="1"/>
  <c r="M325"/>
  <c r="AH325"/>
  <c r="AH324"/>
  <c r="AG325"/>
  <c r="AG326" s="1"/>
  <c r="AG327" s="1"/>
  <c r="X437"/>
  <c r="X404"/>
  <c r="L471"/>
  <c r="K472"/>
  <c r="AK1199"/>
  <c r="I662"/>
  <c r="K662" s="1"/>
  <c r="R1161"/>
  <c r="L3950"/>
  <c r="K290"/>
  <c r="K826"/>
  <c r="K3954"/>
  <c r="K3966" s="1"/>
  <c r="I3971"/>
  <c r="K3971" s="1"/>
  <c r="K3983" s="1"/>
  <c r="AU119"/>
  <c r="AV119" s="1"/>
  <c r="AS120"/>
  <c r="AT119"/>
  <c r="AU171"/>
  <c r="AV171" s="1"/>
  <c r="AS173"/>
  <c r="AQ147"/>
  <c r="AU142"/>
  <c r="AV142" s="1"/>
  <c r="AU103" l="1"/>
  <c r="AV103" s="1"/>
  <c r="D429" i="79"/>
  <c r="AS104" i="1"/>
  <c r="D44" i="69"/>
  <c r="F44" s="1"/>
  <c r="F598" i="79"/>
  <c r="F532" i="68"/>
  <c r="S1230" i="1"/>
  <c r="AB562"/>
  <c r="AD562" s="1"/>
  <c r="R1999"/>
  <c r="F644" i="79"/>
  <c r="R1272" i="1"/>
  <c r="F576" i="79"/>
  <c r="D10" i="69"/>
  <c r="F10" s="1"/>
  <c r="R2350" i="1"/>
  <c r="F429" i="79"/>
  <c r="V537" i="1"/>
  <c r="F101" i="79"/>
  <c r="X559" i="1"/>
  <c r="F114" i="79"/>
  <c r="X717" i="1"/>
  <c r="F133" i="79"/>
  <c r="AK552" i="1"/>
  <c r="AK557" s="1"/>
  <c r="AK559" s="1"/>
  <c r="AI561" s="1"/>
  <c r="AK561" s="1"/>
  <c r="D626" i="68"/>
  <c r="F626" s="1"/>
  <c r="F631" s="1"/>
  <c r="F633" s="1"/>
  <c r="AU206" i="1"/>
  <c r="AV206" s="1"/>
  <c r="AR206"/>
  <c r="AS207"/>
  <c r="K2289"/>
  <c r="X691"/>
  <c r="AG350"/>
  <c r="AB487"/>
  <c r="AD487" s="1"/>
  <c r="J371"/>
  <c r="L472"/>
  <c r="K473"/>
  <c r="I563"/>
  <c r="K563" s="1"/>
  <c r="P2446"/>
  <c r="R2446" s="1"/>
  <c r="R2448" s="1"/>
  <c r="V464"/>
  <c r="X464" s="1"/>
  <c r="X468" s="1"/>
  <c r="X470" s="1"/>
  <c r="V476" s="1"/>
  <c r="X476" s="1"/>
  <c r="X482" s="1"/>
  <c r="X484" s="1"/>
  <c r="V486" s="1"/>
  <c r="X486" s="1"/>
  <c r="P2093"/>
  <c r="I877"/>
  <c r="K351"/>
  <c r="AG413"/>
  <c r="AK1200"/>
  <c r="X405"/>
  <c r="AG451"/>
  <c r="AB540"/>
  <c r="AD540" s="1"/>
  <c r="AI538"/>
  <c r="AK538" s="1"/>
  <c r="AD1200"/>
  <c r="X438"/>
  <c r="X350"/>
  <c r="K406"/>
  <c r="I540"/>
  <c r="K540" s="1"/>
  <c r="AD1242"/>
  <c r="AD1255" s="1"/>
  <c r="AD1257" s="1"/>
  <c r="AB1214"/>
  <c r="AD1214" s="1"/>
  <c r="AD1227" s="1"/>
  <c r="AD1229" s="1"/>
  <c r="X745"/>
  <c r="K827"/>
  <c r="K291"/>
  <c r="I663"/>
  <c r="K663" s="1"/>
  <c r="R1162"/>
  <c r="AU173"/>
  <c r="AV173" s="1"/>
  <c r="AU120"/>
  <c r="AV120" s="1"/>
  <c r="AS121"/>
  <c r="AT120"/>
  <c r="AQ179"/>
  <c r="AS179" s="1"/>
  <c r="AS147"/>
  <c r="F533" i="68" l="1"/>
  <c r="F535"/>
  <c r="AB563" i="1"/>
  <c r="AD563" s="1"/>
  <c r="F578" i="79"/>
  <c r="F654"/>
  <c r="X537" i="1"/>
  <c r="D103" i="79"/>
  <c r="F432"/>
  <c r="F116"/>
  <c r="V561" i="1"/>
  <c r="X718"/>
  <c r="F134" i="79"/>
  <c r="AU207" i="1"/>
  <c r="AV207" s="1"/>
  <c r="AR207"/>
  <c r="X746"/>
  <c r="AD1201"/>
  <c r="AD1202" s="1"/>
  <c r="AD1203" s="1"/>
  <c r="AD1204" s="1"/>
  <c r="AD1205" s="1"/>
  <c r="AD1206" s="1"/>
  <c r="AD1207" s="1"/>
  <c r="AD1208" s="1"/>
  <c r="AI539"/>
  <c r="AK539" s="1"/>
  <c r="AK1201"/>
  <c r="AK1202" s="1"/>
  <c r="AK1203" s="1"/>
  <c r="AK1204" s="1"/>
  <c r="AK1205" s="1"/>
  <c r="AK1206" s="1"/>
  <c r="I859"/>
  <c r="K877"/>
  <c r="K889" s="1"/>
  <c r="V877"/>
  <c r="I893"/>
  <c r="K893" s="1"/>
  <c r="K905" s="1"/>
  <c r="I564"/>
  <c r="K564" s="1"/>
  <c r="I565" s="1"/>
  <c r="K565" s="1"/>
  <c r="I566" s="1"/>
  <c r="K566" s="1"/>
  <c r="I567" s="1"/>
  <c r="K567" s="1"/>
  <c r="I568" s="1"/>
  <c r="K568" s="1"/>
  <c r="I569" s="1"/>
  <c r="K569" s="1"/>
  <c r="I570" s="1"/>
  <c r="K570" s="1"/>
  <c r="I571" s="1"/>
  <c r="K571" s="1"/>
  <c r="AG351"/>
  <c r="L406"/>
  <c r="L407" s="1"/>
  <c r="AB541"/>
  <c r="AD541" s="1"/>
  <c r="L351"/>
  <c r="L352" s="1"/>
  <c r="L353" s="1"/>
  <c r="X692"/>
  <c r="X406"/>
  <c r="AG414"/>
  <c r="V487"/>
  <c r="X487" s="1"/>
  <c r="L473"/>
  <c r="K474"/>
  <c r="I541"/>
  <c r="K541" s="1"/>
  <c r="X351"/>
  <c r="AG452"/>
  <c r="AI562"/>
  <c r="AK562" s="1"/>
  <c r="R2093"/>
  <c r="R2096" s="1"/>
  <c r="P2099"/>
  <c r="R2099" s="1"/>
  <c r="R2102" s="1"/>
  <c r="AB488"/>
  <c r="AD488" s="1"/>
  <c r="K828"/>
  <c r="R1163"/>
  <c r="I664"/>
  <c r="K664" s="1"/>
  <c r="I665" s="1"/>
  <c r="K665" s="1"/>
  <c r="I666" s="1"/>
  <c r="K666" s="1"/>
  <c r="I667" s="1"/>
  <c r="K667" s="1"/>
  <c r="I668" s="1"/>
  <c r="K668" s="1"/>
  <c r="I669" s="1"/>
  <c r="K669" s="1"/>
  <c r="I670" s="1"/>
  <c r="K670" s="1"/>
  <c r="AS122"/>
  <c r="AS124" s="1"/>
  <c r="AU121"/>
  <c r="AV121" s="1"/>
  <c r="AU179"/>
  <c r="AV179" s="1"/>
  <c r="AS183"/>
  <c r="AU147"/>
  <c r="AV147" s="1"/>
  <c r="AS151"/>
  <c r="AB564" l="1"/>
  <c r="AD564" s="1"/>
  <c r="AB565" s="1"/>
  <c r="AD565" s="1"/>
  <c r="F541" i="68"/>
  <c r="D45" i="69"/>
  <c r="F45" s="1"/>
  <c r="D11"/>
  <c r="F11" s="1"/>
  <c r="D59"/>
  <c r="F59" s="1"/>
  <c r="F103" i="79"/>
  <c r="V538" i="1"/>
  <c r="X561"/>
  <c r="D118" i="79"/>
  <c r="F135"/>
  <c r="X720" i="1"/>
  <c r="AG453"/>
  <c r="I542"/>
  <c r="K542" s="1"/>
  <c r="L474"/>
  <c r="K475"/>
  <c r="AG415"/>
  <c r="K859"/>
  <c r="K871" s="1"/>
  <c r="V859"/>
  <c r="X859" s="1"/>
  <c r="X871" s="1"/>
  <c r="P852"/>
  <c r="R852" s="1"/>
  <c r="R864" s="1"/>
  <c r="I3299"/>
  <c r="K3299" s="1"/>
  <c r="K3311" s="1"/>
  <c r="AI563"/>
  <c r="AK563" s="1"/>
  <c r="V488"/>
  <c r="X488" s="1"/>
  <c r="AG352"/>
  <c r="K891"/>
  <c r="L889"/>
  <c r="AI540"/>
  <c r="AK540" s="1"/>
  <c r="X747"/>
  <c r="Y746"/>
  <c r="AB489"/>
  <c r="AD489" s="1"/>
  <c r="X693"/>
  <c r="X877"/>
  <c r="X889" s="1"/>
  <c r="V893"/>
  <c r="X893" s="1"/>
  <c r="X905" s="1"/>
  <c r="AB542"/>
  <c r="AD542" s="1"/>
  <c r="AB543" s="1"/>
  <c r="AD543" s="1"/>
  <c r="AB544" s="1"/>
  <c r="AD544" s="1"/>
  <c r="AB545" s="1"/>
  <c r="AD545" s="1"/>
  <c r="AB546" s="1"/>
  <c r="AD546" s="1"/>
  <c r="AB547" s="1"/>
  <c r="AD547" s="1"/>
  <c r="AB548" s="1"/>
  <c r="AD548" s="1"/>
  <c r="AB549" s="1"/>
  <c r="AD549" s="1"/>
  <c r="AJ549" s="1"/>
  <c r="R1164"/>
  <c r="K829"/>
  <c r="AS153"/>
  <c r="AU151"/>
  <c r="AV151" s="1"/>
  <c r="AU124"/>
  <c r="AV124" s="1"/>
  <c r="AS185"/>
  <c r="AU183"/>
  <c r="AV183" s="1"/>
  <c r="AS123"/>
  <c r="AU122"/>
  <c r="AV122" s="1"/>
  <c r="F542" i="68" l="1"/>
  <c r="F118" i="79"/>
  <c r="V562" i="1"/>
  <c r="X538"/>
  <c r="D104" i="79"/>
  <c r="F137"/>
  <c r="X721" i="1"/>
  <c r="X694"/>
  <c r="X695" s="1"/>
  <c r="X696" s="1"/>
  <c r="X697" s="1"/>
  <c r="X698" s="1"/>
  <c r="X699" s="1"/>
  <c r="X700" s="1"/>
  <c r="X701" s="1"/>
  <c r="X702" s="1"/>
  <c r="AI541"/>
  <c r="AK541" s="1"/>
  <c r="V489"/>
  <c r="X489" s="1"/>
  <c r="AB490"/>
  <c r="AD490" s="1"/>
  <c r="AB566"/>
  <c r="AD566" s="1"/>
  <c r="L475"/>
  <c r="K476"/>
  <c r="AE453"/>
  <c r="AG454"/>
  <c r="AG416"/>
  <c r="I543"/>
  <c r="K543" s="1"/>
  <c r="X748"/>
  <c r="AG353"/>
  <c r="AI564"/>
  <c r="AK564" s="1"/>
  <c r="R1165"/>
  <c r="K830"/>
  <c r="AU123"/>
  <c r="AV123" s="1"/>
  <c r="AS155"/>
  <c r="AU153"/>
  <c r="AV153" s="1"/>
  <c r="AS187"/>
  <c r="AU185"/>
  <c r="AV185" s="1"/>
  <c r="AT155" l="1"/>
  <c r="D46" i="69"/>
  <c r="F46" s="1"/>
  <c r="F86" s="1"/>
  <c r="F91" s="1"/>
  <c r="F104" i="79"/>
  <c r="V539" i="1"/>
  <c r="X562"/>
  <c r="D119" i="79"/>
  <c r="F138"/>
  <c r="X722" i="1"/>
  <c r="Y748"/>
  <c r="Y749" s="1"/>
  <c r="X749"/>
  <c r="V490"/>
  <c r="X490" s="1"/>
  <c r="AI565"/>
  <c r="AK565" s="1"/>
  <c r="AG417"/>
  <c r="AE454"/>
  <c r="AG455"/>
  <c r="AG354"/>
  <c r="I544"/>
  <c r="K544" s="1"/>
  <c r="L476"/>
  <c r="K477"/>
  <c r="AD491"/>
  <c r="AD492" s="1"/>
  <c r="AD493" s="1"/>
  <c r="AD494" s="1"/>
  <c r="AD495" s="1"/>
  <c r="AD496" s="1"/>
  <c r="AD497" s="1"/>
  <c r="AD498" s="1"/>
  <c r="AI542"/>
  <c r="AK542" s="1"/>
  <c r="AI543" s="1"/>
  <c r="AK543" s="1"/>
  <c r="AI544" s="1"/>
  <c r="AK544" s="1"/>
  <c r="AI545" s="1"/>
  <c r="AK545" s="1"/>
  <c r="AI546" s="1"/>
  <c r="AK546" s="1"/>
  <c r="AI547" s="1"/>
  <c r="AK547" s="1"/>
  <c r="AI548" s="1"/>
  <c r="AK548" s="1"/>
  <c r="AI549" s="1"/>
  <c r="AK549" s="1"/>
  <c r="R1166"/>
  <c r="K831"/>
  <c r="AS188"/>
  <c r="AR187"/>
  <c r="AU187"/>
  <c r="AV187" s="1"/>
  <c r="AR155"/>
  <c r="AS156"/>
  <c r="AU155"/>
  <c r="AV155" s="1"/>
  <c r="F87" i="69" l="1"/>
  <c r="F88" s="1"/>
  <c r="F90" s="1"/>
  <c r="F92" s="1"/>
  <c r="F119" i="79"/>
  <c r="V563" i="1"/>
  <c r="X563" s="1"/>
  <c r="X539"/>
  <c r="D105" i="79"/>
  <c r="F139"/>
  <c r="X723" i="1"/>
  <c r="K478"/>
  <c r="L477"/>
  <c r="I545"/>
  <c r="K545" s="1"/>
  <c r="AE455"/>
  <c r="AG456"/>
  <c r="AI566"/>
  <c r="AK566" s="1"/>
  <c r="X750"/>
  <c r="X751" s="1"/>
  <c r="X752" s="1"/>
  <c r="X753" s="1"/>
  <c r="AG355"/>
  <c r="AG418"/>
  <c r="K832"/>
  <c r="R1167"/>
  <c r="AS157"/>
  <c r="AR156"/>
  <c r="AU156"/>
  <c r="AV156" s="1"/>
  <c r="AT156"/>
  <c r="AR188"/>
  <c r="AU188"/>
  <c r="AV188" s="1"/>
  <c r="AS189"/>
  <c r="F93" i="69" l="1"/>
  <c r="F94" s="1"/>
  <c r="E95" s="1"/>
  <c r="V564" i="1"/>
  <c r="X564" s="1"/>
  <c r="F105" i="79"/>
  <c r="V540" i="1"/>
  <c r="X540" s="1"/>
  <c r="F140" i="79"/>
  <c r="X724" i="1"/>
  <c r="AG419"/>
  <c r="K479"/>
  <c r="L479" s="1"/>
  <c r="L478"/>
  <c r="AE456"/>
  <c r="AG457"/>
  <c r="AG356"/>
  <c r="I546"/>
  <c r="K546" s="1"/>
  <c r="K833"/>
  <c r="R1168"/>
  <c r="AS190"/>
  <c r="AR189"/>
  <c r="AU189"/>
  <c r="AV189" s="1"/>
  <c r="AU157"/>
  <c r="AV157" s="1"/>
  <c r="AS158"/>
  <c r="AR157"/>
  <c r="V541" l="1"/>
  <c r="X541" s="1"/>
  <c r="V565"/>
  <c r="X565" s="1"/>
  <c r="I547"/>
  <c r="K547" s="1"/>
  <c r="AG420"/>
  <c r="AG458"/>
  <c r="AE457"/>
  <c r="AG357"/>
  <c r="K834"/>
  <c r="R1169"/>
  <c r="AU158"/>
  <c r="AV158" s="1"/>
  <c r="AR158"/>
  <c r="AS159"/>
  <c r="AU190"/>
  <c r="AV190" s="1"/>
  <c r="AR190"/>
  <c r="AS191"/>
  <c r="V542" l="1"/>
  <c r="X542" s="1"/>
  <c r="V543" s="1"/>
  <c r="X543" s="1"/>
  <c r="V544" s="1"/>
  <c r="X544" s="1"/>
  <c r="V545" s="1"/>
  <c r="X545" s="1"/>
  <c r="V546" s="1"/>
  <c r="X546" s="1"/>
  <c r="V547" s="1"/>
  <c r="X547" s="1"/>
  <c r="V548" s="1"/>
  <c r="X548" s="1"/>
  <c r="V549" s="1"/>
  <c r="X549" s="1"/>
  <c r="AE458"/>
  <c r="AG459"/>
  <c r="AG358"/>
  <c r="AG421"/>
  <c r="K835"/>
  <c r="R1170"/>
  <c r="AR191"/>
  <c r="AU191"/>
  <c r="AV191" s="1"/>
  <c r="AU159"/>
  <c r="AV159" s="1"/>
  <c r="AR159"/>
  <c r="AG422" l="1"/>
  <c r="AE459"/>
  <c r="AG460"/>
  <c r="AG359"/>
  <c r="R1171"/>
  <c r="AG360" l="1"/>
  <c r="AI422"/>
  <c r="AG461"/>
  <c r="AE460"/>
  <c r="AE461" l="1"/>
  <c r="AG462"/>
  <c r="AI423"/>
  <c r="AG463" l="1"/>
  <c r="AE463" s="1"/>
  <c r="AE462"/>
</calcChain>
</file>

<file path=xl/sharedStrings.xml><?xml version="1.0" encoding="utf-8"?>
<sst xmlns="http://schemas.openxmlformats.org/spreadsheetml/2006/main" count="25328" uniqueCount="4975">
  <si>
    <t>joist 10cmx6.5cm spaced at75cm c/c complying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</si>
  <si>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</si>
  <si>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</si>
  <si>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</si>
  <si>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</si>
  <si>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</si>
  <si>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</si>
  <si>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</si>
  <si>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</si>
  <si>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</si>
  <si>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</si>
  <si>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</si>
  <si>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</si>
  <si>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23.</t>
  </si>
  <si>
    <t>CEMENT (supply at site)</t>
  </si>
  <si>
    <t>LUBRICANT ETC</t>
  </si>
  <si>
    <t xml:space="preserve"> 25mm</t>
  </si>
  <si>
    <t>32mm</t>
  </si>
  <si>
    <t xml:space="preserve"> 50X40MM</t>
  </si>
  <si>
    <t>TOTAL FOR 1.6191 SQM</t>
  </si>
  <si>
    <t>PORCELINE WHITE GLASED SOAP DISH 200X100mm</t>
  </si>
  <si>
    <t>Cost of one operation</t>
  </si>
  <si>
    <t>PLASTERED SURFACES</t>
  </si>
  <si>
    <t>PAINTER I</t>
  </si>
  <si>
    <t>38.2</t>
  </si>
  <si>
    <t>Matt paint</t>
  </si>
  <si>
    <t>===========</t>
  </si>
  <si>
    <t>TOTAL FOR .40 SQM</t>
  </si>
  <si>
    <t>Rate for 15sqm</t>
  </si>
  <si>
    <t>SUPPLY AND FIXING OF PVC soil PIPE</t>
  </si>
  <si>
    <t>Hbs jelly ,moulding the slab, laying,</t>
  </si>
  <si>
    <t>curing,transporting and placing in</t>
  </si>
  <si>
    <t>possition etc complete</t>
  </si>
  <si>
    <t>VIBRATING CHARGES</t>
  </si>
  <si>
    <t>MASIC TILES LAID IN CM 1:3</t>
  </si>
  <si>
    <t>SUPPLY AND FIXING OF 100mm</t>
  </si>
  <si>
    <t>DIA S.W.PIPE</t>
  </si>
  <si>
    <t>Litre</t>
  </si>
  <si>
    <t>DESCRIPTION OF MATERIALS</t>
  </si>
  <si>
    <t xml:space="preserve"> STONEWARE BEND</t>
  </si>
  <si>
    <t>EXCAVATION,REFILLING,JOINTING</t>
  </si>
  <si>
    <t>AND CONCRETING</t>
  </si>
  <si>
    <t>Packing with C.M., Scaffolding</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</si>
  <si>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</si>
  <si>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</si>
  <si>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</si>
  <si>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</si>
  <si>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</si>
  <si>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</si>
  <si>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</si>
  <si>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</si>
  <si>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</si>
  <si>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</si>
  <si>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</si>
  <si>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</si>
  <si>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CARPENTER-I</t>
  </si>
  <si>
    <t>and painting etc for M.S. Sheet</t>
  </si>
  <si>
    <t>LABOUR FOR CUTTING 32mm DIA  *</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</si>
  <si>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</si>
  <si>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</si>
  <si>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</si>
  <si>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</si>
  <si>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</si>
  <si>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</si>
  <si>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</si>
  <si>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</si>
  <si>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</si>
  <si>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</si>
  <si>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SHUTTER SIZE-.9X2.025   =1.823M2</t>
  </si>
  <si>
    <t>STYLES(OVER 2M) -1X2X2.025X0.075X0.0375=0.0114</t>
  </si>
  <si>
    <t>S/F OF METRE CUPBOARD</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</si>
  <si>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</si>
  <si>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</si>
  <si>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</si>
  <si>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</si>
  <si>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</si>
  <si>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</si>
  <si>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</si>
  <si>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</si>
  <si>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</si>
  <si>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</si>
  <si>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</si>
  <si>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</si>
  <si>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</si>
  <si>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</si>
  <si>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</si>
  <si>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</si>
  <si>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</si>
  <si>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</si>
  <si>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</si>
  <si>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PLUMBER  I*</t>
  </si>
  <si>
    <t>7.</t>
  </si>
  <si>
    <t>HARD BROKEN STONE JELLY 40mm</t>
  </si>
  <si>
    <t>CARPENTER I/II*</t>
  </si>
  <si>
    <t>CEMENT MORTAR(1:2)</t>
  </si>
  <si>
    <t>SUPPLYING MIXINNG AND LAYING</t>
  </si>
  <si>
    <t>8.</t>
  </si>
  <si>
    <t>FOR HINGES</t>
  </si>
  <si>
    <t>LOCKING MATERIAL COST</t>
  </si>
  <si>
    <t>RATE FOR 1 NO</t>
  </si>
  <si>
    <t>G.I PIPE "A"CLASS 80mmDIA / 20mm dia G.I. Pipe class B</t>
  </si>
  <si>
    <t>A.C. SOIL  SINGLE YEE</t>
  </si>
  <si>
    <t>PCC-75MM T.K SLAB</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</si>
  <si>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</si>
  <si>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</si>
  <si>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</si>
  <si>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</si>
  <si>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</si>
  <si>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</si>
  <si>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</si>
  <si>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</si>
  <si>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</si>
  <si>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</si>
  <si>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</si>
  <si>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</si>
  <si>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</si>
  <si>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</si>
  <si>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</si>
  <si>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</si>
  <si>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</si>
  <si>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</si>
  <si>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</si>
  <si>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</si>
  <si>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</si>
  <si>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</si>
  <si>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</si>
  <si>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</si>
  <si>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</si>
  <si>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</si>
  <si>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</si>
  <si>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</si>
  <si>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</si>
  <si>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</si>
  <si>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</si>
  <si>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</si>
  <si>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</si>
  <si>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Shutter(MDF Board)      -2X2X.85X0.4=1.36m2</t>
  </si>
  <si>
    <t>TOTAL FOR 1.5 CUM</t>
  </si>
  <si>
    <t>COST OF ALL FLOOR(THE TERRA COTTA JALLY</t>
  </si>
  <si>
    <t>QUALITY AND DESIGN SHALL BE GOT APPROVED</t>
  </si>
  <si>
    <t>BY THE DEPARTMENTAL OFFICERS</t>
  </si>
  <si>
    <t>THREADING CHARGES FOR PVC 20mm/25mm</t>
  </si>
  <si>
    <t>COST OFPVC PIPE JOINTING MATERIALS UPTO 40mm</t>
  </si>
  <si>
    <t>COST OF TERRACOTTA JALLY OF50mm</t>
  </si>
  <si>
    <t>COST OF POLISHING STONE</t>
  </si>
  <si>
    <t>M.S.Holdfast</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</si>
  <si>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</si>
  <si>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</si>
  <si>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</si>
  <si>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</si>
  <si>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</si>
  <si>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</si>
  <si>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</si>
  <si>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</si>
  <si>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</si>
  <si>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</si>
  <si>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</si>
  <si>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</si>
  <si>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</si>
  <si>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</si>
  <si>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COMPLETE  type 'B'.</t>
  </si>
  <si>
    <t>SUPPLY AND DELIVERY OF FAN 48"SWEEP with 
Electronic Regulator step dimmer.</t>
  </si>
  <si>
    <t>WITH DOUBLE FLAPPED PLASTIC SEAT COVER</t>
  </si>
  <si>
    <t>a. In Ground Floor</t>
  </si>
  <si>
    <t>b. In First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</si>
  <si>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</si>
  <si>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</si>
  <si>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</si>
  <si>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</si>
  <si>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</si>
  <si>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</si>
  <si>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</si>
  <si>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</si>
  <si>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</si>
  <si>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</si>
  <si>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</si>
  <si>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</si>
  <si>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</si>
  <si>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</si>
  <si>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</si>
  <si>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</si>
  <si>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</si>
  <si>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Sl. No.</t>
  </si>
  <si>
    <t>28.</t>
  </si>
  <si>
    <t>sqm</t>
  </si>
  <si>
    <t>CHAMBER OF SIZE 60X60X60cm</t>
  </si>
  <si>
    <t xml:space="preserve"> 50mm DIA</t>
  </si>
  <si>
    <t xml:space="preserve"> 75mm DIA</t>
  </si>
  <si>
    <t xml:space="preserve"> 100mm DIA</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</si>
  <si>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</si>
  <si>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</si>
  <si>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</si>
  <si>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</si>
  <si>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</si>
  <si>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</si>
  <si>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</si>
  <si>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</si>
  <si>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</si>
  <si>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</si>
  <si>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</si>
  <si>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</si>
  <si>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</si>
  <si>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</si>
  <si>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</si>
  <si>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</si>
  <si>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fast with screws</t>
  </si>
  <si>
    <t>M.S. Angle</t>
  </si>
  <si>
    <t>PLASTERING IN C.M(1:3)</t>
  </si>
  <si>
    <t>12mMT.K MIXED WITH W.P.C.</t>
  </si>
  <si>
    <t>BRICK JELLY CONCRETE (1:8:16)</t>
  </si>
  <si>
    <t>USING 40 mm BRICK JELLY</t>
  </si>
  <si>
    <t>Kg.</t>
  </si>
  <si>
    <t>Cost of M.S sheet of size</t>
  </si>
  <si>
    <t>Supplying and fixing B.I.C.W.Meter cupboard with</t>
  </si>
  <si>
    <t>Carpenter I class</t>
  </si>
  <si>
    <t>S/F OF 6 WAY D.B</t>
  </si>
  <si>
    <t>FOR LINTEL &amp; BEAMS</t>
  </si>
  <si>
    <t>SURFACES FOR PLINTH BEAM ETC.</t>
  </si>
  <si>
    <t>POSTION COMPLETE IN ALL RESPECT</t>
  </si>
  <si>
    <t>AND AS DIRECTED BY THE DEPT,</t>
  </si>
  <si>
    <t>OFFICERS</t>
  </si>
  <si>
    <t>Set</t>
  </si>
  <si>
    <t>TOTAL FOR 1 NO</t>
  </si>
  <si>
    <t>B.</t>
  </si>
  <si>
    <t>LIFT CHARGES FOR CONCRETE IN F.F  *</t>
  </si>
  <si>
    <t>COST OF LIME</t>
  </si>
  <si>
    <t>(50mmT.K PCC SLAB)</t>
  </si>
  <si>
    <t>S/F OF SLIM TUBELIGHT FITTING WITH ELECTRONICS BALLAST.</t>
  </si>
  <si>
    <t xml:space="preserve">Providing precast Kerb stone in C.C. 1:3:6,  450 x 300 x 150 mm </t>
  </si>
  <si>
    <t>70.2</t>
  </si>
  <si>
    <t>150X100mm S.W. GULLY TRAPS</t>
  </si>
  <si>
    <t>T.W.SCANDLING UPTO 2M</t>
  </si>
  <si>
    <t>T.W. PLANK 12mm to 25mm T.K UPTO 30cmWIDTH</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</si>
  <si>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</si>
  <si>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</si>
  <si>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</si>
  <si>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</si>
  <si>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</si>
  <si>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</si>
  <si>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</si>
  <si>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</si>
  <si>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</si>
  <si>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</si>
  <si>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</si>
  <si>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</si>
  <si>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</si>
  <si>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</si>
  <si>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</si>
  <si>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</si>
  <si>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</si>
  <si>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</si>
  <si>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</si>
  <si>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</si>
  <si>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</si>
  <si>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</si>
  <si>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</si>
  <si>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</si>
  <si>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</si>
  <si>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</si>
  <si>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</si>
  <si>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</si>
  <si>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</si>
  <si>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</si>
  <si>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</si>
  <si>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</si>
  <si>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</si>
  <si>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</si>
  <si>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</si>
  <si>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</si>
  <si>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</si>
  <si>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</si>
  <si>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</si>
  <si>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</si>
  <si>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</si>
  <si>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</si>
  <si>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</si>
  <si>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</si>
  <si>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</si>
  <si>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</si>
  <si>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</si>
  <si>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</si>
  <si>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</si>
  <si>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</si>
  <si>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</si>
  <si>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</si>
  <si>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</si>
  <si>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SHUTTER SIZE-1.4X2.35   =3.29M2</t>
  </si>
  <si>
    <t>TOTAL FOR 3.29 SQM</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</si>
  <si>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</si>
  <si>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</si>
  <si>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</si>
  <si>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</si>
  <si>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</si>
  <si>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</si>
  <si>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</si>
  <si>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</si>
  <si>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</si>
  <si>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</si>
  <si>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</si>
  <si>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</si>
  <si>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</si>
  <si>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</si>
  <si>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</si>
  <si>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</si>
  <si>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</si>
  <si>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</si>
  <si>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</si>
  <si>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</si>
  <si>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</si>
  <si>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</si>
  <si>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Cement</t>
  </si>
  <si>
    <t>WHITE WASHING THREE COAT</t>
  </si>
  <si>
    <t>Rate for 1 no.</t>
  </si>
  <si>
    <t>59.</t>
  </si>
  <si>
    <t>HBSJ 37.5mm to 26.5mm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</si>
  <si>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</si>
  <si>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</si>
  <si>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</si>
  <si>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</si>
  <si>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</si>
  <si>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</si>
  <si>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</si>
  <si>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</si>
  <si>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</si>
  <si>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</si>
  <si>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</si>
  <si>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</si>
  <si>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</si>
  <si>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</si>
  <si>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</si>
  <si>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</si>
  <si>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</si>
  <si>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</si>
  <si>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 xml:space="preserve">                  2 X 1 X 0.575 X 0.30 X 0.01875     = 0.0065</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</si>
  <si>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</si>
  <si>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</si>
  <si>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</si>
  <si>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</si>
  <si>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</si>
  <si>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</si>
  <si>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</si>
  <si>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</si>
  <si>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</si>
  <si>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</si>
  <si>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</si>
  <si>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75mm DIA</t>
  </si>
  <si>
    <t>CONSTRUCTION OF DISPERSION</t>
  </si>
  <si>
    <t>Rate for 1 kg</t>
  </si>
  <si>
    <t>WEIGHT OF MATERIAL</t>
  </si>
  <si>
    <t xml:space="preserve"> 20mm HB STONE JELLY</t>
  </si>
  <si>
    <t>CEMENT PAINT</t>
  </si>
  <si>
    <t>TOTAL FOR 10 SQM</t>
  </si>
  <si>
    <t>C.C. 1:3:6 using 20mm HBS</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</si>
  <si>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</si>
  <si>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</si>
  <si>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</si>
  <si>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</si>
  <si>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</si>
  <si>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</si>
  <si>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</si>
  <si>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</si>
  <si>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</si>
  <si>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</si>
  <si>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</si>
  <si>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</si>
  <si>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</si>
  <si>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</si>
  <si>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</si>
  <si>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</si>
  <si>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</si>
  <si>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</si>
  <si>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</si>
  <si>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</si>
  <si>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</si>
  <si>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</si>
  <si>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</si>
  <si>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</si>
  <si>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</si>
  <si>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</si>
  <si>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</si>
  <si>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</si>
  <si>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</si>
  <si>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</si>
  <si>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</si>
  <si>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S.F OF A.C.SPOUT PIPE OF100mm 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</si>
  <si>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</si>
  <si>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</si>
  <si>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</si>
  <si>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</si>
  <si>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</si>
  <si>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</si>
  <si>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</si>
  <si>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</si>
  <si>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</si>
  <si>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</si>
  <si>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</si>
  <si>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</si>
  <si>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</si>
  <si>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</si>
  <si>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</si>
  <si>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</si>
  <si>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</si>
  <si>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</si>
  <si>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</si>
  <si>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</si>
  <si>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</si>
  <si>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</si>
  <si>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</si>
  <si>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</si>
  <si>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</si>
  <si>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</si>
  <si>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</si>
  <si>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</si>
  <si>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</si>
  <si>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</si>
  <si>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</si>
  <si>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</si>
  <si>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</si>
  <si>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</si>
  <si>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</si>
  <si>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</si>
  <si>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</si>
  <si>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</si>
  <si>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</si>
  <si>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</si>
  <si>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</si>
  <si>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</si>
  <si>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</si>
  <si>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</si>
  <si>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</si>
  <si>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</si>
  <si>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</si>
  <si>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</si>
  <si>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</si>
  <si>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</si>
  <si>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</si>
  <si>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</si>
  <si>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Transporting</t>
  </si>
  <si>
    <t>Laying and Pointing</t>
  </si>
  <si>
    <t>WALL WITH WOODEN PLUGES</t>
  </si>
  <si>
    <t>ADD FOR BUILDING</t>
  </si>
  <si>
    <t>P.V.C. S.D TAP 15mm DIA</t>
  </si>
  <si>
    <t>CEMENT CONCRETE(1:4:8) USING</t>
  </si>
  <si>
    <t>G.I. 80MM DIA CUPPLER</t>
  </si>
  <si>
    <t>G.I. 80MM DIA UNION</t>
  </si>
  <si>
    <t>G.I. 80MM DIA PLUG</t>
  </si>
  <si>
    <t>SUPPLYING AND FABRICATING AND</t>
  </si>
  <si>
    <t>RATE PER SQM</t>
  </si>
  <si>
    <t xml:space="preserve">S/F OF S.C TW BOARD,3-30AMPFUSE, EARTHPLATE </t>
  </si>
  <si>
    <t>C.W Joist for one use (1.2</t>
  </si>
  <si>
    <t>STEEL DOOR FRAMES AND WINDOW FRAMES WITH SHUTTER</t>
  </si>
  <si>
    <t xml:space="preserve">RUN OF S.C WIRING WITH 2-4 SQMM COPPER ,7/20 GI </t>
  </si>
  <si>
    <t>Cuddappah slab</t>
  </si>
  <si>
    <t>No.</t>
  </si>
  <si>
    <t>Mason Ist</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</si>
  <si>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</si>
  <si>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</si>
  <si>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</si>
  <si>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</si>
  <si>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</si>
  <si>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</si>
  <si>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</si>
  <si>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</si>
  <si>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</si>
  <si>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</si>
  <si>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</si>
  <si>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</si>
  <si>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</si>
  <si>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</si>
  <si>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</si>
  <si>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</si>
  <si>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</si>
  <si>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</si>
  <si>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</si>
  <si>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</si>
  <si>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</si>
  <si>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</si>
  <si>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/PROTEKLOL) CHEMICALS</t>
  </si>
  <si>
    <t>BRUSHES GLOVES ETC</t>
  </si>
  <si>
    <t>TRANSPORTING AND HANDLING</t>
  </si>
  <si>
    <t>PAINTERII</t>
  </si>
  <si>
    <t>TOTTAL FOR 1 MT</t>
  </si>
  <si>
    <t>50.5</t>
  </si>
  <si>
    <t>Supply and fixing of window</t>
  </si>
  <si>
    <t>for foundation  and basement</t>
  </si>
  <si>
    <t>I.O HOOKS &amp; EYES8"</t>
  </si>
  <si>
    <t>COST OF PLUG SCREWS , RUBBER</t>
  </si>
  <si>
    <t xml:space="preserve"> 100mm DIA S.W.PIPE</t>
  </si>
  <si>
    <t>SQM</t>
  </si>
  <si>
    <t>C.I.COVER SLAB 18"X18"X56LBS(25Kg)</t>
  </si>
  <si>
    <t xml:space="preserve"> 20mm Thick slab:-</t>
  </si>
  <si>
    <t xml:space="preserve"> ---DO---FOR STAIR CASE LIGHT POINT </t>
  </si>
  <si>
    <t>TOTAL FOR 10 CUM</t>
  </si>
  <si>
    <t>E.W EXCLUDING REFILLING</t>
  </si>
  <si>
    <t xml:space="preserve">COST OF 20MM DIA PVC PIPE </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</si>
  <si>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</si>
  <si>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</si>
  <si>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</si>
  <si>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</si>
  <si>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</si>
  <si>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</si>
  <si>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</si>
  <si>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</si>
  <si>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</si>
  <si>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</si>
  <si>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</si>
  <si>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</si>
  <si>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</si>
  <si>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Chicken mesh</t>
  </si>
  <si>
    <t>Carpenter II</t>
  </si>
  <si>
    <t>Fitter I</t>
  </si>
  <si>
    <t>7.2</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</si>
  <si>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</si>
  <si>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</si>
  <si>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</si>
  <si>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</si>
  <si>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</si>
  <si>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</si>
  <si>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</si>
  <si>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</si>
  <si>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</si>
  <si>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</si>
  <si>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</si>
  <si>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</si>
  <si>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</si>
  <si>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</si>
  <si>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</si>
  <si>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</si>
  <si>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</si>
  <si>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</si>
  <si>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</si>
  <si>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</si>
  <si>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</si>
  <si>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</si>
  <si>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</si>
  <si>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</si>
  <si>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</si>
  <si>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</si>
  <si>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</si>
  <si>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</si>
  <si>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</si>
  <si>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</si>
  <si>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</si>
  <si>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4.1</t>
  </si>
  <si>
    <t>**</t>
  </si>
  <si>
    <t>Ornamental TW panelled Door 1800X2400 Double leaves</t>
  </si>
  <si>
    <t>P.V.C.ELBOW</t>
  </si>
  <si>
    <t>OVER A BED OF C.M(1:3),</t>
  </si>
  <si>
    <t>LTR</t>
  </si>
  <si>
    <t>3.2</t>
  </si>
  <si>
    <t>A.</t>
  </si>
  <si>
    <t>DOOR OF SIZE 70X210Cm</t>
  </si>
  <si>
    <t xml:space="preserve">  H.B.STONEJELLY 20mm</t>
  </si>
  <si>
    <t>T.W.SCANTLING above 2M length</t>
  </si>
  <si>
    <t>T.W.SCANTLING below 2M length</t>
  </si>
  <si>
    <t>SL.NO</t>
  </si>
  <si>
    <t>Shutter(OSL Board)      -2X2X.85X0.4=1.36m2</t>
  </si>
  <si>
    <t>curing etc complete.</t>
  </si>
  <si>
    <t xml:space="preserve"> 150mm Thick Band</t>
  </si>
  <si>
    <t>Cement mortar1:5</t>
  </si>
  <si>
    <t>Masn Ist</t>
  </si>
  <si>
    <t>Total for 6.77Rmt</t>
  </si>
  <si>
    <t>Rate per Rmt.</t>
  </si>
  <si>
    <t xml:space="preserve"> 75mm Thick Band</t>
  </si>
  <si>
    <t>Labour for fixing glass paneles</t>
  </si>
  <si>
    <t>1200 X 2100MM</t>
  </si>
  <si>
    <t xml:space="preserve">shutter  for frame of overall height 105cm </t>
  </si>
  <si>
    <t>COMPLETE AS DIRECTED BY DEPT. OFFICERS.</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</si>
  <si>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</si>
  <si>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</si>
  <si>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</si>
  <si>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</si>
  <si>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</si>
  <si>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</si>
  <si>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</si>
  <si>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</si>
  <si>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</si>
  <si>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</si>
  <si>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</si>
  <si>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</si>
  <si>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</si>
  <si>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</si>
  <si>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</si>
  <si>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</si>
  <si>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</si>
  <si>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</si>
  <si>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</si>
  <si>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</si>
  <si>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</si>
  <si>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</si>
  <si>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</si>
  <si>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</si>
  <si>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</si>
  <si>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</si>
  <si>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</si>
  <si>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</si>
  <si>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</si>
  <si>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</si>
  <si>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</si>
  <si>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</si>
  <si>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</si>
  <si>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</si>
  <si>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</si>
  <si>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</si>
  <si>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</si>
  <si>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</si>
  <si>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</si>
  <si>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</si>
  <si>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</si>
  <si>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</si>
  <si>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</si>
  <si>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</si>
  <si>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</si>
  <si>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</si>
  <si>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</si>
  <si>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</si>
  <si>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Brush</t>
  </si>
  <si>
    <t>Painter I st Class</t>
  </si>
  <si>
    <t>Rate for 1 MT</t>
  </si>
  <si>
    <t>NO</t>
  </si>
  <si>
    <t>21.</t>
  </si>
  <si>
    <t>RATE PER CUM</t>
  </si>
  <si>
    <t>---DO---FOR LIGHT POINT WITH BATTERN HODER</t>
  </si>
  <si>
    <t>Add for nails, wedges,oils etc</t>
  </si>
  <si>
    <t xml:space="preserve"> ---DO---FOR FAN POINT </t>
  </si>
  <si>
    <t>Add for periodical cleaning,</t>
  </si>
  <si>
    <t>R.C.C(1:2:4) PETTY WORKS</t>
  </si>
  <si>
    <t>SUPLLYING AND FILLING WITH 20MM Brick jelly</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</si>
  <si>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</si>
  <si>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</si>
  <si>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</si>
  <si>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</si>
  <si>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</si>
  <si>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</si>
  <si>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</si>
  <si>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</si>
  <si>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</si>
  <si>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</si>
  <si>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</si>
  <si>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</si>
  <si>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</si>
  <si>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</si>
  <si>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</si>
  <si>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</si>
  <si>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</si>
  <si>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</si>
  <si>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</si>
  <si>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</si>
  <si>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</si>
  <si>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</si>
  <si>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</si>
  <si>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</si>
  <si>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</si>
  <si>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</si>
  <si>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</si>
  <si>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</si>
  <si>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</si>
  <si>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</si>
  <si>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</si>
  <si>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</si>
  <si>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</si>
  <si>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</si>
  <si>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</si>
  <si>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</si>
  <si>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</si>
  <si>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</si>
  <si>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C.I..BRACKET FOR W.B.</t>
  </si>
  <si>
    <t>Mazdoor Ist</t>
  </si>
  <si>
    <t>CUDDAPAH SLAB SINK 45X45cm,20mmT.K</t>
  </si>
  <si>
    <t>Rmt</t>
  </si>
  <si>
    <t>Casurnia props 10 to 13cm dia</t>
  </si>
  <si>
    <t>15.</t>
  </si>
  <si>
    <t>FLOOR POLISHER</t>
  </si>
  <si>
    <t>LIFT CHARGES FOR CONCRETE IN S.F  *</t>
  </si>
  <si>
    <t>COST OF 20mm HBSJ</t>
  </si>
  <si>
    <t>Forth Floor</t>
  </si>
  <si>
    <t>PARTITION WALL OF 114mmTHICK</t>
  </si>
  <si>
    <t>M.S WASHER</t>
  </si>
  <si>
    <t xml:space="preserve"> --DO--FOR 5AMP 5PIN PLUG AT CONVENTENT PLACE</t>
  </si>
  <si>
    <t>LABOUR FOR FIXING CEIING FAN OF AL SWEEP</t>
  </si>
  <si>
    <t>for plain surface)</t>
  </si>
  <si>
    <t>PLASTERING C.M(1:3)12mmTHICK</t>
  </si>
  <si>
    <t>MIXEDWITH WATER PROOF COMPOUND</t>
  </si>
  <si>
    <t xml:space="preserve">  2Kg/10 SQM</t>
  </si>
  <si>
    <t>WATER PROOF COMPOUNDS</t>
  </si>
  <si>
    <t>36.</t>
  </si>
  <si>
    <t>Providing Band with C.M 1:5, 12mm thick</t>
  </si>
  <si>
    <t>38.1.</t>
  </si>
  <si>
    <t>Pressed tiles (23cmx23cmx20mm) mixed with Water proofing compound</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</si>
  <si>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</si>
  <si>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</si>
  <si>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</si>
  <si>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</si>
  <si>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</si>
  <si>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</si>
  <si>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</si>
  <si>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</si>
  <si>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</si>
  <si>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</si>
  <si>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</si>
  <si>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</si>
  <si>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</si>
  <si>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</si>
  <si>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</si>
  <si>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</si>
  <si>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</si>
  <si>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</si>
  <si>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</si>
  <si>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</si>
  <si>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</si>
  <si>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MAZDOOR-I</t>
  </si>
  <si>
    <t>=============</t>
  </si>
  <si>
    <t>Annexure</t>
  </si>
  <si>
    <t>Shutter middle rail(Horizantal) -1X2X0.4X0.15X0.0375=0.0045</t>
  </si>
  <si>
    <t>CEMENT CONCRETE(1:2:4) FOR</t>
  </si>
  <si>
    <t>LABOUR CHARGES FOR WROUGHT AND PUT UP</t>
  </si>
  <si>
    <t>20.</t>
  </si>
  <si>
    <t>LABOUR FOR WROUGHT &amp;PUTUP</t>
  </si>
  <si>
    <t>BISON PANEL  8MMTK. OSL</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</si>
  <si>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</si>
  <si>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</si>
  <si>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</si>
  <si>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</si>
  <si>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</si>
  <si>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</si>
  <si>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</si>
  <si>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</si>
  <si>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</si>
  <si>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</si>
  <si>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</si>
  <si>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</si>
  <si>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</si>
  <si>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 xml:space="preserve">Water Proof Compound </t>
  </si>
  <si>
    <t>Filling sand</t>
  </si>
  <si>
    <t>kg</t>
  </si>
  <si>
    <t>Bitumen</t>
  </si>
  <si>
    <t>Labour charges</t>
  </si>
  <si>
    <t>Total for 100M2</t>
  </si>
  <si>
    <t>P.V.C. WASTE PIPE32mmDIA 2.5'LONG</t>
  </si>
  <si>
    <t>ASTM-D SCHEDULE- 40 THREADED PVC PIPE</t>
  </si>
  <si>
    <t>S &amp; F Alu  Towel rail 75 cm long</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</si>
  <si>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</si>
  <si>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</si>
  <si>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</si>
  <si>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</si>
  <si>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</si>
  <si>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</si>
  <si>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</si>
  <si>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</si>
  <si>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</si>
  <si>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</si>
  <si>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</si>
  <si>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</si>
  <si>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</si>
  <si>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</si>
  <si>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</si>
  <si>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</si>
  <si>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</si>
  <si>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</si>
  <si>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</si>
  <si>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</si>
  <si>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</si>
  <si>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</si>
  <si>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</si>
  <si>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</si>
  <si>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</si>
  <si>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</si>
  <si>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</si>
  <si>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</si>
  <si>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</si>
  <si>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</si>
  <si>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</si>
  <si>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</si>
  <si>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</si>
  <si>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</si>
  <si>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</si>
  <si>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</si>
  <si>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</si>
  <si>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</si>
  <si>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</si>
  <si>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</si>
  <si>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</si>
  <si>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</si>
  <si>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</si>
  <si>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</si>
  <si>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</si>
  <si>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</si>
  <si>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</si>
  <si>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</si>
  <si>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</si>
  <si>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</si>
  <si>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</si>
  <si>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</si>
  <si>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</si>
  <si>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</si>
  <si>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</si>
  <si>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</si>
  <si>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</si>
  <si>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</si>
  <si>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</si>
  <si>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TOTAL FOR 1.82250SQM</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</si>
  <si>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</si>
  <si>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</si>
  <si>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</si>
  <si>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</si>
  <si>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</si>
  <si>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</si>
  <si>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</si>
  <si>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</si>
  <si>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</si>
  <si>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</si>
  <si>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</si>
  <si>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</si>
  <si>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</si>
  <si>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</si>
  <si>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</si>
  <si>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</si>
  <si>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</si>
  <si>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</si>
  <si>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</si>
  <si>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</si>
  <si>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</si>
  <si>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</si>
  <si>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</si>
  <si>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</si>
  <si>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</si>
  <si>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</si>
  <si>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</si>
  <si>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</si>
  <si>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</si>
  <si>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</si>
  <si>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</si>
  <si>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</si>
  <si>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</si>
  <si>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</si>
  <si>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</si>
  <si>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</si>
  <si>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</si>
  <si>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</si>
  <si>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</si>
  <si>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</si>
  <si>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</si>
  <si>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</si>
  <si>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</si>
  <si>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</si>
  <si>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</si>
  <si>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</si>
  <si>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</si>
  <si>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</si>
  <si>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</si>
  <si>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</si>
  <si>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</si>
  <si>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</si>
  <si>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</si>
  <si>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</si>
  <si>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</si>
  <si>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PILE DRIVING CHARGES FOR 500mmDIA/600mm DIA</t>
  </si>
  <si>
    <t>C.P.WASTE PLUGE WITH ALU CHAIN 32mm DIA</t>
  </si>
  <si>
    <t>Total for Ten sqm</t>
  </si>
  <si>
    <t>PORCELIN FOOT REST</t>
  </si>
  <si>
    <t>Rate for Each</t>
  </si>
  <si>
    <t>Sand</t>
  </si>
  <si>
    <t>THREADING CHARGES FOR PVC 32mm</t>
  </si>
  <si>
    <t>SUPPLY AND FIXING EXSAUST FAN 225MM SWEEP</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</si>
  <si>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</si>
  <si>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</si>
  <si>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</si>
  <si>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</si>
  <si>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</si>
  <si>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</si>
  <si>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</si>
  <si>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</si>
  <si>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PILE DRIVING CHARGES FOR 330mmDIA/375mm DIA</t>
  </si>
  <si>
    <t xml:space="preserve">Add 10% </t>
  </si>
  <si>
    <t xml:space="preserve">Thuvakudi </t>
  </si>
  <si>
    <t>SPOUT PIPE OF 75mm DIA</t>
  </si>
  <si>
    <t>C.I. TEE JUNCTION WITH  DOOR  50mmDIA</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</si>
  <si>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</si>
  <si>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</si>
  <si>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</si>
  <si>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</si>
  <si>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</si>
  <si>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</si>
  <si>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</si>
  <si>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</si>
  <si>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</si>
  <si>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</si>
  <si>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</si>
  <si>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</si>
  <si>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</si>
  <si>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</si>
  <si>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</si>
  <si>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</si>
  <si>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</si>
  <si>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</si>
  <si>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</si>
  <si>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</si>
  <si>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</si>
  <si>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</si>
  <si>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</si>
  <si>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</si>
  <si>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</si>
  <si>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</si>
  <si>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</si>
  <si>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</si>
  <si>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</si>
  <si>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</si>
  <si>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</si>
  <si>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</si>
  <si>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</si>
  <si>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</si>
  <si>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</si>
  <si>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</si>
  <si>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</si>
  <si>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</si>
  <si>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</si>
  <si>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</si>
  <si>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</si>
  <si>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</si>
  <si>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</si>
  <si>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</si>
  <si>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</si>
  <si>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</si>
  <si>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</si>
  <si>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</si>
  <si>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</si>
  <si>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</si>
  <si>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</si>
  <si>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56.1.</t>
  </si>
  <si>
    <t>Brass screw</t>
  </si>
  <si>
    <t>COST OF ALL MATERIALS AND</t>
  </si>
  <si>
    <t>FIXING CHARGES</t>
  </si>
  <si>
    <t>SUNDRIES FOR PLUGSCREW,PAINT</t>
  </si>
  <si>
    <t xml:space="preserve"> 3"I.O. ButtHinges</t>
  </si>
  <si>
    <t>(Both sides polished)</t>
  </si>
  <si>
    <t>PRECAST Plain cement concrete P.C.C</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</si>
  <si>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</si>
  <si>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</si>
  <si>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</si>
  <si>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</si>
  <si>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</si>
  <si>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</si>
  <si>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</si>
  <si>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</si>
  <si>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</si>
  <si>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</si>
  <si>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LABOUR FOR FIXING OF EWC</t>
  </si>
  <si>
    <t>TOTAL FOR .0283 CUM</t>
  </si>
  <si>
    <t>TOTAL FOR ONE CUM</t>
  </si>
  <si>
    <t>S/F OF S.W. TEE 1000mmmDIA</t>
  </si>
  <si>
    <t>U ORJ BOLT ANDBITUMENWASHERS</t>
  </si>
  <si>
    <t>Providing Rain Water Harvesting Perculation pit
a) Providing pit</t>
  </si>
  <si>
    <t>HBSJ 40mm</t>
  </si>
  <si>
    <t>SUPLLYING AND FILLING WITH 40MM HBSJ</t>
  </si>
  <si>
    <t>RAILS(BELOW 2M)- 1X4X0.9X0.15X0.0375=      0.0203</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</si>
  <si>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</si>
  <si>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</si>
  <si>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</si>
  <si>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</si>
  <si>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</si>
  <si>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</si>
  <si>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</si>
  <si>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</si>
  <si>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</si>
  <si>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HANGER BRACKET</t>
  </si>
  <si>
    <t>ALU.SLEEVES</t>
  </si>
  <si>
    <t>TOWER BOLT RECEIVER</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</si>
  <si>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</si>
  <si>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</si>
  <si>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</si>
  <si>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</si>
  <si>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</si>
  <si>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</si>
  <si>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</si>
  <si>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</si>
  <si>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</si>
  <si>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</si>
  <si>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</si>
  <si>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</si>
  <si>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</si>
  <si>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</si>
  <si>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</si>
  <si>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</si>
  <si>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BOLTS,NUTS &amp; CHOCK NUTS ETC.,</t>
  </si>
  <si>
    <t>DIA  ALUMINIUM HANGER ROD TO</t>
  </si>
  <si>
    <t>THE  REQUIRED LENGTH WITH</t>
  </si>
  <si>
    <t>G.I. 80MM X65mm REDUCER TEE</t>
  </si>
  <si>
    <t xml:space="preserve"> PIPE COST 25mm DIA</t>
  </si>
  <si>
    <t>PLAIN GLASS</t>
  </si>
  <si>
    <t>C.W BOARDING 40mm T.K</t>
  </si>
  <si>
    <t>P.V.C BEND</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</si>
  <si>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</si>
  <si>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</si>
  <si>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</si>
  <si>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</si>
  <si>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</si>
  <si>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</si>
  <si>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</si>
  <si>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</si>
  <si>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</si>
  <si>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</si>
  <si>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</si>
  <si>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</si>
  <si>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</si>
  <si>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</si>
  <si>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</si>
  <si>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</si>
  <si>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</si>
  <si>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</si>
  <si>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RATE PER CUM with vibrating</t>
  </si>
  <si>
    <t xml:space="preserve"> 25mm DIA----DO-----3.4mm</t>
  </si>
  <si>
    <t xml:space="preserve"> 32mm DIA-----DO----3.6mm</t>
  </si>
  <si>
    <t xml:space="preserve"> 25a</t>
  </si>
  <si>
    <t xml:space="preserve"> 40mm DIA----DO----3.7mm</t>
  </si>
  <si>
    <t xml:space="preserve"> 25b</t>
  </si>
  <si>
    <t>fixing in position etc., all complete</t>
  </si>
  <si>
    <t xml:space="preserve"> 40mmDIAX32mmDIA</t>
  </si>
  <si>
    <t xml:space="preserve"> 50mmDIAX40mmDIA</t>
  </si>
  <si>
    <t>TO PROPER GRADE AND</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</si>
  <si>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</si>
  <si>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</si>
  <si>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</si>
  <si>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</si>
  <si>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</si>
  <si>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</si>
  <si>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</si>
  <si>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</si>
  <si>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</si>
  <si>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</si>
  <si>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</si>
  <si>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</si>
  <si>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</si>
  <si>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</si>
  <si>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</si>
  <si>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</si>
  <si>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 xml:space="preserve"> STONEWARE TEE</t>
  </si>
  <si>
    <t>25mm  DIA G.I PIPE ABOVE G.L</t>
  </si>
  <si>
    <t>and eyes T.W.plugs screws etc complete and as</t>
  </si>
  <si>
    <t>directed by the Departmental Officers as per</t>
  </si>
  <si>
    <t>Drawings</t>
  </si>
  <si>
    <t>C.W.Scantling for Shutter</t>
  </si>
  <si>
    <t>C.W.Planks</t>
  </si>
  <si>
    <t>Weldmesh</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</si>
  <si>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</si>
  <si>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</si>
  <si>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</si>
  <si>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</si>
  <si>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</si>
  <si>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</si>
  <si>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</si>
  <si>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</si>
  <si>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</si>
  <si>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</si>
  <si>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</si>
  <si>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</si>
  <si>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</si>
  <si>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</si>
  <si>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</si>
  <si>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RATE PER CUM </t>
  </si>
  <si>
    <t>RAILS(BELOW 2M)- 1X4X0.9X0.15X0.0375=      0.02025</t>
  </si>
  <si>
    <t xml:space="preserve">               - 1X2X0.731X0.125X0.0375 =0.00685</t>
  </si>
  <si>
    <t>PLANKS      -1X4X0.60625X02825X0.01875=</t>
  </si>
  <si>
    <t>…</t>
  </si>
  <si>
    <t>CEMENT MORTAR(1:4)</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</si>
  <si>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</si>
  <si>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</si>
  <si>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</si>
  <si>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</si>
  <si>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</si>
  <si>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</si>
  <si>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</si>
  <si>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</si>
  <si>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</si>
  <si>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</si>
  <si>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R.C.C DOOR FRAME</t>
  </si>
  <si>
    <t>21.1</t>
  </si>
  <si>
    <t>C.C(1:2:4)USING 20mmJELLY</t>
  </si>
  <si>
    <t>Cost of binding meterials etc.,</t>
  </si>
  <si>
    <t xml:space="preserve"> with ISI mark confirming to 13952:1992-type 'B'</t>
  </si>
  <si>
    <t>PVC bend</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</si>
  <si>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</si>
  <si>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</si>
  <si>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</si>
  <si>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</si>
  <si>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</si>
  <si>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</si>
  <si>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</si>
  <si>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</si>
  <si>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</si>
  <si>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</si>
  <si>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</si>
  <si>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</si>
  <si>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</si>
  <si>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</si>
  <si>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</si>
  <si>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</si>
  <si>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</si>
  <si>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</si>
  <si>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</si>
  <si>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</si>
  <si>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</si>
  <si>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</si>
  <si>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</si>
  <si>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</si>
  <si>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</si>
  <si>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SQM*</t>
  </si>
  <si>
    <t>and 75mmwide in all floors including</t>
  </si>
  <si>
    <t>finishing with neat cement scaffolding</t>
  </si>
  <si>
    <t>2 TO 3M</t>
  </si>
  <si>
    <t>C.I. YEE JUNCTION WITH  DOOR  50mmDIA</t>
  </si>
  <si>
    <t>FOURTH FLOOR</t>
  </si>
  <si>
    <t xml:space="preserve">========= </t>
  </si>
  <si>
    <t>T.W.SCANTLING 2M-3M LONG</t>
  </si>
  <si>
    <t>Lts</t>
  </si>
  <si>
    <t>Painter Ist</t>
  </si>
  <si>
    <t>Mazdoor IInd</t>
  </si>
  <si>
    <t>Total for 10 Sqm</t>
  </si>
  <si>
    <t>40.</t>
  </si>
  <si>
    <t>PAINTING TWO COATS OVER NEW</t>
  </si>
  <si>
    <t>WOOD WORKS WITH IIND CLASS</t>
  </si>
  <si>
    <t>MASAN I</t>
  </si>
  <si>
    <t xml:space="preserve">COST OF CLAMPS PLUGS </t>
  </si>
  <si>
    <t>SUPPLY AND DELIVERY OF FAN 48"SWEEP</t>
  </si>
  <si>
    <t>JELLY FOR ALL WATER RETAINING</t>
  </si>
  <si>
    <t>From 1.25m to 2m width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</si>
  <si>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</si>
  <si>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</si>
  <si>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</si>
  <si>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</si>
  <si>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</si>
  <si>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</si>
  <si>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</si>
  <si>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</si>
  <si>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</si>
  <si>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</si>
  <si>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</si>
  <si>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</si>
  <si>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</si>
  <si>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</si>
  <si>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</si>
  <si>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</si>
  <si>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</si>
  <si>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</si>
  <si>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</si>
  <si>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</si>
  <si>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</si>
  <si>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</si>
  <si>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</si>
  <si>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</si>
  <si>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</si>
  <si>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</si>
  <si>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</si>
  <si>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</si>
  <si>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</si>
  <si>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</si>
  <si>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</si>
  <si>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</si>
  <si>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</si>
  <si>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</si>
  <si>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</si>
  <si>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</si>
  <si>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</si>
  <si>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</si>
  <si>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</si>
  <si>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</si>
  <si>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</si>
  <si>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</si>
  <si>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</si>
  <si>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LABOUR FOR FIXING JALLY</t>
  </si>
  <si>
    <t>MISCELLANCEOUS ITEMS</t>
  </si>
  <si>
    <t>TOTAL FOR TEN SQM</t>
  </si>
  <si>
    <t>BEST VARNISHING TWO COAT OVER WOOD WORK</t>
  </si>
  <si>
    <t>23.2</t>
  </si>
  <si>
    <t>headed glass panels 450x1350</t>
  </si>
  <si>
    <t>INCLUDING COST OF</t>
  </si>
  <si>
    <t>10.</t>
  </si>
  <si>
    <t>1000nos.</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</si>
  <si>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</si>
  <si>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</si>
  <si>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</si>
  <si>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</si>
  <si>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</si>
  <si>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</si>
  <si>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</si>
  <si>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</si>
  <si>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</si>
  <si>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</si>
  <si>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</si>
  <si>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</si>
  <si>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</si>
  <si>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</si>
  <si>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</si>
  <si>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</si>
  <si>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</si>
  <si>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</si>
  <si>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</si>
  <si>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</si>
  <si>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</si>
  <si>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</si>
  <si>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</si>
  <si>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</si>
  <si>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</si>
  <si>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</si>
  <si>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</si>
  <si>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</si>
  <si>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</si>
  <si>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</si>
  <si>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</si>
  <si>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</si>
  <si>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</si>
  <si>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</si>
  <si>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</si>
  <si>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</si>
  <si>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</si>
  <si>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19.</t>
  </si>
  <si>
    <t>STEEL GRILLS FOR WINDOWS &amp; VENTILATER</t>
  </si>
  <si>
    <t>FITTER II *</t>
  </si>
  <si>
    <t xml:space="preserve">ROUGH STONE </t>
  </si>
  <si>
    <t>HARD BROKEN STONE JELLY 3mmTo10mm SIZE</t>
  </si>
  <si>
    <t>HARD BROKEN STONE JELLY  10mm SIZE</t>
  </si>
  <si>
    <t>HARD BROKEN STONE JELLY 12mm SIZE</t>
  </si>
  <si>
    <t>SUPPLYING AND FIXING OF TV/TELEPHONE LINE SOCKET</t>
  </si>
  <si>
    <t>S/F OF 40W/60W BULB</t>
  </si>
  <si>
    <t>CEMENT PASTE AND REDOXIDE PUTTY INCLUDING</t>
  </si>
  <si>
    <t>Stacking charges</t>
  </si>
  <si>
    <t>LABOUR CHARGE FOR SHUTTER</t>
  </si>
  <si>
    <t xml:space="preserve"> 3"X5/8"ALU.TOWER BOLT</t>
  </si>
  <si>
    <t>HARD BROKEN STONE JELLY 10mm</t>
  </si>
  <si>
    <t>MAZDOOR II*</t>
  </si>
  <si>
    <t>5.</t>
  </si>
  <si>
    <t>HARD BROKEN STONE JELLY 12mm</t>
  </si>
  <si>
    <t>PAINTER-I</t>
  </si>
  <si>
    <t>PAINTER I/II*</t>
  </si>
  <si>
    <t>TOTAL FOR 1 CUM</t>
  </si>
  <si>
    <t xml:space="preserve"> 5" ALU BUTT HINGES</t>
  </si>
  <si>
    <t>TOTAL FOR 1.64 SQM</t>
  </si>
  <si>
    <t>COST OF RUBBER</t>
  </si>
  <si>
    <t xml:space="preserve">PLASTERED SURFACE WITH </t>
  </si>
  <si>
    <t>PVC Nahani trap (4way/2way)</t>
  </si>
  <si>
    <t>1.2</t>
  </si>
  <si>
    <t>Eurocon tile/ Designer tile flooring (as per CER-112/2007-08)</t>
  </si>
  <si>
    <t>Grout joint filler</t>
  </si>
  <si>
    <t>ADD 50% EXYRA FOR COLOURING</t>
  </si>
  <si>
    <t>MAATERIAL</t>
  </si>
  <si>
    <t>Fourth Floor</t>
  </si>
  <si>
    <t>1000NO.</t>
  </si>
  <si>
    <t xml:space="preserve">COLOUR  WASHING TWO COATS OVER </t>
  </si>
  <si>
    <t>ONE COAT OF WHITE WASHING.</t>
  </si>
  <si>
    <t>WATER SUPPLY</t>
  </si>
  <si>
    <t>***</t>
  </si>
  <si>
    <t>63</t>
  </si>
  <si>
    <t>32mm dia P.V.C Waste Pipe and</t>
  </si>
  <si>
    <t>TOTAL FOR 30M</t>
  </si>
  <si>
    <t>RATE PER RMT</t>
  </si>
  <si>
    <t>GRAVEL</t>
  </si>
  <si>
    <t>MOSIC TILES GREY 25X25X2cm</t>
  </si>
  <si>
    <t>S/F OF STREET LIGHTS.</t>
  </si>
  <si>
    <t>KILN BURNT COUNTRY G.M(2D) BRICK 8-3/4"X4-1/4"X2"</t>
  </si>
  <si>
    <t>COUNTRY BRICK-ISORT(2B)T.M SIZE 9"x4-3/8"X2-3/4"</t>
  </si>
  <si>
    <t>Alu.Towel rail 75Cm long</t>
  </si>
  <si>
    <t>Alu. Bolt With screws</t>
  </si>
  <si>
    <t>B</t>
  </si>
  <si>
    <t>MS Sheet</t>
  </si>
  <si>
    <t>Welding charges</t>
  </si>
  <si>
    <t>Labour for erection of board</t>
  </si>
  <si>
    <t>COLOUR</t>
  </si>
  <si>
    <t>EARTHING STATION (TYPE II)</t>
  </si>
  <si>
    <t>GI PIPE 40MM DIA</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</si>
  <si>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</si>
  <si>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</si>
  <si>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</si>
  <si>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</si>
  <si>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</si>
  <si>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</si>
  <si>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</si>
  <si>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</si>
  <si>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</si>
  <si>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</si>
  <si>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</si>
  <si>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</si>
  <si>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</si>
  <si>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</si>
  <si>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</si>
  <si>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</si>
  <si>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</si>
  <si>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</si>
  <si>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</si>
  <si>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</si>
  <si>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</si>
  <si>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</si>
  <si>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</si>
  <si>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</si>
  <si>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</si>
  <si>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</si>
  <si>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</si>
  <si>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</si>
  <si>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</si>
  <si>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</si>
  <si>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</si>
  <si>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</si>
  <si>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</si>
  <si>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</si>
  <si>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</si>
  <si>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</si>
  <si>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</si>
  <si>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</si>
  <si>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</si>
  <si>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</si>
  <si>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</si>
  <si>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</si>
  <si>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</si>
  <si>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</si>
  <si>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</si>
  <si>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</si>
  <si>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</si>
  <si>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</si>
  <si>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</si>
  <si>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</si>
  <si>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</si>
  <si>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</si>
  <si>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</si>
  <si>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</si>
  <si>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</si>
  <si>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</si>
  <si>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Avenue trees</t>
  </si>
  <si>
    <t>CEMENT MORTAR(1:5)</t>
  </si>
  <si>
    <t>MDF board 18mm thk exterior grade one side prelaminated.</t>
  </si>
  <si>
    <t xml:space="preserve">Supply,Laying &amp; Concealing the 50mm dia PVC (SWR) pipe </t>
  </si>
  <si>
    <t>LABOUR FOR THREADING 20mm DIA  *</t>
  </si>
  <si>
    <t>CEMENT MORTAR(1:6)</t>
  </si>
  <si>
    <t>CEMENT MORTAR(1:8)</t>
  </si>
  <si>
    <t>SUPPLY OF 40mmB.J. METEL</t>
  </si>
  <si>
    <t>P.V.C. SOIL TEE WITH DOOR  75mm DIA</t>
  </si>
  <si>
    <t>P.V.C. SOIL TEE WITH DOOR  50mm DIA</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</si>
  <si>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</si>
  <si>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</si>
  <si>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</si>
  <si>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</si>
  <si>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</si>
  <si>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</si>
  <si>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</si>
  <si>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</si>
  <si>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</si>
  <si>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</si>
  <si>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</si>
  <si>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</si>
  <si>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</si>
  <si>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</si>
  <si>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</si>
  <si>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</si>
  <si>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</si>
  <si>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Add for cutting, bending,</t>
  </si>
  <si>
    <t>P.V.C REDUCER ELBOW</t>
  </si>
  <si>
    <t>welding charges etc.</t>
  </si>
  <si>
    <t xml:space="preserve"> 50X25MM</t>
  </si>
  <si>
    <t>for one operation</t>
  </si>
  <si>
    <t>M.S FLAT OF SIZE 25 X 6mm VERTICAL           = 1 X 2 X1.35 X 1.2Kg/m</t>
  </si>
  <si>
    <t xml:space="preserve"> 25mmDIAX20mmDIA</t>
  </si>
  <si>
    <t>LAYING JOINTING INCLUDING</t>
  </si>
  <si>
    <t xml:space="preserve"> 50mmDIAX25mmDIA</t>
  </si>
  <si>
    <t>C.C(1:2:4)USING 3mm-10mm HBSTONE</t>
  </si>
  <si>
    <t>ALIGNING</t>
  </si>
  <si>
    <t xml:space="preserve"> 50mmDIAX32mmDIA</t>
  </si>
  <si>
    <t xml:space="preserve">  3mm-10mm HB STONE JELLY</t>
  </si>
  <si>
    <t xml:space="preserve">COST OF 32MM DIA PVC PIPE </t>
  </si>
  <si>
    <t>ADD 20% FOR PVC/GI SPECIALS</t>
  </si>
  <si>
    <t>29.</t>
  </si>
  <si>
    <t>TRANSPORTING &amp; ERRECTION</t>
  </si>
  <si>
    <t>Ties 6RTS (0.28 x 15 x 0.222 = 0.932 kg)</t>
  </si>
  <si>
    <t>Total      3.065 kg</t>
  </si>
  <si>
    <t>RCC 1:2:4 using 3-10mm HBGS</t>
  </si>
  <si>
    <t xml:space="preserve">steel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</si>
  <si>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</si>
  <si>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</si>
  <si>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</si>
  <si>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</si>
  <si>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</si>
  <si>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</si>
  <si>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</si>
  <si>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</si>
  <si>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</si>
  <si>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Total for 0.5334 Sqm</t>
  </si>
  <si>
    <t>Rate for one Sqm.</t>
  </si>
  <si>
    <t>1285 x 600mm</t>
  </si>
  <si>
    <t>One coat white cement for new walls and other similar works.</t>
  </si>
  <si>
    <t>Glazed tiles</t>
  </si>
  <si>
    <t>Weathering course</t>
  </si>
  <si>
    <t>LABOUR FOR CUTTING 65mm DIA/80mm Dia  *</t>
  </si>
  <si>
    <t xml:space="preserve"> 10"X5/8" I.O ALDROP</t>
  </si>
  <si>
    <t>Rate for 16 steps</t>
  </si>
  <si>
    <t>Rate per 1Rmt.</t>
  </si>
  <si>
    <t>LABOUR FOR THREADING 25mm DIA  *</t>
  </si>
  <si>
    <t>MASON II</t>
  </si>
  <si>
    <t>VARNISH TWO COATS</t>
  </si>
  <si>
    <t>each</t>
  </si>
  <si>
    <t>EACH</t>
  </si>
  <si>
    <t>STEEL DOOR FRAMEOF SIZE 100X200</t>
  </si>
  <si>
    <t>STEEL DOOR FRAMEOF SIZE 90X200</t>
  </si>
  <si>
    <t>STEEL DOOR FRAMEOF SIZE 75X200</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</si>
  <si>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</si>
  <si>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</si>
  <si>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</si>
  <si>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</si>
  <si>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</si>
  <si>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</si>
  <si>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</si>
  <si>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</si>
  <si>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</si>
  <si>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</si>
  <si>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</si>
  <si>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</si>
  <si>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</si>
  <si>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</si>
  <si>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</si>
  <si>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</si>
  <si>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</si>
  <si>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</si>
  <si>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</si>
  <si>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</si>
  <si>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</si>
  <si>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</si>
  <si>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</si>
  <si>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</si>
  <si>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</si>
  <si>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</si>
  <si>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</si>
  <si>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</si>
  <si>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</si>
  <si>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</si>
  <si>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</si>
  <si>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</si>
  <si>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</si>
  <si>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</si>
  <si>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C.</t>
  </si>
  <si>
    <t>AS DIRECTED BY THE DEPT OFFICERS.</t>
  </si>
  <si>
    <t>no</t>
  </si>
  <si>
    <t>C.W.SCANTLING UPTO 4M length (PADAK)</t>
  </si>
  <si>
    <t>PROVIDING ELCB WITH MCB IN MS BOX</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</si>
  <si>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</si>
  <si>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</si>
  <si>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</si>
  <si>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</si>
  <si>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</si>
  <si>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</si>
  <si>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</si>
  <si>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</si>
  <si>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</si>
  <si>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</si>
  <si>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</si>
  <si>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</si>
  <si>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</si>
  <si>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</si>
  <si>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</si>
  <si>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</si>
  <si>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</si>
  <si>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LABOUR CHARGES FOR MIXING</t>
  </si>
  <si>
    <t>16.</t>
  </si>
  <si>
    <t>local</t>
  </si>
  <si>
    <t>COST OF RUBBER ,LUBRICATION,PLUG,CLAMP</t>
  </si>
  <si>
    <t>24.</t>
  </si>
  <si>
    <t>R.T.S. / M.S upto 16mm</t>
  </si>
  <si>
    <t>SHUTTER SIZE0-.9X2.05   =1.845M2</t>
  </si>
  <si>
    <t>ADD 70% FOR PVC/GI SPECIALS</t>
  </si>
  <si>
    <t>RTS/MS upto 16mm dia</t>
  </si>
  <si>
    <t>62.2.b.</t>
  </si>
  <si>
    <t>NYLON BUSH FOR D</t>
  </si>
  <si>
    <t xml:space="preserve">RUN OF 2 WIRES OF 4 SQMM WITH CONTINUOUS EARTHING BY MEANS OF 2.5SQMM FOR A/C </t>
  </si>
  <si>
    <t>SUPPLYING AND FIXING OF A/C METAL CLAD</t>
  </si>
  <si>
    <t xml:space="preserve"> 20mmbrick jelly</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</si>
  <si>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</si>
  <si>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</si>
  <si>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</si>
  <si>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</si>
  <si>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</si>
  <si>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</si>
  <si>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</si>
  <si>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</si>
  <si>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</si>
  <si>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</si>
  <si>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</si>
  <si>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</si>
  <si>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</si>
  <si>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</si>
  <si>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</si>
  <si>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</si>
  <si>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</si>
  <si>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</si>
  <si>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</si>
  <si>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</si>
  <si>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</si>
  <si>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</si>
  <si>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</si>
  <si>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</si>
  <si>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</si>
  <si>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Sqm.</t>
  </si>
  <si>
    <t>ROUND RING</t>
  </si>
  <si>
    <t>MOSAIC FLOORING IN C.M(1:3)</t>
  </si>
  <si>
    <t>STONE CUTTER II</t>
  </si>
  <si>
    <t>MADON I</t>
  </si>
  <si>
    <t>COST OF CLAMPS PLUGS PAINTING</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</si>
  <si>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</si>
  <si>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</si>
  <si>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</si>
  <si>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</si>
  <si>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</si>
  <si>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</si>
  <si>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</si>
  <si>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</si>
  <si>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</si>
  <si>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</si>
  <si>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</si>
  <si>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</si>
  <si>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</si>
  <si>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</si>
  <si>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</si>
  <si>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</si>
  <si>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</si>
  <si>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</si>
  <si>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</si>
  <si>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</si>
  <si>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</si>
  <si>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</si>
  <si>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</si>
  <si>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</si>
  <si>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</si>
  <si>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</si>
  <si>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</si>
  <si>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</si>
  <si>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</si>
  <si>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</si>
  <si>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</si>
  <si>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</si>
  <si>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</si>
  <si>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</si>
  <si>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</si>
  <si>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</si>
  <si>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</si>
  <si>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</si>
  <si>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</si>
  <si>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</si>
  <si>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</si>
  <si>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</si>
  <si>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</si>
  <si>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</si>
  <si>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</si>
  <si>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</si>
  <si>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</si>
  <si>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</si>
  <si>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</si>
  <si>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</si>
  <si>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</si>
  <si>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P.V.C. COUPLER</t>
  </si>
  <si>
    <t>a.</t>
  </si>
  <si>
    <t>supply &amp;fixing of cuddapah sink 600x600x200mmsize</t>
  </si>
  <si>
    <t>P.V.C. CONECTION 1/2"X15"</t>
  </si>
  <si>
    <t>ALU TOWEL RAIL 12mm ,2'LONG</t>
  </si>
  <si>
    <t>CONSTRN. OF INSPECTION</t>
  </si>
  <si>
    <t>LABOUR FOR CUTTING 25mm DIA  *</t>
  </si>
  <si>
    <t>S/F OF 50mmDIA A.C COWL</t>
  </si>
  <si>
    <t>Spreading charges for 2 layers</t>
  </si>
  <si>
    <t>(10.1+7.72)</t>
  </si>
  <si>
    <t>Total for 10 m2</t>
  </si>
  <si>
    <t>for 1 m2</t>
  </si>
  <si>
    <t>S &amp; F of Exsaust Fan 225mm dia</t>
  </si>
  <si>
    <t>COST OF FILLING GRAVEL</t>
  </si>
  <si>
    <t>FINISHING THE TOP OF FLOORING</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</si>
  <si>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</si>
  <si>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</si>
  <si>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</si>
  <si>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</si>
  <si>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</si>
  <si>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</si>
  <si>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</si>
  <si>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</si>
  <si>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</si>
  <si>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</si>
  <si>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as directed by the Dept.Officers.</t>
  </si>
  <si>
    <t>COST OF CERAMIC FLOOR TILES</t>
  </si>
  <si>
    <t>31.</t>
  </si>
  <si>
    <t>JELLY LIME IN RATIO 32:121/2</t>
  </si>
  <si>
    <t>BY VOLUMN WELL WATERING</t>
  </si>
  <si>
    <t xml:space="preserve">RATE PER CUM EXCLUDING REFILLING 
</t>
  </si>
  <si>
    <t>70.3</t>
  </si>
  <si>
    <t>70.4</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</si>
  <si>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</si>
  <si>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</si>
  <si>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</si>
  <si>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</si>
  <si>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</si>
  <si>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</si>
  <si>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</si>
  <si>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</si>
  <si>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</si>
  <si>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</si>
  <si>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</si>
  <si>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</si>
  <si>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</si>
  <si>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</si>
  <si>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</si>
  <si>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</si>
  <si>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</si>
  <si>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</si>
  <si>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</si>
  <si>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</si>
  <si>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</si>
  <si>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</si>
  <si>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</si>
  <si>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</si>
  <si>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B.W IN C.M(1:5)</t>
  </si>
  <si>
    <t>PLASTERING IN C.M(1:3) 12 mmT.K</t>
  </si>
  <si>
    <t>a. 0 to 2 mt.</t>
  </si>
  <si>
    <t xml:space="preserve"> 10"X5/8" ALU. ALDROP</t>
  </si>
  <si>
    <t>NYLON BUSH</t>
  </si>
  <si>
    <t>ALU.HANDLE WITH C.P.SCREWS</t>
  </si>
  <si>
    <t>DOOR STOPPER</t>
  </si>
  <si>
    <t>TOTAL FOR 1.23 SQM</t>
  </si>
  <si>
    <t>I.O HOOKS &amp; EYES6"</t>
  </si>
  <si>
    <t>C.I. SOIL PIPE</t>
  </si>
  <si>
    <t>SUPERCEM PAINTING TWO COATS</t>
  </si>
  <si>
    <t>SUPERCEM</t>
  </si>
  <si>
    <t>SUPLLYING AND FILLING WITH 20MM HBSJ</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</si>
  <si>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</si>
  <si>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</si>
  <si>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</si>
  <si>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</si>
  <si>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</si>
  <si>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</si>
  <si>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</si>
  <si>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</si>
  <si>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</si>
  <si>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</si>
  <si>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</si>
  <si>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</si>
  <si>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</si>
  <si>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</si>
  <si>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</si>
  <si>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</si>
  <si>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</si>
  <si>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</si>
  <si>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</si>
  <si>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</si>
  <si>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</si>
  <si>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</si>
  <si>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</si>
  <si>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</si>
  <si>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</si>
  <si>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</si>
  <si>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</si>
  <si>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</si>
  <si>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</si>
  <si>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Rate for 2.44m</t>
  </si>
  <si>
    <t>C.I. TEE JUNCTION WITHOUT DOOR  75mmDIA</t>
  </si>
  <si>
    <t>Pre cast slab 50mm thick in c.c. 1:3:6 mixed with fibre of size .28 x .28 m , 50mm thick</t>
  </si>
  <si>
    <t xml:space="preserve">   </t>
  </si>
  <si>
    <t>Pcc slab - 500 x .28 x .28 = 39.2 Sq.m</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</si>
  <si>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</si>
  <si>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</si>
  <si>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</si>
  <si>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</si>
  <si>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</si>
  <si>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</si>
  <si>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</si>
  <si>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</si>
  <si>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</si>
  <si>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</si>
  <si>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</si>
  <si>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</si>
  <si>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</si>
  <si>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</si>
  <si>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</si>
  <si>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</si>
  <si>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</si>
  <si>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</si>
  <si>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</si>
  <si>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INCLUDING MOULDING INSTEEL MOULD PRECASTING</t>
  </si>
  <si>
    <t>Tamil Nadu Police Housing Corparation Ltd.</t>
  </si>
  <si>
    <t>=</t>
  </si>
  <si>
    <t>Teak wood Wrought &amp; Put up</t>
  </si>
  <si>
    <t>PROVIDING ANTI-TERMITE TREATMENT</t>
  </si>
  <si>
    <t>Plumber I class</t>
  </si>
  <si>
    <t>C.C(1:8:16)USING 40mm HBS</t>
  </si>
  <si>
    <t>I.W.C. 18" WITH P OR S TRAP WITH FOOT REST</t>
  </si>
  <si>
    <t>BY THE DEPARTMENTAL OFFICERS)</t>
  </si>
  <si>
    <t>3.3</t>
  </si>
  <si>
    <t>20mm brick jelly</t>
  </si>
  <si>
    <t>R.C.C.IN C.C 1:1.5:3</t>
  </si>
  <si>
    <t>FAB OF M.S STEEL</t>
  </si>
  <si>
    <t xml:space="preserve">              2X 3 X 0.7 X 0.075 X 0.0375           = 0.0118</t>
  </si>
  <si>
    <t>PLANKS : 2 X 4 X 0.575 X 0.30 X 0.01875     = 0.0259</t>
  </si>
  <si>
    <t>Kg*</t>
  </si>
  <si>
    <t>CEMENT MORTAR(1:7)</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</si>
  <si>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</si>
  <si>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</si>
  <si>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</si>
  <si>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</si>
  <si>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</si>
  <si>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</si>
  <si>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</si>
  <si>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</si>
  <si>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steel window and ventilaters.</t>
  </si>
  <si>
    <t>Phenol bonded BWR Plywood 9mm</t>
  </si>
  <si>
    <t>LABOUR CHARGE</t>
  </si>
  <si>
    <t xml:space="preserve"> 6"X1/2"ALU.TOWER BOLT</t>
  </si>
  <si>
    <t xml:space="preserve"> 5" ALU.BUTT HINGS</t>
  </si>
  <si>
    <t>1.3</t>
  </si>
  <si>
    <t>PILE DRIVING CHARGES FOR 400mmDIA/450mm DIA</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</si>
  <si>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</si>
  <si>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</si>
  <si>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</si>
  <si>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</si>
  <si>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</si>
  <si>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</si>
  <si>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</si>
  <si>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</si>
  <si>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</si>
  <si>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</si>
  <si>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</si>
  <si>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</si>
  <si>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</si>
  <si>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</si>
  <si>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</si>
  <si>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</si>
  <si>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</si>
  <si>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</si>
  <si>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</si>
  <si>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</si>
  <si>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</si>
  <si>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</si>
  <si>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</si>
  <si>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</si>
  <si>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</si>
  <si>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</si>
  <si>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</si>
  <si>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</si>
  <si>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</si>
  <si>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</si>
  <si>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</si>
  <si>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</si>
  <si>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</si>
  <si>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</si>
  <si>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</si>
  <si>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</si>
  <si>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</si>
  <si>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 xml:space="preserve">PARTITION WALL </t>
  </si>
  <si>
    <t>CUTTING CHARGES</t>
  </si>
  <si>
    <t>Cutting, Transporting , Laying &amp; Pointing charges</t>
  </si>
  <si>
    <t>Packet</t>
  </si>
  <si>
    <t>49.</t>
  </si>
  <si>
    <t>Cost of Picture hooks</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</si>
  <si>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</si>
  <si>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</si>
  <si>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</si>
  <si>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</si>
  <si>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</si>
  <si>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</si>
  <si>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</si>
  <si>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</si>
  <si>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</si>
  <si>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</si>
  <si>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</si>
  <si>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</si>
  <si>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</si>
  <si>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</si>
  <si>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</si>
  <si>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22.</t>
  </si>
  <si>
    <t>PIPES WITH NECESSARY SPECIALS ELBOWS,</t>
  </si>
  <si>
    <t>TEE,REDUCE ,PLUG,UNION,BEND,COUPLE,</t>
  </si>
  <si>
    <t>TOTAL FOR 10CUM</t>
  </si>
  <si>
    <t xml:space="preserve"> 20d</t>
  </si>
  <si>
    <t>DADOING WALL WITH MASAIC</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</si>
  <si>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</si>
  <si>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</si>
  <si>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</si>
  <si>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</si>
  <si>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</si>
  <si>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</si>
  <si>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</si>
  <si>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</si>
  <si>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</si>
  <si>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</si>
  <si>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</si>
  <si>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</si>
  <si>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</si>
  <si>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</si>
  <si>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</si>
  <si>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</si>
  <si>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</si>
  <si>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</si>
  <si>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</si>
  <si>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</si>
  <si>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</si>
  <si>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</si>
  <si>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</si>
  <si>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</si>
  <si>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</si>
  <si>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</si>
  <si>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</si>
  <si>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</si>
  <si>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 xml:space="preserve">                                         - 1X3X1.10X0.075X0.0375 =  0.00928</t>
  </si>
  <si>
    <t>PLANKS      -1X5X0.9625X02825X0.01875=</t>
  </si>
  <si>
    <t>Five horizontal panels</t>
  </si>
  <si>
    <t>Four horizontal &amp; one vertical Panel</t>
  </si>
  <si>
    <t xml:space="preserve">             -1X1X0.675X0.2825X0.01875=</t>
  </si>
  <si>
    <t>WIDE&amp;12 to 25mm thick</t>
  </si>
  <si>
    <t>WEATHERING COURSE</t>
  </si>
  <si>
    <t xml:space="preserve"> 6"x1/2" Alu. Aldrops</t>
  </si>
  <si>
    <t xml:space="preserve"> 40mm HBS JELLY</t>
  </si>
  <si>
    <t>SUPPLYING AND FIXING</t>
  </si>
  <si>
    <t>TAILNUT FOR BOLT</t>
  </si>
  <si>
    <t xml:space="preserve"> 150mm DIA</t>
  </si>
  <si>
    <t>C.I. SOIL BEND</t>
  </si>
  <si>
    <t>PLASTERING C.M(1:2) 10mmTHICK</t>
  </si>
  <si>
    <t xml:space="preserve">SUPPLY AND FIXING OF P.V.C. </t>
  </si>
  <si>
    <t xml:space="preserve"> PVC NAHANI TRAP (4WAY/2WAY)</t>
  </si>
  <si>
    <t>G.I. PIPE B  CLASS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</si>
  <si>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</si>
  <si>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</si>
  <si>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</si>
  <si>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</si>
  <si>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</si>
  <si>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</si>
  <si>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</si>
  <si>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</si>
  <si>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EXCAVATED EARTH</t>
  </si>
  <si>
    <t>DAMP PROOF COURSE IN C.M(1:4),12mm thick</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</si>
  <si>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</si>
  <si>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</si>
  <si>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</si>
  <si>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</si>
  <si>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</si>
  <si>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</si>
  <si>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</si>
  <si>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</si>
  <si>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</si>
  <si>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</si>
  <si>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</si>
  <si>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</si>
  <si>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</si>
  <si>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</si>
  <si>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</si>
  <si>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</si>
  <si>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</si>
  <si>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</si>
  <si>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</si>
  <si>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</si>
  <si>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</si>
  <si>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Local</t>
  </si>
  <si>
    <t>TOTAL FOR 90RMT</t>
  </si>
  <si>
    <t>RUN OF MAIN WITH 2NO OF 1.50sq.mm WIRE</t>
  </si>
  <si>
    <t>JELLY FOR ALL RCCWORK</t>
  </si>
  <si>
    <t>Sundries</t>
  </si>
  <si>
    <t xml:space="preserve"> (1.08SQM LABOUR =.25CARPENTER-II)</t>
  </si>
  <si>
    <t>SURFACES FOR SMALL QTY such as sunshade etc</t>
  </si>
  <si>
    <t xml:space="preserve"> 40mm HGJ jelly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</si>
  <si>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</si>
  <si>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</si>
  <si>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</si>
  <si>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</si>
  <si>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</si>
  <si>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</si>
  <si>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</si>
  <si>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</si>
  <si>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</si>
  <si>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</si>
  <si>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</si>
  <si>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</si>
  <si>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</si>
  <si>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                                                                                                                                                                                                                                                                                                                                                                                                                                                                                                                                                                                                                                                                                                                                                                                                                                                                                                                                                                                                                                                                                                                                                                                                                                                                                                                                                                                                                                                                                                                                                                                                                                                                                                                                                                                                                                                                                                                                                                                                                                                                                                                                                                                                                                                                                                                                                                                                                                                                                                                                                                                                                                                                                                                                                                                                                                                                                                                                                                                                                                                                                                                                                                                                                                                                                                                                                                                                                                                                                                                                                                                                                                                                                                                                                                                                                                                                                                                                                                                                                                                                                                                                                                                                                                                                                                                                                                                                                                                                                                                                                                                                                                                                                                                                                                                                                                                                                                                                                                                                                                                                                                                                                                                                                                                                                                                                                                                                                                                                                                                                                                                          </t>
  </si>
  <si>
    <t>0.5 Sqmm copper twin core flex wire</t>
  </si>
  <si>
    <t xml:space="preserve">Sundries </t>
  </si>
  <si>
    <t>Supplying and fixing of water tight bulk head fittings with guard suitable for 60 / 100 watts including necessary connections, cost of materials, etc., All complete.</t>
  </si>
  <si>
    <t>Total For 1 No</t>
  </si>
  <si>
    <t>Aluminium Ventilator 1.285x0.60m</t>
  </si>
  <si>
    <t>Data based on Police Acadamy</t>
  </si>
  <si>
    <t>PVC rigid conduit pipe 19 mm / 20mm heavy duty with ISI mark</t>
  </si>
  <si>
    <t>1 Rmt</t>
  </si>
  <si>
    <t>19 mm PVC rigid bends</t>
  </si>
  <si>
    <t xml:space="preserve">BWR DOUBLE LEAF 2/3 Glazed and 1/3 PANELLED </t>
  </si>
  <si>
    <t>5.5 MM THK. GLASS                -2X2X0.5875X0.25</t>
  </si>
  <si>
    <t>PLANKS              -1X2X0.5625X0.25x0.01875</t>
  </si>
  <si>
    <t>T.W. Beeding  - 2 x 2 x 1.675</t>
  </si>
  <si>
    <t>RAILS(BELOW 2M)- 1X4X1.10X0.15X0.0375=      0.02475</t>
  </si>
  <si>
    <t xml:space="preserve">                                         - 1X2X0.74X0.075X0.0375 =  0.00416</t>
  </si>
  <si>
    <t>PLANKS      -1X4X0.60625X02825X0.01875=0.01284</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</si>
  <si>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</si>
  <si>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Rate for 1 Rmt</t>
  </si>
  <si>
    <t>Total for 10 points</t>
  </si>
  <si>
    <t>Rate for 1 points</t>
  </si>
  <si>
    <t>1200 x 2100mm</t>
  </si>
  <si>
    <t xml:space="preserve">SHUTTER SIZE0-1.1 X 2.05  </t>
  </si>
  <si>
    <t>Plywood      -1X2X0.625X0.425</t>
  </si>
  <si>
    <t>Plywood      -1X2X1.025X0.425</t>
  </si>
  <si>
    <t>DOOR OF SIZE 1200 X2100 MM Double leaf</t>
  </si>
  <si>
    <t>5 A flush type two way switches ( Staircase switch )</t>
  </si>
  <si>
    <t>MS box  150x 100 x 75 mm</t>
  </si>
  <si>
    <t xml:space="preserve">Total for Data 1 excluding sundries </t>
  </si>
  <si>
    <t>Deduct cost of ceiling rose 10 Nos</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</si>
  <si>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</si>
  <si>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</si>
  <si>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</si>
  <si>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</si>
  <si>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</si>
  <si>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</si>
  <si>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</si>
  <si>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</si>
  <si>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</si>
  <si>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</si>
  <si>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</si>
  <si>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</si>
  <si>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</si>
  <si>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</si>
  <si>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</si>
  <si>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</si>
  <si>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</si>
  <si>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</si>
  <si>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</si>
  <si>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Supplying and fixing of Three phase ELCB</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</si>
  <si>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</si>
  <si>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1.5 sqmm copper PVC insulated unsheathed single core cable</t>
  </si>
  <si>
    <t xml:space="preserve"> Rmt</t>
  </si>
  <si>
    <t xml:space="preserve">3 mm thick laminated Hylem sheet </t>
  </si>
  <si>
    <t>Total for 5 points</t>
  </si>
  <si>
    <t>Lit</t>
  </si>
  <si>
    <t>PAINTING TWO COATS OVER OLD</t>
  </si>
  <si>
    <t>WITH C.M(1:5)20mm THICK</t>
  </si>
  <si>
    <t xml:space="preserve">M.S VENTILATOR OF SIZE -1285 X 600mm ( 1 No ) </t>
  </si>
  <si>
    <t xml:space="preserve">ALROUND M.S FLAT OF SIZE 50 X 10mm      = 3.77 M X 3.9 Kg/Met </t>
  </si>
  <si>
    <t>SQUARE BARS OF SIZE 20 x 20mm               =12Nos X 0.6M 3.14 Kg/Met</t>
  </si>
  <si>
    <t>Ceiling rose</t>
  </si>
  <si>
    <t>Bag</t>
  </si>
  <si>
    <t>Gross</t>
  </si>
  <si>
    <t>1.5 sqmm copper PVC insulated unsheathed single core cable for continuous earth connection</t>
  </si>
  <si>
    <t>Providing earthing satation using pipe electro as per IS 3043 using 40 mm dia 'B' class GI pipe strickly in accordance with IS3043 including cost of all materials</t>
  </si>
  <si>
    <t>Funnel, GI Nuts, Bolts,Washers and check nuts.</t>
  </si>
  <si>
    <t>C.I Cover(30 x 30cm)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</si>
  <si>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</si>
  <si>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1000 nos</t>
  </si>
  <si>
    <t>19 mm MS clamp</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</si>
  <si>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</si>
  <si>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</si>
  <si>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</si>
  <si>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</si>
  <si>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PVC WATER TANK OF 200 LITRE CAPACITY</t>
  </si>
  <si>
    <t>For 1 Rmt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</si>
  <si>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</si>
  <si>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</si>
  <si>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</si>
  <si>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</si>
  <si>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</si>
  <si>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</si>
  <si>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</si>
  <si>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</si>
  <si>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</si>
  <si>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</si>
  <si>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</si>
  <si>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Mazdoor I Class</t>
  </si>
  <si>
    <t>Mazdoor II Class</t>
  </si>
  <si>
    <t>Rate per sqm</t>
  </si>
  <si>
    <t>Providing rajasthan kota stone of 20mm thick in C.M 1:3</t>
  </si>
  <si>
    <t>Deduct cost of Hylem sheet</t>
  </si>
  <si>
    <t>Fittings</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</si>
  <si>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</si>
  <si>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</si>
  <si>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</si>
  <si>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</si>
  <si>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</si>
  <si>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</si>
  <si>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549A</t>
  </si>
  <si>
    <t>Aluminium window Fixed 0.90x2.10m</t>
  </si>
  <si>
    <t>Aluminium Ventilator 0.90x0.60m</t>
  </si>
  <si>
    <t>Aluminium Ventilator 1.35x0.60m</t>
  </si>
  <si>
    <t>Labour charges ( as per data No:30)</t>
  </si>
  <si>
    <t>Rate for Three phase ELCB</t>
  </si>
  <si>
    <t xml:space="preserve">Rate for each </t>
  </si>
  <si>
    <t>Supply of ceiling fan 1200mm</t>
  </si>
  <si>
    <t>Thorough scrapping the old wall</t>
  </si>
  <si>
    <t>22.3.1</t>
  </si>
  <si>
    <t xml:space="preserve">COST OF40MM DIA PVC PIPE </t>
  </si>
  <si>
    <t>A.C. sheet 6mm thick fully corrugated</t>
  </si>
  <si>
    <t>Pigment</t>
  </si>
  <si>
    <t>Colour pigment</t>
  </si>
  <si>
    <t>Bricks of size 22x11x7 cm</t>
  </si>
  <si>
    <t xml:space="preserve"> 20mm DIA----DO----2.9mm / 20 mm G.I. pipe</t>
  </si>
  <si>
    <t>PARTITION WALL OF 110 mm thick</t>
  </si>
  <si>
    <t>Deduct 1.5 Sqmm copper PVC insulated unsheathed S.C. cable</t>
  </si>
  <si>
    <t>Total for 90 metres</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</si>
  <si>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</si>
  <si>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3 mm thick laminated Hylem sheet (10X0.1X0.1)</t>
  </si>
  <si>
    <t>Sundries 1% on materials</t>
  </si>
  <si>
    <t>Add Sundries 1%</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</si>
  <si>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</si>
  <si>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</si>
  <si>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</si>
  <si>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</si>
  <si>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</si>
  <si>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</si>
  <si>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</si>
  <si>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</si>
  <si>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</si>
  <si>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</si>
  <si>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</si>
  <si>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</si>
  <si>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</si>
  <si>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t>
  </si>
  <si>
    <t>40 mm dia GI pipe "B"class</t>
  </si>
  <si>
    <t>*2</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</si>
  <si>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</si>
  <si>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</si>
  <si>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</si>
  <si>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</si>
  <si>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</si>
  <si>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 xml:space="preserve">Total as per Data No. </t>
  </si>
  <si>
    <t>T.W SCANTLING above 2m</t>
  </si>
  <si>
    <t>Rate for 1 point</t>
  </si>
  <si>
    <t>STYLES(OVER 2M) -1X2X2.05X0.125X0.0375=0.01922</t>
  </si>
  <si>
    <t>PARTITION WALL OF 114 mm thick</t>
  </si>
  <si>
    <t>b</t>
  </si>
  <si>
    <t>Sub-Data</t>
  </si>
  <si>
    <t>Rate for 1 Sqm</t>
  </si>
  <si>
    <t>Add 180 mt 2.5 Sqmm copper PVC insulated unsheathed S.C. cable</t>
  </si>
  <si>
    <t>M.S FLAT OF SIZE 25 X 6mm HORIZONTAL = 1 X 2 X1.285 x 1.2 Kg/Met</t>
  </si>
  <si>
    <t>Loose soil</t>
  </si>
  <si>
    <t xml:space="preserve">Hylem sheet 3 mm thick with lamination </t>
  </si>
  <si>
    <t>5 amps flush type switch</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</si>
  <si>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</si>
  <si>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</si>
  <si>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</si>
  <si>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</si>
  <si>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</si>
  <si>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</si>
  <si>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</si>
  <si>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</si>
  <si>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</si>
  <si>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</si>
  <si>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</si>
  <si>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</si>
  <si>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</si>
  <si>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</si>
  <si>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</si>
  <si>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</si>
  <si>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</si>
  <si>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</si>
  <si>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</si>
  <si>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</si>
  <si>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</si>
  <si>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</si>
  <si>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</si>
  <si>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</si>
  <si>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</si>
  <si>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</si>
  <si>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</si>
  <si>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</si>
  <si>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</si>
  <si>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</si>
  <si>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</si>
  <si>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</si>
  <si>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</si>
  <si>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Total for 10 Points</t>
  </si>
  <si>
    <t>Points</t>
  </si>
  <si>
    <t>Rate for 1 Point</t>
  </si>
  <si>
    <t>Tatal for 90 Rmts</t>
  </si>
  <si>
    <t>4 x 4  Sq mm copper PVC insulated unsheathed single core cable for 3 phase EB service connection</t>
  </si>
  <si>
    <t>19 mm PVC rigid tees</t>
  </si>
  <si>
    <t>Dozen</t>
  </si>
  <si>
    <t xml:space="preserve">                                                                 </t>
  </si>
  <si>
    <t xml:space="preserve">SHUTTER SIZE-1X.75X2.3125                                                                                 </t>
  </si>
  <si>
    <t>Matt paint one coat</t>
  </si>
  <si>
    <t>Thorough scrapping</t>
  </si>
  <si>
    <t>SHUTTER SIZE-1.10X2.05   =2.255M2</t>
  </si>
  <si>
    <t>PLANKS      -1X1X0.975X02825X0.01875=0.00516</t>
  </si>
  <si>
    <t>TOTAL FOR 2.255SQM</t>
  </si>
  <si>
    <t>TOTAL FOR 2.2275SQM</t>
  </si>
  <si>
    <t>&amp; one vertical panel</t>
  </si>
  <si>
    <t xml:space="preserve">Four horizontal panels </t>
  </si>
  <si>
    <t>COST Of acid proof tile (as per Krishnagiri DPO)</t>
  </si>
  <si>
    <t>m</t>
  </si>
  <si>
    <t>Supplying and laying of 8 SWG GI wire on walls/below ground level with necessary 'U' nails/ earth work excavation and re- filling etc., including cost of all materials, all complete.</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</si>
  <si>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</si>
  <si>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</si>
  <si>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</si>
  <si>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</si>
  <si>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</si>
  <si>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</si>
  <si>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</si>
  <si>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</si>
  <si>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</si>
  <si>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</si>
  <si>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</si>
  <si>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</si>
  <si>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</si>
  <si>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</si>
  <si>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</si>
  <si>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</si>
  <si>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</si>
  <si>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</si>
  <si>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</si>
  <si>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</si>
  <si>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</si>
  <si>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</si>
  <si>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</si>
  <si>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</si>
  <si>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</si>
  <si>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</si>
  <si>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</si>
  <si>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</si>
  <si>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</si>
  <si>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</si>
  <si>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</si>
  <si>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</si>
  <si>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</si>
  <si>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</si>
  <si>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</si>
  <si>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</si>
  <si>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</si>
  <si>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</si>
  <si>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</si>
  <si>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</si>
  <si>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</si>
  <si>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</si>
  <si>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</si>
  <si>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</si>
  <si>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</si>
  <si>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</si>
  <si>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</si>
  <si>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</si>
  <si>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</si>
  <si>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</si>
  <si>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</si>
  <si>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TOTAL RS.</t>
  </si>
  <si>
    <t>Run of 2 Wires of 4 sqmm PVC insulated single core multi strand fire retardant flexible copper cable with ISI mark confirming IS: 694:1990.</t>
  </si>
  <si>
    <t>21.5.2</t>
  </si>
  <si>
    <t xml:space="preserve"> 65mm DIA TWAD p 25</t>
  </si>
  <si>
    <t xml:space="preserve"> 65mm DIA twad p25</t>
  </si>
  <si>
    <t>6" Alu. DOOR HANDLE  p41 80b</t>
  </si>
  <si>
    <t xml:space="preserve">  5"BUTT HINGS p40 77a</t>
  </si>
  <si>
    <t>10"X1/2"TOWER BOLT p 40 78c</t>
  </si>
  <si>
    <t>12"X5/8"ALDROP p41 79a</t>
  </si>
  <si>
    <t>ALU.HANDLE WITH C.P.SCREWS150mm long</t>
  </si>
  <si>
    <t>WIDE&amp;12TO25mm T.K p19 sl.110</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</si>
  <si>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</si>
  <si>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</si>
  <si>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</si>
  <si>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</si>
  <si>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</si>
  <si>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</si>
  <si>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</si>
  <si>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</si>
  <si>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</si>
  <si>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</si>
  <si>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</si>
  <si>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</si>
  <si>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</si>
  <si>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</si>
  <si>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</si>
  <si>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</si>
  <si>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</si>
  <si>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</si>
  <si>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</si>
  <si>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</si>
  <si>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5th</t>
  </si>
  <si>
    <t>6th</t>
  </si>
  <si>
    <t>7th</t>
  </si>
  <si>
    <t>8th</t>
  </si>
  <si>
    <t>Cement Concrete using design mix of grade M25 concrete for all RCC works</t>
  </si>
  <si>
    <t>10mmH.B.JELLY</t>
  </si>
  <si>
    <t>In Foundation and Basement</t>
  </si>
  <si>
    <t>9th</t>
  </si>
  <si>
    <t>10th</t>
  </si>
  <si>
    <t xml:space="preserve">8th </t>
  </si>
  <si>
    <t>COST OFSTONE DUST</t>
  </si>
  <si>
    <t>Foundation &amp; Basement</t>
  </si>
  <si>
    <t xml:space="preserve"> 50MM DIA PVC PIPE ABOVE G.L:-</t>
  </si>
  <si>
    <t xml:space="preserve">COST OF 50MM DIA PVC PIPE </t>
  </si>
  <si>
    <t xml:space="preserve">COST OF50MM DIA PVC PIPE </t>
  </si>
  <si>
    <t>50mm</t>
  </si>
  <si>
    <t>Pipe</t>
  </si>
  <si>
    <t>COST OF matt finish wall of 12x12
(Quotation rate)</t>
  </si>
  <si>
    <t>COST OF  TILES (Quotation rate)</t>
  </si>
  <si>
    <t>Mazdoor IIst</t>
  </si>
  <si>
    <t>Pointing the joint</t>
  </si>
  <si>
    <t>Mason IIst</t>
  </si>
  <si>
    <t>Vertified tile flooring IVORY</t>
  </si>
  <si>
    <t xml:space="preserve">Each </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</si>
  <si>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</si>
  <si>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</si>
  <si>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</si>
  <si>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</si>
  <si>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</si>
  <si>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</si>
  <si>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</si>
  <si>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</si>
  <si>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</si>
  <si>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</si>
  <si>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</si>
  <si>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</si>
  <si>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</si>
  <si>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</si>
  <si>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</si>
  <si>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</si>
  <si>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</si>
  <si>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</si>
  <si>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</si>
  <si>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</si>
  <si>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</si>
  <si>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</si>
  <si>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</si>
  <si>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</si>
  <si>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</si>
  <si>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</si>
  <si>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</si>
  <si>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</si>
  <si>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</si>
  <si>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</si>
  <si>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</si>
  <si>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</si>
  <si>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</si>
  <si>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</si>
  <si>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</si>
  <si>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</si>
  <si>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</si>
  <si>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</si>
  <si>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</si>
  <si>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</si>
  <si>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</si>
  <si>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</si>
  <si>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</si>
  <si>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</si>
  <si>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</si>
  <si>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</si>
  <si>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</si>
  <si>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</si>
  <si>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</si>
  <si>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</si>
  <si>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</si>
  <si>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</si>
  <si>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</si>
  <si>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</si>
  <si>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1 Cum</t>
  </si>
  <si>
    <t>Plastering with CM 1:3, 12mm with WPC</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</si>
  <si>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</si>
  <si>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</si>
  <si>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</si>
  <si>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</si>
  <si>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</si>
  <si>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</si>
  <si>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</si>
  <si>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</si>
  <si>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</si>
  <si>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</si>
  <si>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</si>
  <si>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</si>
  <si>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</si>
  <si>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</si>
  <si>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</si>
  <si>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</si>
  <si>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</si>
  <si>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</si>
  <si>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</si>
  <si>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</si>
  <si>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</si>
  <si>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</si>
  <si>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</si>
  <si>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</si>
  <si>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</si>
  <si>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</si>
  <si>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</si>
  <si>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</si>
  <si>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</si>
  <si>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</si>
  <si>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</si>
  <si>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Base concrete 1:2:4 (6-10mm thick metal)</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</si>
  <si>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</si>
  <si>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</si>
  <si>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</si>
  <si>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</si>
  <si>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</si>
  <si>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</si>
  <si>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</si>
  <si>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</si>
  <si>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</si>
  <si>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</si>
  <si>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</si>
  <si>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</si>
  <si>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</si>
  <si>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</si>
  <si>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</si>
  <si>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</si>
  <si>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</si>
  <si>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</si>
  <si>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</si>
  <si>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</si>
  <si>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</si>
  <si>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</si>
  <si>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</si>
  <si>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</si>
  <si>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</si>
  <si>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</si>
  <si>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</si>
  <si>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3 to 4</t>
  </si>
  <si>
    <t>4 to 5</t>
  </si>
  <si>
    <t>STYLES(OVER 2M) -1X2X2.05X0.075X0.0375</t>
  </si>
  <si>
    <t>RAILS(BELOW 2M)- 1X3X1.1X0.15X0.0375</t>
  </si>
  <si>
    <t>Plywood      -1X1X0.625X0.975</t>
  </si>
  <si>
    <t>S &amp; F of Granite tile of size 2'x1', 10mm Thick For kitchen arrangements (Ruby red)</t>
  </si>
  <si>
    <t>RED OXIDE p37/i24</t>
  </si>
  <si>
    <t>TW single leaf french window</t>
  </si>
  <si>
    <t xml:space="preserve">shutter  for frame of overall height 3.08 x 2.1cm </t>
  </si>
  <si>
    <t>LABOUR CHARGE for wroght &amp; put up</t>
  </si>
  <si>
    <t>4 mm thicj frosted glass</t>
  </si>
  <si>
    <t>6" Handles ( 150mm long)</t>
  </si>
  <si>
    <t>TOTAL FOR 5.16 SQM</t>
  </si>
  <si>
    <t>Satheleri Grey</t>
  </si>
  <si>
    <t>a. 110 mm UPVC Non Pressure  pipe</t>
  </si>
  <si>
    <t>UPVC instead of Stone ware Pipe</t>
  </si>
  <si>
    <t>SUPPLYING AND  LAYING AND</t>
  </si>
  <si>
    <t>JOINTING SN8 UPVC PIPE AND SPECIALS</t>
  </si>
  <si>
    <t>110mm DIA  UPVC PIPE BELOW G.L</t>
  </si>
  <si>
    <t>160mm DIA  UPVC PIPE BELOW G.L</t>
  </si>
  <si>
    <t>STYLES(OVER 2M) -1X4X2.05X0.075X0.0375</t>
  </si>
  <si>
    <t>RAILS(BELOW 2M)- 2X3X0.55X0.15X0.0375</t>
  </si>
  <si>
    <t>TW Panelled Swing type ventilater</t>
  </si>
  <si>
    <t>of size 75x 75cm</t>
  </si>
  <si>
    <t xml:space="preserve">SHUTTER SIZE-0.65X0.65                                                                                 </t>
  </si>
  <si>
    <t xml:space="preserve">Top &amp; Intermediate 2X3X7.5255X0.15X0.0375       </t>
  </si>
  <si>
    <t>Providing cooling tiles over terrace floor</t>
  </si>
  <si>
    <t>Pointing with CM 1:3</t>
  </si>
  <si>
    <t xml:space="preserve">TOTAL </t>
  </si>
  <si>
    <t>PARTITION WALL OF 75mm thick</t>
  </si>
  <si>
    <t>d448</t>
  </si>
  <si>
    <t>With Brass Filltings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</si>
  <si>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</si>
  <si>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</si>
  <si>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</si>
  <si>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</si>
  <si>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</si>
  <si>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</si>
  <si>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</si>
  <si>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</si>
  <si>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</si>
  <si>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</si>
  <si>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</si>
  <si>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</si>
  <si>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</si>
  <si>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</si>
  <si>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</si>
  <si>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</si>
  <si>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</si>
  <si>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</si>
  <si>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</si>
  <si>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</si>
  <si>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</si>
  <si>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</si>
  <si>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</si>
  <si>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</si>
  <si>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</si>
  <si>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</si>
  <si>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</si>
  <si>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</si>
  <si>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</si>
  <si>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</si>
  <si>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</si>
  <si>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</si>
  <si>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</si>
  <si>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</si>
  <si>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</si>
  <si>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</si>
  <si>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</si>
  <si>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</si>
  <si>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</si>
  <si>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</si>
  <si>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</si>
  <si>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</si>
  <si>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</si>
  <si>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</si>
  <si>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</si>
  <si>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</si>
  <si>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</si>
  <si>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</si>
  <si>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</si>
  <si>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</si>
  <si>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</si>
  <si>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</si>
  <si>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</si>
  <si>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</si>
  <si>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</si>
  <si>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</si>
  <si>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</si>
  <si>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</si>
  <si>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</si>
  <si>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</si>
  <si>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</si>
  <si>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</si>
  <si>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</si>
  <si>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</si>
  <si>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</si>
  <si>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</si>
  <si>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</si>
  <si>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</si>
  <si>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</si>
  <si>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</si>
  <si>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</si>
  <si>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Colour Pigment</t>
  </si>
  <si>
    <t>DATA</t>
  </si>
  <si>
    <t>TAMILNADU POLICE HOUSING CORPORATION LIMITED</t>
  </si>
  <si>
    <t xml:space="preserve">Providing Colour Marble chips of size 10mm and below using 70.20Kgs of cement and 15 cum of Colour Marble chips for every 10 sqm over the existing plastered surface </t>
  </si>
  <si>
    <t xml:space="preserve">Colour Pigment </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</si>
  <si>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</si>
  <si>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</si>
  <si>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</si>
  <si>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</si>
  <si>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</si>
  <si>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</si>
  <si>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</si>
  <si>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</si>
  <si>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t>Plasticiser /Super plasticiser @ .60% of cement (P57 item NO.198</t>
  </si>
  <si>
    <t>Total for 10 cum</t>
  </si>
  <si>
    <t>for 1 cum</t>
  </si>
  <si>
    <t>Sub Total</t>
  </si>
  <si>
    <t>Add for water charges &amp; other sundries (0.5 % of sub total</t>
  </si>
  <si>
    <t>OF STEEL M 2</t>
  </si>
  <si>
    <t>Plasticiser /Super plasticiser @ 1% of cement</t>
  </si>
  <si>
    <t>Fourth .floor</t>
  </si>
  <si>
    <t>4.1.1</t>
  </si>
  <si>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</si>
  <si>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</si>
  <si>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</si>
  <si>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</si>
  <si>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</si>
  <si>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</si>
  <si>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</si>
  <si>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</si>
  <si>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</si>
  <si>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</si>
  <si>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</si>
  <si>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</si>
  <si>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</si>
  <si>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</si>
  <si>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</si>
  <si>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</si>
  <si>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</si>
  <si>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</si>
  <si>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</si>
  <si>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</si>
  <si>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</si>
  <si>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</si>
  <si>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</si>
  <si>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</si>
  <si>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</si>
  <si>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</si>
  <si>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</si>
  <si>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</si>
  <si>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</si>
  <si>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</si>
  <si>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</si>
  <si>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</si>
  <si>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</si>
  <si>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</si>
  <si>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</si>
  <si>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</si>
  <si>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</si>
  <si>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</si>
  <si>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</si>
  <si>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</si>
  <si>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</si>
  <si>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</si>
  <si>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</si>
  <si>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</si>
  <si>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</si>
  <si>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</si>
  <si>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</si>
  <si>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</si>
  <si>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</si>
  <si>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</si>
  <si>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</si>
  <si>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</si>
  <si>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</si>
  <si>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</si>
  <si>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</si>
  <si>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</si>
  <si>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</si>
  <si>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</si>
  <si>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</si>
  <si>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</si>
  <si>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</si>
  <si>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</si>
  <si>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</si>
  <si>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</si>
  <si>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</si>
  <si>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</si>
  <si>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</si>
  <si>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</si>
  <si>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</si>
  <si>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</si>
  <si>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</si>
  <si>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Rubber beeding it-64 p-39</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</si>
  <si>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</si>
  <si>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</si>
  <si>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</si>
  <si>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</si>
  <si>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</si>
  <si>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</si>
  <si>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</si>
  <si>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</si>
  <si>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</si>
  <si>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</si>
  <si>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</si>
  <si>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</si>
  <si>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</si>
  <si>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</si>
  <si>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</si>
  <si>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</si>
  <si>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</si>
  <si>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</si>
  <si>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</si>
  <si>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</si>
  <si>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</si>
  <si>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</si>
  <si>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</si>
  <si>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</si>
  <si>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</si>
  <si>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</si>
  <si>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</si>
  <si>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</si>
  <si>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</si>
  <si>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</si>
  <si>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EUROPEAN WATER CLOSET WITH "P" OR "S" TRAP WITH DOUBLE FLAPPED SEAT AND SEAT COVER WITH BRASS HINGES AND 10LIT CAPACITY PVC L;OW LEVEL FLUSHING TANK WITH ALL INTERNAL FITTINGS p-48</t>
  </si>
  <si>
    <t>P.V.C DOOR TEE 110MM p-61 D-c</t>
  </si>
  <si>
    <t xml:space="preserve">Standardised concrete mix M30 </t>
  </si>
  <si>
    <t>Standardised concrete mix M30  using 20mmHB JELLY ( witt out vibrating charges)</t>
  </si>
  <si>
    <t>Standardised concrete mix M30</t>
  </si>
  <si>
    <t>Requirement of 16 SWG MS sheet :</t>
  </si>
  <si>
    <t>Requirement of angle iron:</t>
  </si>
  <si>
    <t>Channel size 75mm x 40mm</t>
  </si>
  <si>
    <t>Copper requirement:</t>
  </si>
  <si>
    <t>Copper bus by 25mm x 3mm copper Flats for phases</t>
  </si>
  <si>
    <t xml:space="preserve"> and neutral  </t>
  </si>
  <si>
    <t>Amp</t>
  </si>
  <si>
    <t>6mm thick Hylam sheet for fixing energy metrs</t>
  </si>
  <si>
    <t>sq.ft.</t>
  </si>
  <si>
    <t>Sq.ft</t>
  </si>
  <si>
    <t>Mtrs.</t>
  </si>
  <si>
    <t>Mtr.</t>
  </si>
  <si>
    <t>Lettering charges</t>
  </si>
  <si>
    <t>Sundries 2% such as bolts, nuts, washers, insulation tape, PVC sleeves etc.</t>
  </si>
  <si>
    <t>Transport charges</t>
  </si>
  <si>
    <t>Erection charges</t>
  </si>
  <si>
    <t>Aluminium window openable 1.20x1.05m (Two leaves)</t>
  </si>
  <si>
    <t>Aluminium section H</t>
  </si>
  <si>
    <t>Aluminium section  Z</t>
  </si>
  <si>
    <t>Aluminium section intermediate</t>
  </si>
  <si>
    <t>Clip Beeding</t>
  </si>
  <si>
    <t>Max hinges 10"/ 1</t>
  </si>
  <si>
    <t>Sets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</si>
  <si>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</si>
  <si>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</si>
  <si>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</si>
  <si>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</si>
  <si>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</si>
  <si>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</si>
  <si>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</si>
  <si>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</si>
  <si>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</si>
  <si>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</si>
  <si>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</si>
  <si>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</si>
  <si>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</si>
  <si>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</si>
  <si>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</si>
  <si>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</si>
  <si>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</si>
  <si>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</si>
  <si>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</si>
  <si>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</si>
  <si>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</si>
  <si>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</si>
  <si>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</si>
  <si>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</si>
  <si>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</si>
  <si>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</si>
  <si>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</si>
  <si>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</si>
  <si>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</si>
  <si>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</si>
  <si>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</si>
  <si>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</si>
  <si>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 xml:space="preserve">Providing PVC Tee with end cap </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</si>
  <si>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</si>
  <si>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</si>
  <si>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</si>
  <si>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</si>
  <si>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</si>
  <si>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</si>
  <si>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</si>
  <si>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</si>
  <si>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</si>
  <si>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</si>
  <si>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</si>
  <si>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</si>
  <si>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</si>
  <si>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</si>
  <si>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</si>
  <si>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</si>
  <si>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</si>
  <si>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</si>
  <si>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</si>
  <si>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3 No of 30 amps MCB ( Part-L, P-93  6-a havells)</t>
  </si>
  <si>
    <t>Three phase ELCB P-94 10 a</t>
  </si>
  <si>
    <t>Tw Plugs (p 91 p J e)</t>
  </si>
  <si>
    <t xml:space="preserve">12th </t>
  </si>
  <si>
    <t>13th</t>
  </si>
  <si>
    <t xml:space="preserve">Old RCC Door frame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</si>
  <si>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</si>
  <si>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</si>
  <si>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</si>
  <si>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</si>
  <si>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</si>
  <si>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</si>
  <si>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</si>
  <si>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</si>
  <si>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</si>
  <si>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</si>
  <si>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</si>
  <si>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</si>
  <si>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</si>
  <si>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</si>
  <si>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</si>
  <si>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</si>
  <si>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</si>
  <si>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</si>
  <si>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</si>
  <si>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</si>
  <si>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</si>
  <si>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</si>
  <si>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</si>
  <si>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</si>
  <si>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</si>
  <si>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</si>
  <si>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</si>
  <si>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</si>
  <si>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Crushed Stone SAND FOR FILLING</t>
  </si>
  <si>
    <t>Flush door shutter size 900x2100 ( Single leaf)</t>
  </si>
  <si>
    <t>Rate for 1.62 Sqm</t>
  </si>
  <si>
    <t>Solid core flush door shutter with TW plain</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</si>
  <si>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</si>
  <si>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</si>
  <si>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</si>
  <si>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</si>
  <si>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</si>
  <si>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</si>
  <si>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</si>
  <si>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</si>
  <si>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</si>
  <si>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</si>
  <si>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</si>
  <si>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</si>
  <si>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</si>
  <si>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</si>
  <si>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</si>
  <si>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</si>
  <si>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</si>
  <si>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</si>
  <si>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</si>
  <si>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BWR   single leaf</t>
  </si>
  <si>
    <t>TOTAL FOR 1.845SQM</t>
  </si>
  <si>
    <t xml:space="preserve">RCC door </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</si>
  <si>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</si>
  <si>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</si>
  <si>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</si>
  <si>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</si>
  <si>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</si>
  <si>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</si>
  <si>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</si>
  <si>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</si>
  <si>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</si>
  <si>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</si>
  <si>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</si>
  <si>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</si>
  <si>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</si>
  <si>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</si>
  <si>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</si>
  <si>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</si>
  <si>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</si>
  <si>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</si>
  <si>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</si>
  <si>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</si>
  <si>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</si>
  <si>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</si>
  <si>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</si>
  <si>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</si>
  <si>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</si>
  <si>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</si>
  <si>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</si>
  <si>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</si>
  <si>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</si>
  <si>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</si>
  <si>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</si>
  <si>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</si>
  <si>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</si>
  <si>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</si>
  <si>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</si>
  <si>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</si>
  <si>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</si>
  <si>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</si>
  <si>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</si>
  <si>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</si>
  <si>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</si>
  <si>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</si>
  <si>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</si>
  <si>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</si>
  <si>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</si>
  <si>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</si>
  <si>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</si>
  <si>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</si>
  <si>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</si>
  <si>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</si>
  <si>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</si>
  <si>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</si>
  <si>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</si>
  <si>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</si>
  <si>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</si>
  <si>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</si>
  <si>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</si>
  <si>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</si>
  <si>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</si>
  <si>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</si>
  <si>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</si>
  <si>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</si>
  <si>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</si>
  <si>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</si>
  <si>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</si>
  <si>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</si>
  <si>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</si>
  <si>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</si>
  <si>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</si>
  <si>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</si>
  <si>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</si>
  <si>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</si>
  <si>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</si>
  <si>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</si>
  <si>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</si>
  <si>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</si>
  <si>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</si>
  <si>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</si>
  <si>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</si>
  <si>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</si>
  <si>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</si>
  <si>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</si>
  <si>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</si>
  <si>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</si>
  <si>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</si>
  <si>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</si>
  <si>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</si>
  <si>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</si>
  <si>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</si>
  <si>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</si>
  <si>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</si>
  <si>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</si>
  <si>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</si>
  <si>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</si>
  <si>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</si>
  <si>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</si>
  <si>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</si>
  <si>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</si>
  <si>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</si>
  <si>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</si>
  <si>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</si>
  <si>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</si>
  <si>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</si>
  <si>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</si>
  <si>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</si>
  <si>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</si>
  <si>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</si>
  <si>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</si>
  <si>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</si>
  <si>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</si>
  <si>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</si>
  <si>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</si>
  <si>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</si>
  <si>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</si>
  <si>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</si>
  <si>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</si>
  <si>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</si>
  <si>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</si>
  <si>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</si>
  <si>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T.W SCANTLING  below 2M LONG</t>
  </si>
  <si>
    <t>LABOUR FOR WROUGHT&amp;PUTUP ( p-31 it -146</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</si>
  <si>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</si>
  <si>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</si>
  <si>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</si>
  <si>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</si>
  <si>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</si>
  <si>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</si>
  <si>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</si>
  <si>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</si>
  <si>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</si>
  <si>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</si>
  <si>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</si>
  <si>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</si>
  <si>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</si>
  <si>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</si>
  <si>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</si>
  <si>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</si>
  <si>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</si>
  <si>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</si>
  <si>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</si>
  <si>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</si>
  <si>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</si>
  <si>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</si>
  <si>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</si>
  <si>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</si>
  <si>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</si>
  <si>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</si>
  <si>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</si>
  <si>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</si>
  <si>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</si>
  <si>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</si>
  <si>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</si>
  <si>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</si>
  <si>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</si>
  <si>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</si>
  <si>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</si>
  <si>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</si>
  <si>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</si>
  <si>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</si>
  <si>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</si>
  <si>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</si>
  <si>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</si>
  <si>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</si>
  <si>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</si>
  <si>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</si>
  <si>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</si>
  <si>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</si>
  <si>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</si>
  <si>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</si>
  <si>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</si>
  <si>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</si>
  <si>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</si>
  <si>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</si>
  <si>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</si>
  <si>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</si>
  <si>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</si>
  <si>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</si>
  <si>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</si>
  <si>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</si>
  <si>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</si>
  <si>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</si>
  <si>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</si>
  <si>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</si>
  <si>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</si>
  <si>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</si>
  <si>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</si>
  <si>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</si>
  <si>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</si>
  <si>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</si>
  <si>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</si>
  <si>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</si>
  <si>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</si>
  <si>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</si>
  <si>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</si>
  <si>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</si>
  <si>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 xml:space="preserve">8 SWG GI wire  (Part- E, 3 -c P-124 ) </t>
  </si>
  <si>
    <t>GI pipe 20 mm P-50 ,118-vi</t>
  </si>
  <si>
    <t>15 mm GI pipeP-50 ,118-VII</t>
  </si>
  <si>
    <t>GI reducer 32x25mmP- 52,119 F-iii</t>
  </si>
  <si>
    <t>GI bend 15 mm diaP-51 ,119-c vi</t>
  </si>
  <si>
    <t>15 mm GI coupling P- 51,119-E vi</t>
  </si>
  <si>
    <t>Brass screws 40mm p 130 L 1c</t>
  </si>
  <si>
    <t>11th</t>
  </si>
  <si>
    <t>i8</t>
  </si>
  <si>
    <t>4' 18w crystal glass LED tube light</t>
  </si>
  <si>
    <t>Standardised concrete Mix M25 Grade Concrete</t>
  </si>
  <si>
    <t>Flush door shutter size 900x2400 ( Single leaf)</t>
  </si>
  <si>
    <t>Shutter size (0.8 x 2.325)</t>
  </si>
  <si>
    <t>Rate for 1.86 Sqm</t>
  </si>
  <si>
    <t>Shutter size (0.8 x 2.025)</t>
  </si>
  <si>
    <t>shutter size =1.1 x 2.025 =</t>
  </si>
  <si>
    <t>Mazdoor Ist class</t>
  </si>
  <si>
    <t>Maz  Ist</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</si>
  <si>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</si>
  <si>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</si>
  <si>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</si>
  <si>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TW switch Box 150X100X75mm</t>
  </si>
  <si>
    <t>PVC/TW round block [SR P.129</t>
  </si>
  <si>
    <t>25 W LED Street light Fittings</t>
  </si>
  <si>
    <t>Earth work excavation brick work in CM and plastering [SD 234]</t>
  </si>
  <si>
    <t>SUPPLYING AND FIXING OF 25MM DIA PVC PIPE FOR TV/TELEPHONE LINE</t>
  </si>
  <si>
    <t>Providing wall panelling using 12mm BWR plywood over 2"x1" aluminium channel to be fixed on wall</t>
  </si>
  <si>
    <t>MS clips</t>
  </si>
  <si>
    <t>12mm thk. BWR plywood board (Qtn)</t>
  </si>
  <si>
    <t xml:space="preserve">Rate For 9.40 Sqm </t>
  </si>
  <si>
    <t>Aluminium section [SR P.44]</t>
  </si>
  <si>
    <t>AAC BLOCK PARTITION WALL IN cm 1:4 of size 600 x 200x100mm</t>
  </si>
  <si>
    <t>AAC block 600x200x100 [SR P.71]</t>
  </si>
  <si>
    <t>TOTAL FOR 10.71 Sqm</t>
  </si>
  <si>
    <t>Standardised concrete mix M25</t>
  </si>
  <si>
    <t>rmt</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</si>
  <si>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</si>
  <si>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</si>
  <si>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</si>
  <si>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</si>
  <si>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</si>
  <si>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</si>
  <si>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</si>
  <si>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</si>
  <si>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</si>
  <si>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</si>
  <si>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</si>
  <si>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</si>
  <si>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</si>
  <si>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</si>
  <si>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</si>
  <si>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</si>
  <si>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</si>
  <si>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</si>
  <si>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</si>
  <si>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</si>
  <si>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</si>
  <si>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</si>
  <si>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</si>
  <si>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</si>
  <si>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</si>
  <si>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</si>
  <si>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</si>
  <si>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Angle size - 38 x 38 x 6mm</t>
  </si>
  <si>
    <t>1metre = 3.25kgm</t>
  </si>
  <si>
    <t xml:space="preserve">1.5' x 2 x2 = 6 kgm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</si>
  <si>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</si>
  <si>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</si>
  <si>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</si>
  <si>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</si>
  <si>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</si>
  <si>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</si>
  <si>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</si>
  <si>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</si>
  <si>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</si>
  <si>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</si>
  <si>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</si>
  <si>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</si>
  <si>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</si>
  <si>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</si>
  <si>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</si>
  <si>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</si>
  <si>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</si>
  <si>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</si>
  <si>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</si>
  <si>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</si>
  <si>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</si>
  <si>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</si>
  <si>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</si>
  <si>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</si>
  <si>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</si>
  <si>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</si>
  <si>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</si>
  <si>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</si>
  <si>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</si>
  <si>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</si>
  <si>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</si>
  <si>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</si>
  <si>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</si>
  <si>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</si>
  <si>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</si>
  <si>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</si>
  <si>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</si>
  <si>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</si>
  <si>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</si>
  <si>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</si>
  <si>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</si>
  <si>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</si>
  <si>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</si>
  <si>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</si>
  <si>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</si>
  <si>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</si>
  <si>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</si>
  <si>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</si>
  <si>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</si>
  <si>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</si>
  <si>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</si>
  <si>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</si>
  <si>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</si>
  <si>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</si>
  <si>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</si>
  <si>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</si>
  <si>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</si>
  <si>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</si>
  <si>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</si>
  <si>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</si>
  <si>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</si>
  <si>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</si>
  <si>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</si>
  <si>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</si>
  <si>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</si>
  <si>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</si>
  <si>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</si>
  <si>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</si>
  <si>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</si>
  <si>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</si>
  <si>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</si>
  <si>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</si>
  <si>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</si>
  <si>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</si>
  <si>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</si>
  <si>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</si>
  <si>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</si>
  <si>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</si>
  <si>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</si>
  <si>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</si>
  <si>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</si>
  <si>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</si>
  <si>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</si>
  <si>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</si>
  <si>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</si>
  <si>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</si>
  <si>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</si>
  <si>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</si>
  <si>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</si>
  <si>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</si>
  <si>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</si>
  <si>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</si>
  <si>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</si>
  <si>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</si>
  <si>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</si>
  <si>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</si>
  <si>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</si>
  <si>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</si>
  <si>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</si>
  <si>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</si>
  <si>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</si>
  <si>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</si>
  <si>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</si>
  <si>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</si>
  <si>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</si>
  <si>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</si>
  <si>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</si>
  <si>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</si>
  <si>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</si>
  <si>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</si>
  <si>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</si>
  <si>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</si>
  <si>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</si>
  <si>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</si>
  <si>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</si>
  <si>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</si>
  <si>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</si>
  <si>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</si>
  <si>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</si>
  <si>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</si>
  <si>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</si>
  <si>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</si>
  <si>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</si>
  <si>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</si>
  <si>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Bulk head fittings P-116 it-26</t>
  </si>
  <si>
    <t>GI pipe 40 mm P-45 ,154-iii</t>
  </si>
  <si>
    <t>1200mm A.C ceiling fan (without regulator)( Part- B 1 a p-117</t>
  </si>
  <si>
    <t>Cost of electronic regulator( Part- B 1 d p-117</t>
  </si>
  <si>
    <t xml:space="preserve">PVC joint box ( Part- I ,p 129  6b) </t>
  </si>
  <si>
    <t>TW switch  box  100 x 100 x 75 mm p 130 jd</t>
  </si>
  <si>
    <t>TW junction  box  150 x 100 x 75 mm p-130 j c</t>
  </si>
  <si>
    <t>Add cost of TW box 12" x 8" x3" for switch and regulator 10 nos  @ Rs 69.90 / Each p-130 ,part  J a</t>
  </si>
  <si>
    <t>OR</t>
  </si>
  <si>
    <t>CUTTING CHARGES ( P-32/141)</t>
  </si>
  <si>
    <t>GALVANIUM SHEET 0.47MM THICK ( SR p-72)</t>
  </si>
  <si>
    <t xml:space="preserve">                                                                                                                                                                                                               </t>
  </si>
  <si>
    <t xml:space="preserve">                                                                                                                                                                                                                                                                                                                                                                                                                                                                                                                                                                                                                                                                                                                                                                                                                                                                                                                                                                                                                                                                                                                                                                                                                                                                                                                                                                                                                                                                                                                                                                                                                                                                                                                                                                                                                                                                                                                                                                                                                                                                                                                                                                                       </t>
  </si>
  <si>
    <t xml:space="preserve"> 300 A fuse units ( qtn)</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</si>
  <si>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</si>
  <si>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</si>
  <si>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</si>
  <si>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</si>
  <si>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</si>
  <si>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</si>
  <si>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</si>
  <si>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</si>
  <si>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</si>
  <si>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</si>
  <si>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</si>
  <si>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</si>
  <si>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Cost of MS sheet</t>
  </si>
  <si>
    <t>Cost of angle iron</t>
  </si>
  <si>
    <t>Cost of copper</t>
  </si>
  <si>
    <t>Tin coating of copper</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</si>
  <si>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</si>
  <si>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</si>
  <si>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</si>
  <si>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</si>
  <si>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</si>
  <si>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</si>
  <si>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</si>
  <si>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</si>
  <si>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</si>
  <si>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</si>
  <si>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</si>
  <si>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</si>
  <si>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</si>
  <si>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</si>
  <si>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</si>
  <si>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</si>
  <si>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</si>
  <si>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</si>
  <si>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</si>
  <si>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Nylon BUSH (p-41/111)</t>
  </si>
  <si>
    <t>Shutter size (1.1 x 2.325)</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</si>
  <si>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</si>
  <si>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</si>
  <si>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</si>
  <si>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</si>
  <si>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</si>
  <si>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</si>
  <si>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</si>
  <si>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</si>
  <si>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</si>
  <si>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</si>
  <si>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</si>
  <si>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</si>
  <si>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</si>
  <si>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</si>
  <si>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</si>
  <si>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</si>
  <si>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</si>
  <si>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</si>
  <si>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</si>
  <si>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</si>
  <si>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</si>
  <si>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</si>
  <si>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</si>
  <si>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</si>
  <si>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</si>
  <si>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</si>
  <si>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</si>
  <si>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</si>
  <si>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</si>
  <si>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</si>
  <si>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</si>
  <si>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</si>
  <si>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</si>
  <si>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</si>
  <si>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</si>
  <si>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</si>
  <si>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</si>
  <si>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</si>
  <si>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</si>
  <si>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</si>
  <si>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</si>
  <si>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</si>
  <si>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</si>
  <si>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</si>
  <si>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</si>
  <si>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</si>
  <si>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</si>
  <si>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</si>
  <si>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</si>
  <si>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</si>
  <si>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</si>
  <si>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</si>
  <si>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</si>
  <si>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</si>
  <si>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</si>
  <si>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</si>
  <si>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</si>
  <si>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</si>
  <si>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</si>
  <si>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</si>
  <si>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</si>
  <si>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</si>
  <si>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</si>
  <si>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</si>
  <si>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</si>
  <si>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</si>
  <si>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</si>
  <si>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</si>
  <si>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</si>
  <si>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</si>
  <si>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</si>
  <si>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</si>
  <si>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</si>
  <si>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</si>
  <si>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</si>
  <si>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</si>
  <si>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</si>
  <si>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</si>
  <si>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</si>
  <si>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</si>
  <si>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</si>
  <si>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</si>
  <si>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</si>
  <si>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</si>
  <si>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</si>
  <si>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</si>
  <si>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</si>
  <si>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</si>
  <si>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</si>
  <si>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</si>
  <si>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</si>
  <si>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</si>
  <si>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</si>
  <si>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</si>
  <si>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</si>
  <si>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</si>
  <si>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</si>
  <si>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</si>
  <si>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</si>
  <si>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</si>
  <si>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</si>
  <si>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</si>
  <si>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</si>
  <si>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</si>
  <si>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</si>
  <si>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</si>
  <si>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</si>
  <si>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</si>
  <si>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</si>
  <si>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</si>
  <si>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</si>
  <si>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</si>
  <si>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</si>
  <si>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</si>
  <si>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25 W LED Street light Fittings p-115  18A/ lower end</t>
  </si>
  <si>
    <t>4' tube light fitting with \electronic ballast p-112 it-5</t>
  </si>
  <si>
    <t>Dismantling of RCC works it-35/38 p-22</t>
  </si>
  <si>
    <t>Conveyance of dismantled materials p-31</t>
  </si>
  <si>
    <t>Loading or unloading charges p-32</t>
  </si>
  <si>
    <t>Cost of UPVC SN8 Pipe (TWAD SR 2022-23 P-23 1.2 1)</t>
  </si>
  <si>
    <t>JOINTING MATERIALS. (TWAD SR 22-23,p-268 11-b)</t>
  </si>
  <si>
    <t>10%</t>
  </si>
  <si>
    <t xml:space="preserve"> 'U' nails (SD-74 ,22-23)</t>
  </si>
  <si>
    <t>Charcoal SD 233-2022-23 (101.7/20.32 = 5.00)</t>
  </si>
  <si>
    <t>Salt (SD 233, 22-23)</t>
  </si>
  <si>
    <t>Flush door shutter size 750x2100  ( single leaf)</t>
  </si>
  <si>
    <t>shutter size =0.65*2.025 =</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</si>
  <si>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</si>
  <si>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</si>
  <si>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</si>
  <si>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</si>
  <si>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</si>
  <si>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</si>
  <si>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</si>
  <si>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</si>
  <si>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</si>
  <si>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</si>
  <si>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</si>
  <si>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</si>
  <si>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</si>
  <si>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</si>
  <si>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</si>
  <si>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</si>
  <si>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</si>
  <si>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</si>
  <si>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</si>
  <si>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</si>
  <si>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</si>
  <si>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</si>
  <si>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</si>
  <si>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</si>
  <si>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</si>
  <si>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</si>
  <si>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</si>
  <si>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</si>
  <si>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</si>
  <si>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</si>
  <si>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</si>
  <si>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</si>
  <si>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Hylem sheet 0.60 Sq m@ 661/Sq m p-130  ,7 a</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</si>
  <si>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</si>
  <si>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</si>
  <si>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</si>
  <si>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</si>
  <si>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</si>
  <si>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</si>
  <si>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</si>
  <si>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</si>
  <si>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</si>
  <si>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</si>
  <si>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</si>
  <si>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</si>
  <si>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t>EARTH WORK EXCAVATION  for open foundation
IN SDR (EXCLUDING REFILLING)</t>
  </si>
  <si>
    <r>
      <t xml:space="preserve">BASEMENT  WITH  </t>
    </r>
    <r>
      <rPr>
        <b/>
        <sz val="12"/>
        <rFont val="Cambria"/>
        <family val="1"/>
        <scheme val="major"/>
      </rPr>
      <t>FILLING SAND</t>
    </r>
  </si>
  <si>
    <r>
      <t xml:space="preserve">BASEMENT  WITH  </t>
    </r>
    <r>
      <rPr>
        <b/>
        <sz val="12"/>
        <rFont val="Cambria"/>
        <family val="1"/>
        <scheme val="major"/>
      </rPr>
      <t>FILLING GRAVEL</t>
    </r>
  </si>
  <si>
    <r>
      <t>CEMENT CONCRETE</t>
    </r>
    <r>
      <rPr>
        <b/>
        <sz val="12"/>
        <rFont val="Cambria"/>
        <family val="1"/>
        <scheme val="major"/>
      </rPr>
      <t>(1:8:16)</t>
    </r>
    <r>
      <rPr>
        <sz val="12"/>
        <rFont val="Cambria"/>
        <family val="1"/>
        <scheme val="major"/>
      </rPr>
      <t xml:space="preserve"> USING</t>
    </r>
  </si>
  <si>
    <r>
      <t xml:space="preserve"> P.C.C,R.C.C SLAB OF40mm THICK </t>
    </r>
    <r>
      <rPr>
        <b/>
        <sz val="12"/>
        <rFont val="Cambria"/>
        <family val="1"/>
        <scheme val="major"/>
      </rPr>
      <t>using standardised concrete mix of M25 grade</t>
    </r>
  </si>
  <si>
    <r>
      <t xml:space="preserve">Supplying and fixing </t>
    </r>
    <r>
      <rPr>
        <b/>
        <sz val="12"/>
        <rFont val="Cambria"/>
        <family val="1"/>
        <scheme val="major"/>
      </rPr>
      <t>4mm thick pin</t>
    </r>
  </si>
  <si>
    <r>
      <t xml:space="preserve">PAINTING TWO COATS OVER NEW            </t>
    </r>
    <r>
      <rPr>
        <b/>
        <sz val="12"/>
        <rFont val="Cambria"/>
        <family val="1"/>
        <scheme val="major"/>
      </rPr>
      <t xml:space="preserve"> (as per CER-112/2007-08)</t>
    </r>
  </si>
  <si>
    <r>
      <t>DOWN FALL PIPE    T</t>
    </r>
    <r>
      <rPr>
        <b/>
        <sz val="12"/>
        <rFont val="Cambria"/>
        <family val="1"/>
        <scheme val="major"/>
      </rPr>
      <t>ype- A  SWR pipe</t>
    </r>
  </si>
  <si>
    <r>
      <t>SUPPLY AND FIXING OF E.W.C.   18" SIZE</t>
    </r>
    <r>
      <rPr>
        <b/>
        <sz val="12"/>
        <rFont val="Cambria"/>
        <family val="1"/>
        <scheme val="major"/>
      </rPr>
      <t xml:space="preserve"> (WHITE)</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</si>
  <si>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</si>
  <si>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</si>
  <si>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PAINTING TWO COATS OVER NEW           </t>
    </r>
    <r>
      <rPr>
        <b/>
        <sz val="12"/>
        <rFont val="Cambria"/>
        <family val="1"/>
        <scheme val="major"/>
      </rPr>
      <t>(as per PWD Standard Data)</t>
    </r>
  </si>
  <si>
    <r>
      <t>WASHBASIN</t>
    </r>
    <r>
      <rPr>
        <sz val="12"/>
        <rFont val="Cambria"/>
        <family val="1"/>
        <scheme val="major"/>
      </rPr>
      <t xml:space="preserve"> (White Pedastal type)  22"X16" INCLUDING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</si>
  <si>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</si>
  <si>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</si>
  <si>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</si>
  <si>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</si>
  <si>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</si>
  <si>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</si>
  <si>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</si>
  <si>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</si>
  <si>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</si>
  <si>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</si>
  <si>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</si>
  <si>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</si>
  <si>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</si>
  <si>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</si>
  <si>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</si>
  <si>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</si>
  <si>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</si>
  <si>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</si>
  <si>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</si>
  <si>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</si>
  <si>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</si>
  <si>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</si>
  <si>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</si>
  <si>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</si>
  <si>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</si>
  <si>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</si>
  <si>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</si>
  <si>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</si>
  <si>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</si>
  <si>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Arms</t>
  </si>
  <si>
    <t>Reception</t>
  </si>
  <si>
    <t>Head Room</t>
  </si>
  <si>
    <t>Water Tank</t>
  </si>
  <si>
    <t>Building Rear Side</t>
  </si>
  <si>
    <t>Window W</t>
  </si>
  <si>
    <t>Ventilator V</t>
  </si>
  <si>
    <t>Ventilator V2</t>
  </si>
  <si>
    <t>For Loft</t>
  </si>
  <si>
    <t>Main Door MD</t>
  </si>
  <si>
    <t>Lockup Men Toilet</t>
  </si>
  <si>
    <t>Lockup Women Toilet</t>
  </si>
  <si>
    <t>Building Outer</t>
  </si>
  <si>
    <t>PTS</t>
  </si>
  <si>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</si>
  <si>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</si>
  <si>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</si>
  <si>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</si>
  <si>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</si>
  <si>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</si>
  <si>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</si>
  <si>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</si>
  <si>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</si>
  <si>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</si>
  <si>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</si>
  <si>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</si>
  <si>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</si>
  <si>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</si>
  <si>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</si>
  <si>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Writer</t>
  </si>
  <si>
    <t>Head Room Door</t>
  </si>
  <si>
    <t>ABSTRACT ESTIMATE</t>
  </si>
  <si>
    <t>Quantity</t>
  </si>
  <si>
    <r>
      <t xml:space="preserve">Supplying and fixing of following dia GI pipe 'B' class
a. 65mm dia GI Pipe
</t>
    </r>
    <r>
      <rPr>
        <b/>
        <sz val="14"/>
        <rFont val="Cambria"/>
        <family val="1"/>
      </rPr>
      <t>PWD SR 2021-22 P.No - 45</t>
    </r>
  </si>
  <si>
    <t>Unforeseen Item @ 2.5%</t>
  </si>
  <si>
    <t>Dismantling of existing damaged pressed tiles</t>
  </si>
  <si>
    <t>Open Terrace</t>
  </si>
  <si>
    <t>Open Terrace Projection</t>
  </si>
  <si>
    <t>Open Terrace Alround</t>
  </si>
  <si>
    <t>Brick Pillar Offset</t>
  </si>
  <si>
    <t>Water Tank Support Wall</t>
  </si>
  <si>
    <t>Head Room Top</t>
  </si>
  <si>
    <t>Head Room Slope</t>
  </si>
  <si>
    <t>Head Room Bottom</t>
  </si>
  <si>
    <t>Head Room Alround</t>
  </si>
  <si>
    <t>Qty As Per Item No - 1</t>
  </si>
  <si>
    <t>Dismantling of existing damaged floor and wall tiles in CM all etc complete</t>
  </si>
  <si>
    <t>Com.Toilet WC</t>
  </si>
  <si>
    <t>Lockup Women WC</t>
  </si>
  <si>
    <t>Staircase Toilet</t>
  </si>
  <si>
    <t>Head Room Landing</t>
  </si>
  <si>
    <t>Staircase Landing</t>
  </si>
  <si>
    <t>Staircase Steps</t>
  </si>
  <si>
    <t>Clean removal of old damaged plastered surfaces</t>
  </si>
  <si>
    <t>Rest Room Women</t>
  </si>
  <si>
    <t xml:space="preserve">Lockup Women </t>
  </si>
  <si>
    <t>Communication</t>
  </si>
  <si>
    <t>Conselling Room</t>
  </si>
  <si>
    <t>SI Crime</t>
  </si>
  <si>
    <t>Corrider</t>
  </si>
  <si>
    <t xml:space="preserve">Property </t>
  </si>
  <si>
    <t>For Wall</t>
  </si>
  <si>
    <t>Inner Side</t>
  </si>
  <si>
    <t>Corrider Left Side</t>
  </si>
  <si>
    <t>Lockup Women</t>
  </si>
  <si>
    <t>Outer Side</t>
  </si>
  <si>
    <t>Qty As Per Item No - 13</t>
  </si>
  <si>
    <t>Two coat of Old wall OBD</t>
  </si>
  <si>
    <t>SI Law &amp; Order</t>
  </si>
  <si>
    <t>Toilet</t>
  </si>
  <si>
    <t>Lockup Men</t>
  </si>
  <si>
    <t xml:space="preserve">Staircase </t>
  </si>
  <si>
    <t>Counselling</t>
  </si>
  <si>
    <t>Rest Room Women WC</t>
  </si>
  <si>
    <t xml:space="preserve">Com.Toilet </t>
  </si>
  <si>
    <t>Handrails</t>
  </si>
  <si>
    <t>Pump Room</t>
  </si>
  <si>
    <t>Door D3</t>
  </si>
  <si>
    <t>Open</t>
  </si>
  <si>
    <t>FF Verandah</t>
  </si>
  <si>
    <t>GF Verandah</t>
  </si>
  <si>
    <t>Window FG</t>
  </si>
  <si>
    <t>Window W1</t>
  </si>
  <si>
    <t>Ventilator V1</t>
  </si>
  <si>
    <t>Ventilator V3</t>
  </si>
  <si>
    <t>Ventilator V4</t>
  </si>
  <si>
    <t>Window GW1</t>
  </si>
  <si>
    <t>Window GW2</t>
  </si>
  <si>
    <t>Reception Beam</t>
  </si>
  <si>
    <t>Staircase Beam</t>
  </si>
  <si>
    <t>Door D</t>
  </si>
  <si>
    <t>Staircase Open</t>
  </si>
  <si>
    <t>As Per Item No - 12</t>
  </si>
  <si>
    <t>Building Alround</t>
  </si>
  <si>
    <t>Water Tank Slab</t>
  </si>
  <si>
    <t>HR Parapet Wall Alround</t>
  </si>
  <si>
    <t>Building Projection</t>
  </si>
  <si>
    <t>For Sunshade Top &amp; Bot</t>
  </si>
  <si>
    <t>Ventilator V &amp; V4</t>
  </si>
  <si>
    <t>Window W &amp; V3</t>
  </si>
  <si>
    <t xml:space="preserve">Pump Room Door </t>
  </si>
  <si>
    <t>Pump Room Window W</t>
  </si>
  <si>
    <t>Qty As Per Item No - 15</t>
  </si>
  <si>
    <t>Open Terrace to Pit</t>
  </si>
  <si>
    <t>First Floor WC</t>
  </si>
  <si>
    <t xml:space="preserve">Water Tank </t>
  </si>
  <si>
    <t>Water Tank to Outlet Line</t>
  </si>
  <si>
    <t>Supply &amp; Fixing of MS ventilator of size ( lockup)
MS Ventilator of Size 900 x 600mm</t>
  </si>
  <si>
    <t>Supplying and delivery of 3HP centrifugal monoblock pumpset</t>
  </si>
  <si>
    <t>Labour charges for erection of upto 3HP horizontal shaft, centrifugal pumpset</t>
  </si>
  <si>
    <t>Supplying and delivery of three phase panel board of direct online starter with two level guard and auto start (3HP)</t>
  </si>
  <si>
    <t>Septic Tank</t>
  </si>
  <si>
    <t>Supplying and fixing of 25Watts LED Street Light Fittings</t>
  </si>
  <si>
    <t>Supplying and fixing of following dia GI pipe 'B' class
a. 65mm dia GI Pipe</t>
  </si>
  <si>
    <t>Inlet and Outlet Chamber</t>
  </si>
  <si>
    <t>1Cum = 100Kg</t>
  </si>
  <si>
    <t>Main Chamber to Inlet</t>
  </si>
  <si>
    <r>
      <t xml:space="preserve">Dismantling of existing damaged pressed tiles
</t>
    </r>
    <r>
      <rPr>
        <b/>
        <sz val="14"/>
        <rFont val="Cambria"/>
        <family val="1"/>
      </rPr>
      <t>PWD SR 2022-23 P.No - 22</t>
    </r>
  </si>
  <si>
    <r>
      <t xml:space="preserve">Dismantling of existing damaged floor and wall tiles.
</t>
    </r>
    <r>
      <rPr>
        <b/>
        <sz val="14"/>
        <rFont val="Cambria"/>
        <family val="1"/>
      </rPr>
      <t>PWD SR 2022-23 P.No - 22</t>
    </r>
  </si>
  <si>
    <r>
      <t xml:space="preserve">Clean removal of old damaged plastered surfaces
</t>
    </r>
    <r>
      <rPr>
        <b/>
        <sz val="14"/>
        <rFont val="Cambria"/>
        <family val="1"/>
      </rPr>
      <t xml:space="preserve">PWD SR 2022-23 P.No - 25 </t>
    </r>
  </si>
  <si>
    <t>Add for SGST + CGST @ 18%</t>
  </si>
  <si>
    <t>TIRUNELVELI DIVISION</t>
  </si>
  <si>
    <t xml:space="preserve">Toilet </t>
  </si>
  <si>
    <t>Qty As Per Item No - 45</t>
  </si>
  <si>
    <t>WC</t>
  </si>
  <si>
    <t>Ventilator V and V2</t>
  </si>
  <si>
    <t xml:space="preserve">SI </t>
  </si>
  <si>
    <t>Parapet Wall</t>
  </si>
  <si>
    <t>Building Right Side</t>
  </si>
  <si>
    <t>Building Left Side</t>
  </si>
  <si>
    <t>1Sqm = 35Kg</t>
  </si>
  <si>
    <t xml:space="preserve">4mm glass frosted </t>
  </si>
  <si>
    <t xml:space="preserve">Supplying and fixing 4mm thick pin headed glass panels </t>
  </si>
  <si>
    <t>Qty As Per Item No - 46</t>
  </si>
  <si>
    <t>Sullage Drain</t>
  </si>
  <si>
    <t>PP Inspection Chamber</t>
  </si>
  <si>
    <t>Plinth Protection</t>
  </si>
  <si>
    <t>Building Left and Right Side</t>
  </si>
  <si>
    <t>Building Front Side</t>
  </si>
  <si>
    <t>Removing of Doors and windows including frames, hinges and fastenings</t>
  </si>
  <si>
    <r>
      <t xml:space="preserve">Removing of Doors and windows including frames, hinges and fastenings
</t>
    </r>
    <r>
      <rPr>
        <b/>
        <sz val="14"/>
        <rFont val="Cambria"/>
        <family val="1"/>
        <scheme val="major"/>
      </rPr>
      <t>PWD SR 2022-23 P.No - 22</t>
    </r>
  </si>
  <si>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</si>
  <si>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</si>
  <si>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</si>
  <si>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</si>
  <si>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</si>
  <si>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</si>
  <si>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2.Certified that presently Msand from the approved source of Kattachal which is nearest and 5Km from the site.</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</si>
  <si>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</si>
  <si>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</si>
  <si>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r>
      <t xml:space="preserve">Supplying and delivery of 3HP centrifugal monoblock pumpset
</t>
    </r>
    <r>
      <rPr>
        <b/>
        <sz val="14"/>
        <rFont val="Cambria"/>
        <family val="1"/>
      </rPr>
      <t>TWAD SR 2022-23 P.No - 99</t>
    </r>
  </si>
  <si>
    <r>
      <t xml:space="preserve">Supplying and delivery of three phase panel board of direct online starter with two level guard and auto start (3HP)
</t>
    </r>
    <r>
      <rPr>
        <b/>
        <sz val="14"/>
        <rFont val="Cambria"/>
        <family val="1"/>
      </rPr>
      <t>TWAD SR 2022-23 P.No - 115</t>
    </r>
  </si>
  <si>
    <r>
      <t xml:space="preserve">Labour charges for erection of upto 3HP horizontal shaft, centrifugal pumpset
</t>
    </r>
    <r>
      <rPr>
        <b/>
        <sz val="14"/>
        <rFont val="Cambria"/>
        <family val="1"/>
      </rPr>
      <t>TWAD SR 2022-23 P.No - 307</t>
    </r>
  </si>
  <si>
    <t>Lockup Room Sunshade</t>
  </si>
  <si>
    <t>Staircase Mid Landing</t>
  </si>
  <si>
    <t>Building</t>
  </si>
  <si>
    <t xml:space="preserve">Building </t>
  </si>
  <si>
    <t>Wiring with 1.5 sqmm PVC insulated single core multi strand fire retardant flexible copper cable with ISI mark confirming IS: 694:1990 for Staircase Light Point. (Open Wiring)</t>
  </si>
  <si>
    <r>
      <t xml:space="preserve">PAINTING TWO COATS OVER OLD          </t>
    </r>
    <r>
      <rPr>
        <b/>
        <sz val="12"/>
        <rFont val="Cambria"/>
        <family val="1"/>
        <scheme val="major"/>
      </rPr>
      <t>(as per PWD Standard Data)</t>
    </r>
  </si>
  <si>
    <t>standardised concrete mix M25</t>
  </si>
  <si>
    <t>ANTI-CORROSIVE(COROLOK-CP ( qtn)</t>
  </si>
  <si>
    <t>Name of Work:
                  Special repair works for the Rural Police Station Building at Arumanai in Kanyakumari District.</t>
  </si>
  <si>
    <t>TAMILNADU POLICE HOUSING CORPORATION LIMITED.,</t>
  </si>
  <si>
    <t>TRICHY DIVISION, TRICHY.</t>
  </si>
  <si>
    <t>Name of work:</t>
  </si>
  <si>
    <t xml:space="preserve">Detailed Estimate for Upto Basement </t>
  </si>
  <si>
    <t>Sl.  No</t>
  </si>
  <si>
    <t>L</t>
  </si>
  <si>
    <t>D</t>
  </si>
  <si>
    <t xml:space="preserve">Earth work excavation for foundation in all soils and sub-soils and to the required depth (Including Refilling) </t>
  </si>
  <si>
    <t>a) 0 to 2.00 metre Depth</t>
  </si>
  <si>
    <t>C1F1</t>
  </si>
  <si>
    <t>C2F2</t>
  </si>
  <si>
    <t>C3F3</t>
  </si>
  <si>
    <t>CF1</t>
  </si>
  <si>
    <t>Grade Beam</t>
  </si>
  <si>
    <t>Allround</t>
  </si>
  <si>
    <t>Add Cross wall</t>
  </si>
  <si>
    <t>Wall between Hall and Stair</t>
  </si>
  <si>
    <t>Horizontal long wall</t>
  </si>
  <si>
    <t>In b/w rooms and staircase, toilet and PH room</t>
  </si>
  <si>
    <t>Midlanding wall</t>
  </si>
  <si>
    <t>Add inspection chamber</t>
  </si>
  <si>
    <t>D/F</t>
  </si>
  <si>
    <t>C1</t>
  </si>
  <si>
    <t>C2</t>
  </si>
  <si>
    <t>C3</t>
  </si>
  <si>
    <t>C4</t>
  </si>
  <si>
    <t>b) 2 to 3.00 metre Depth</t>
  </si>
  <si>
    <t>Supplying and Filling in Foundation and Basement with Filling sand.</t>
  </si>
  <si>
    <t>Basement filling</t>
  </si>
  <si>
    <t>Room</t>
  </si>
  <si>
    <t>Staircase inner</t>
  </si>
  <si>
    <t>PH room</t>
  </si>
  <si>
    <t>Gents toilet</t>
  </si>
  <si>
    <t>Lobby and ramp inner</t>
  </si>
  <si>
    <t>Parking area</t>
  </si>
  <si>
    <t>Stilt parking</t>
  </si>
  <si>
    <t>Parking space</t>
  </si>
  <si>
    <t>Toilet entrance</t>
  </si>
  <si>
    <t>Plain Cement Concrete 1:5:10 using 40 mm HBS jelly including etc complete .</t>
  </si>
  <si>
    <t>Footing Bottom</t>
  </si>
  <si>
    <t>Grade beam bottom</t>
  </si>
  <si>
    <t>2.1.1</t>
  </si>
  <si>
    <t>Supplying and Filling with Gravel</t>
  </si>
  <si>
    <t>Standared M20 Grade Concrete</t>
  </si>
  <si>
    <t xml:space="preserve">Footing </t>
  </si>
  <si>
    <t>Column Raising upto Grade beam bottom</t>
  </si>
  <si>
    <t>Grade beam</t>
  </si>
  <si>
    <t>Add Vertical wall</t>
  </si>
  <si>
    <t>Column Raising upto Plinth beam bottom</t>
  </si>
  <si>
    <t>Plinth Beam</t>
  </si>
  <si>
    <t>Grade Beam To Basement</t>
  </si>
  <si>
    <t>Inspection chamber</t>
  </si>
  <si>
    <t>Brick on edge</t>
  </si>
  <si>
    <t xml:space="preserve">a) For Column footings,plinth beam,Grade beam,Raftbeam,Raft slab etc.,  </t>
  </si>
  <si>
    <t>Footing</t>
  </si>
  <si>
    <t>Add</t>
  </si>
  <si>
    <t>Lobby inner</t>
  </si>
  <si>
    <t>(b)  Providing form work for RCC surfaces using MS Sheets for plain surface such as roof slab,floor slab,beam,lintal,loft sill slab, staircase waist, portico slab and other similar works</t>
  </si>
  <si>
    <t xml:space="preserve">Sill Slab </t>
  </si>
  <si>
    <t>for Sill Slab W &amp; V0 GF</t>
  </si>
  <si>
    <t>for Sill Slab W &amp; V0 (F.F)</t>
  </si>
  <si>
    <t>for Sill Slab GW1 (F.F)</t>
  </si>
  <si>
    <t>Lintel Beam (G.F)</t>
  </si>
  <si>
    <t xml:space="preserve">Wall Outer Alround </t>
  </si>
  <si>
    <t xml:space="preserve">Wall Inner Alround </t>
  </si>
  <si>
    <t>for Vertical Wise</t>
  </si>
  <si>
    <t xml:space="preserve">for Horizontal Wise </t>
  </si>
  <si>
    <t xml:space="preserve">for L Shape Beam </t>
  </si>
  <si>
    <t>Lintel Beam (F.F)</t>
  </si>
  <si>
    <t>for Sunshade W &amp; V0 in G.F</t>
  </si>
  <si>
    <t>for Side</t>
  </si>
  <si>
    <t>for Sunshade W &amp; V0 in F.F</t>
  </si>
  <si>
    <t xml:space="preserve">Roof Slab  G.F </t>
  </si>
  <si>
    <t>for SI and Inspector</t>
  </si>
  <si>
    <t>Att Toilet</t>
  </si>
  <si>
    <t>Meeting Room</t>
  </si>
  <si>
    <t>Station Writer</t>
  </si>
  <si>
    <t>for Corridor</t>
  </si>
  <si>
    <t>for Staircase</t>
  </si>
  <si>
    <t>for Property Room</t>
  </si>
  <si>
    <t>D/F property inner 'L' shape wall</t>
  </si>
  <si>
    <t xml:space="preserve">for Portico </t>
  </si>
  <si>
    <t>G.F Roof Beam</t>
  </si>
  <si>
    <t xml:space="preserve">Portico Beam Bottom </t>
  </si>
  <si>
    <t>Portico Beam Inner</t>
  </si>
  <si>
    <t>Portico Beam Outer</t>
  </si>
  <si>
    <t>for SI and Inspector inner Beam</t>
  </si>
  <si>
    <t>Roof  Beam Outer Alround F.F</t>
  </si>
  <si>
    <t>Rest Room Women and Men</t>
  </si>
  <si>
    <t>……………do………..</t>
  </si>
  <si>
    <t>for Lunch Room and Stair</t>
  </si>
  <si>
    <t>for SI Women</t>
  </si>
  <si>
    <t>for Interrogation</t>
  </si>
  <si>
    <t>for SI Women Toilet room</t>
  </si>
  <si>
    <t>For Store</t>
  </si>
  <si>
    <t>for F.F Roof Slab</t>
  </si>
  <si>
    <t>for Head Room Roof Beam</t>
  </si>
  <si>
    <t>Inner alround</t>
  </si>
  <si>
    <t>Outer alround</t>
  </si>
  <si>
    <t>Head Roof Slab</t>
  </si>
  <si>
    <t>Sunshade</t>
  </si>
  <si>
    <t>Sunshade Side</t>
  </si>
  <si>
    <t xml:space="preserve">Ramp entrance </t>
  </si>
  <si>
    <t>Outer toilet wall</t>
  </si>
  <si>
    <t>Veranda side beam</t>
  </si>
  <si>
    <t>I st flight</t>
  </si>
  <si>
    <t>Side</t>
  </si>
  <si>
    <t xml:space="preserve">II nd flight </t>
  </si>
  <si>
    <t>I st Landing</t>
  </si>
  <si>
    <t xml:space="preserve">Landing beam </t>
  </si>
  <si>
    <t>Landing Projection</t>
  </si>
  <si>
    <t>Landing side</t>
  </si>
  <si>
    <t>Projection side</t>
  </si>
  <si>
    <t>Stair,GW1</t>
  </si>
  <si>
    <t>Stair 3 sides</t>
  </si>
  <si>
    <t>III rd IV flight bot</t>
  </si>
  <si>
    <t>III rd IV flight side</t>
  </si>
  <si>
    <t>II nd landing bot</t>
  </si>
  <si>
    <t>II nd landing side</t>
  </si>
  <si>
    <t>Landing beam bot</t>
  </si>
  <si>
    <t>Head Room Lintel Bottom</t>
  </si>
  <si>
    <t>C4F4 &amp; C5F4</t>
  </si>
  <si>
    <t>C5</t>
  </si>
  <si>
    <t xml:space="preserve">Detailed Estimate for Above Basement </t>
  </si>
  <si>
    <t>Sl. No</t>
  </si>
  <si>
    <t>a) Ground floor/Stilt floor</t>
  </si>
  <si>
    <t>Sill Slab</t>
  </si>
  <si>
    <t xml:space="preserve">W </t>
  </si>
  <si>
    <t>W1</t>
  </si>
  <si>
    <t>W0</t>
  </si>
  <si>
    <t>SLW</t>
  </si>
  <si>
    <t>Lintel Beam</t>
  </si>
  <si>
    <t>MD</t>
  </si>
  <si>
    <t>SLD</t>
  </si>
  <si>
    <t>D3</t>
  </si>
  <si>
    <t>PH ROOM LOFT</t>
  </si>
  <si>
    <t>Loft</t>
  </si>
  <si>
    <t>Waist slab - I flight</t>
  </si>
  <si>
    <t>Mid landing slab</t>
  </si>
  <si>
    <t>Steps</t>
  </si>
  <si>
    <t xml:space="preserve">Mid landing beam </t>
  </si>
  <si>
    <t>Waist slab - II flight</t>
  </si>
  <si>
    <t>Portico Projection</t>
  </si>
  <si>
    <t>Roof beam</t>
  </si>
  <si>
    <t>Alround</t>
  </si>
  <si>
    <t>Vertical wall RB13 &amp; RB14</t>
  </si>
  <si>
    <t>Vertical wall  RB12</t>
  </si>
  <si>
    <t>Vertical RB 11</t>
  </si>
  <si>
    <t>Horizontal RB 2</t>
  </si>
  <si>
    <t>Horizontal RB 6</t>
  </si>
  <si>
    <t>Horizontal RB 3,4,5 &amp; 7</t>
  </si>
  <si>
    <t>Horizontal RB 8</t>
  </si>
  <si>
    <t>Roof Slab</t>
  </si>
  <si>
    <t>Slab</t>
  </si>
  <si>
    <t>b) First floor</t>
  </si>
  <si>
    <t>SW</t>
  </si>
  <si>
    <t>D1</t>
  </si>
  <si>
    <t>TOILET Open</t>
  </si>
  <si>
    <t>Ins &amp; CCTNS&amp; SI &amp; Property room</t>
  </si>
  <si>
    <t>Horizontal beam RB 3 &amp; 4</t>
  </si>
  <si>
    <t>Horizontal RB 2,5 &amp; 6</t>
  </si>
  <si>
    <t>Vertical RB 10</t>
  </si>
  <si>
    <t>Vertical RB 9</t>
  </si>
  <si>
    <t>c) Second floor</t>
  </si>
  <si>
    <t>Column</t>
  </si>
  <si>
    <t>W</t>
  </si>
  <si>
    <t>Parapet column</t>
  </si>
  <si>
    <t>d) Third floor</t>
  </si>
  <si>
    <t>Sunshades</t>
  </si>
  <si>
    <t>Cross wall</t>
  </si>
  <si>
    <t>W/T Beam Alround</t>
  </si>
  <si>
    <t>W/T Beam cross</t>
  </si>
  <si>
    <t>W/T base slab</t>
  </si>
  <si>
    <t>BW in CM 1:6 for super structure using kiln burnt country bricks size 22x11x7cm  etc., all complete.</t>
  </si>
  <si>
    <t>a) Ground floor/ Stilt floor</t>
  </si>
  <si>
    <t>Main wall alround</t>
  </si>
  <si>
    <t>MD Wall</t>
  </si>
  <si>
    <t>Staircase side wall</t>
  </si>
  <si>
    <t>Long vertical wall</t>
  </si>
  <si>
    <t xml:space="preserve">Wall I/B PH room and Gents toilet </t>
  </si>
  <si>
    <t>D/F MD</t>
  </si>
  <si>
    <t>D/F Front entry open</t>
  </si>
  <si>
    <t>D/F D</t>
  </si>
  <si>
    <t>D/F RD</t>
  </si>
  <si>
    <t>D/F Entrance side open</t>
  </si>
  <si>
    <t>D/F W0</t>
  </si>
  <si>
    <t>D/F SLW</t>
  </si>
  <si>
    <t>D/F Toilet wash area open</t>
  </si>
  <si>
    <t>D/F V2</t>
  </si>
  <si>
    <t>D/F W</t>
  </si>
  <si>
    <t>D/F W1</t>
  </si>
  <si>
    <t>D/F Staircase open</t>
  </si>
  <si>
    <t>Parking area outer wall</t>
  </si>
  <si>
    <t>D/F Sill Slab</t>
  </si>
  <si>
    <t>b) First Floor</t>
  </si>
  <si>
    <t>D/F SW</t>
  </si>
  <si>
    <t>D/F V</t>
  </si>
  <si>
    <t>D/F V1</t>
  </si>
  <si>
    <t>D/F V0</t>
  </si>
  <si>
    <t>Vertical wall long wall(Ins,CCTNS,Property room)</t>
  </si>
  <si>
    <t>CCTNS Room 2 side wall &amp; Propert room wall</t>
  </si>
  <si>
    <t>Wall I/B SI 3nos and Lockup Women</t>
  </si>
  <si>
    <t>Staircase and SI Wall long wall</t>
  </si>
  <si>
    <t>D/F Stair open</t>
  </si>
  <si>
    <t>D/F D1</t>
  </si>
  <si>
    <t>Arms and Ammunition Vertical wall</t>
  </si>
  <si>
    <t>D/F Waiting open</t>
  </si>
  <si>
    <t>D/F Lintel</t>
  </si>
  <si>
    <t>Horizontal</t>
  </si>
  <si>
    <t>Vertical</t>
  </si>
  <si>
    <t>c) Second Floor</t>
  </si>
  <si>
    <t xml:space="preserve">Wall Allround </t>
  </si>
  <si>
    <t>Wall I/B Corridor and Writer,Staircase, Rest room Women</t>
  </si>
  <si>
    <t>D/F Rest room open</t>
  </si>
  <si>
    <t>Wall I/B Corridor and Inspector, SI 3nos</t>
  </si>
  <si>
    <t>Interogation room vertical wall</t>
  </si>
  <si>
    <t>Staircase horizontal wall &amp; Interogation room Horizontal wall</t>
  </si>
  <si>
    <t xml:space="preserve">Wall I/B Inspector toilet and SI 3 nos </t>
  </si>
  <si>
    <t>Wall I/B SI 3nos and rest room Men</t>
  </si>
  <si>
    <t>Vertt]ical</t>
  </si>
  <si>
    <t>D/F Column</t>
  </si>
  <si>
    <t>d) Third Floor</t>
  </si>
  <si>
    <t>Head room</t>
  </si>
  <si>
    <t>Add head room Parpet</t>
  </si>
  <si>
    <t>Parapet wall allround</t>
  </si>
  <si>
    <t>D/F Parapet column</t>
  </si>
  <si>
    <t>Add W/T wall</t>
  </si>
  <si>
    <t>Brick Partition Wall 110mm tk in Cm 1:4</t>
  </si>
  <si>
    <t>b) In Ground floor/Stilt floor</t>
  </si>
  <si>
    <t>Wall I/B Ladies toilet and stair</t>
  </si>
  <si>
    <t>D/F D3</t>
  </si>
  <si>
    <t>Wall I/B PH room and PH toilet</t>
  </si>
  <si>
    <t>Wall I/B Gents toilet and PH toilet</t>
  </si>
  <si>
    <t>D/F SLD</t>
  </si>
  <si>
    <t>Gents toilet &amp; PH toilet wall</t>
  </si>
  <si>
    <t>Ladies toilet wall</t>
  </si>
  <si>
    <t>c) In First floor</t>
  </si>
  <si>
    <t>Arround lockup toilet Women and Gens</t>
  </si>
  <si>
    <t>D/F D4</t>
  </si>
  <si>
    <t>Inspector room toilet vertical wall</t>
  </si>
  <si>
    <t>SI 3 nos toilet vertical wall</t>
  </si>
  <si>
    <t>Inspector room toilet horizontal wall</t>
  </si>
  <si>
    <t>D/F Open</t>
  </si>
  <si>
    <t>Arms and Ammunition Horizontal wall</t>
  </si>
  <si>
    <t>SI 3 nos toilet Horizontal wall</t>
  </si>
  <si>
    <t>d) In Second Floor</t>
  </si>
  <si>
    <t>Inspector toilet vertical wall</t>
  </si>
  <si>
    <t>Wall I/B Rest room Men and Toilet</t>
  </si>
  <si>
    <t>Rest room women toilet vertical wall</t>
  </si>
  <si>
    <t>Rest room women toilet horizontal wall</t>
  </si>
  <si>
    <t>Rest room men toilet Horizontal wall</t>
  </si>
  <si>
    <t>D/F Lintel Beam</t>
  </si>
  <si>
    <t>Brick partion wall 75mm tk in Cm 1:4</t>
  </si>
  <si>
    <t>Room C/ b wall</t>
  </si>
  <si>
    <t xml:space="preserve">PH room </t>
  </si>
  <si>
    <t>Ins CB</t>
  </si>
  <si>
    <t>CCTNS CB</t>
  </si>
  <si>
    <t>Property Room C/B</t>
  </si>
  <si>
    <t>SI CB</t>
  </si>
  <si>
    <t>Station Writer CB</t>
  </si>
  <si>
    <t>Writer CB</t>
  </si>
  <si>
    <t>SI 3nos CB</t>
  </si>
  <si>
    <t>Rest room women</t>
  </si>
  <si>
    <t>Rest room men</t>
  </si>
  <si>
    <t>Brick partion wall 50mm tk in Cm 1:4</t>
  </si>
  <si>
    <t>a) Ground / Stilt floor</t>
  </si>
  <si>
    <t>S/C H rail I flight</t>
  </si>
  <si>
    <t>S/C H rail II flight</t>
  </si>
  <si>
    <t>14.1.1</t>
  </si>
  <si>
    <t>Precast cupboard slab 20 mm tkusing standardised concrete mix M20 (annexure) etc., all complete.</t>
  </si>
  <si>
    <t>SI &amp; INS</t>
  </si>
  <si>
    <t>Property</t>
  </si>
  <si>
    <t xml:space="preserve">Station Writer </t>
  </si>
  <si>
    <t xml:space="preserve">CCTNS </t>
  </si>
  <si>
    <t>Rest Room - Women</t>
  </si>
  <si>
    <t>Rest Room - Men</t>
  </si>
  <si>
    <t>14.2.1</t>
  </si>
  <si>
    <t>Precast cupboard slab 40 mm tkusing standardised concrete mix M20 (annexure) etc., all complete.</t>
  </si>
  <si>
    <t>a) Foundation and Basement</t>
  </si>
  <si>
    <t>For Inspection Chamber cover slab</t>
  </si>
  <si>
    <t>CCTNs</t>
  </si>
  <si>
    <t>a) T.W. over 2 m &amp; below 3 m</t>
  </si>
  <si>
    <t>Vertical MD</t>
  </si>
  <si>
    <t>Vertical RD</t>
  </si>
  <si>
    <t>(b) Teak wood below 2.00 metre length</t>
  </si>
  <si>
    <t>Horizontal MD (Top)</t>
  </si>
  <si>
    <t>Horizontal MD (Bottom)</t>
  </si>
  <si>
    <t>Horizontal RD (Top)</t>
  </si>
  <si>
    <t>Horizontal RD (Bottom)</t>
  </si>
  <si>
    <t>21.2.1</t>
  </si>
  <si>
    <t>TW double leaves shutter of size door size 1.800m x 2.100 (Double leaf)</t>
  </si>
  <si>
    <t>21.1.1</t>
  </si>
  <si>
    <t>Supply and fixing of BWR door shutters of thickness 35mm</t>
  </si>
  <si>
    <t>g. Door size (1.00x2.10m ) single leaf</t>
  </si>
  <si>
    <t>GF</t>
  </si>
  <si>
    <t>FF</t>
  </si>
  <si>
    <t>SF</t>
  </si>
  <si>
    <t>TF</t>
  </si>
  <si>
    <t>21.2.2</t>
  </si>
  <si>
    <t>TW panelled door double leaves shutter with brass fittings of size . 1200X2100mm.</t>
  </si>
  <si>
    <t>For RD</t>
  </si>
  <si>
    <t>Lock up men and women D4</t>
  </si>
  <si>
    <t>S&amp;F magnetic door catches</t>
  </si>
  <si>
    <t>For MD</t>
  </si>
  <si>
    <t>For D</t>
  </si>
  <si>
    <t>S/F of Door with Iron bars and MS Flats for lock up door of Size 1000x2100 mm</t>
  </si>
  <si>
    <t>for Men and Women Lockup</t>
  </si>
  <si>
    <t>S/F of Vendilator with Iron bars and MS Flats with expended metal welded including cost of all works ect., Complete. 1.35x0.60m</t>
  </si>
  <si>
    <t xml:space="preserve">V0 &amp; V </t>
  </si>
  <si>
    <t>for Men and Women lockups</t>
  </si>
  <si>
    <t xml:space="preserve">Property Room </t>
  </si>
  <si>
    <t>Flooring in C.C 1:5:10 mix</t>
  </si>
  <si>
    <t>Room inner</t>
  </si>
  <si>
    <t>Gents toilet inner</t>
  </si>
  <si>
    <t>Floor plastering in Cm 1:4 20mm tk</t>
  </si>
  <si>
    <t>Chamber flooring</t>
  </si>
  <si>
    <t>Mens and Women Lockup</t>
  </si>
  <si>
    <t>28.1.1</t>
  </si>
  <si>
    <t>Flooring with C.M 1:3, 20mm thick (Concrete Design)</t>
  </si>
  <si>
    <t>Ramp</t>
  </si>
  <si>
    <t>Front</t>
  </si>
  <si>
    <t>Middle Portion</t>
  </si>
  <si>
    <t>PH Parking area</t>
  </si>
  <si>
    <t>D/F Ramp Area</t>
  </si>
  <si>
    <t>Entry step</t>
  </si>
  <si>
    <t>Entrance portion</t>
  </si>
  <si>
    <t>Opening bottom</t>
  </si>
  <si>
    <t>Step rise</t>
  </si>
  <si>
    <t xml:space="preserve">Mid Landing </t>
  </si>
  <si>
    <t>MD Bottom</t>
  </si>
  <si>
    <t>RD Bottom</t>
  </si>
  <si>
    <t>Floor ceramic tiles (Anti skid)</t>
  </si>
  <si>
    <t>GF/Stilt floor</t>
  </si>
  <si>
    <t>PH toilet</t>
  </si>
  <si>
    <t>SLD Bottom</t>
  </si>
  <si>
    <t>D3 Bottom</t>
  </si>
  <si>
    <t>Wash area</t>
  </si>
  <si>
    <t>Ladies toilet</t>
  </si>
  <si>
    <t>Inspector toilet</t>
  </si>
  <si>
    <t>SI toilet</t>
  </si>
  <si>
    <t>Rest room men toilet</t>
  </si>
  <si>
    <t>SI 3nos attached toilet</t>
  </si>
  <si>
    <t>Rest room women toilet</t>
  </si>
  <si>
    <t>Entrance 3 sisdes</t>
  </si>
  <si>
    <t>Lobby and staircase allround</t>
  </si>
  <si>
    <t>Room inner allround</t>
  </si>
  <si>
    <t>Ladies toilet inner alround</t>
  </si>
  <si>
    <t>PH room inner allround</t>
  </si>
  <si>
    <t>PH toilet inner allround</t>
  </si>
  <si>
    <t>Gents toilet inner allround</t>
  </si>
  <si>
    <t>Wash area inner allround</t>
  </si>
  <si>
    <t>Wall outer</t>
  </si>
  <si>
    <t>Gents toilet outer back side</t>
  </si>
  <si>
    <t>Inspector inner allround</t>
  </si>
  <si>
    <t>Toilet inner allround</t>
  </si>
  <si>
    <t>D/F open</t>
  </si>
  <si>
    <t>CCTNS Room inner allround</t>
  </si>
  <si>
    <t>Property room inner allround</t>
  </si>
  <si>
    <t>Arms and ammunition inner allround</t>
  </si>
  <si>
    <t>Station writer,Corridor,Waiting inner allround</t>
  </si>
  <si>
    <t>SI 3nos inner allround</t>
  </si>
  <si>
    <t>D/F toilet open</t>
  </si>
  <si>
    <t>SI Toilet inner allround</t>
  </si>
  <si>
    <t>Rest room men toilet allround</t>
  </si>
  <si>
    <t>Rest room men inner allround</t>
  </si>
  <si>
    <t>Corridor inner allround</t>
  </si>
  <si>
    <t>Writer room inner allround</t>
  </si>
  <si>
    <t>Interrogation inner allround</t>
  </si>
  <si>
    <t>Rest room women inner allround</t>
  </si>
  <si>
    <t>28.1.2</t>
  </si>
  <si>
    <t>Flooring Vertified Tiles Double charged ( lvory)</t>
  </si>
  <si>
    <t>Ramp entrance</t>
  </si>
  <si>
    <t>PH Room</t>
  </si>
  <si>
    <t>D Bottom</t>
  </si>
  <si>
    <t xml:space="preserve">Inspector </t>
  </si>
  <si>
    <t>CCTNS</t>
  </si>
  <si>
    <t>Property room</t>
  </si>
  <si>
    <t>Arms and ammunition</t>
  </si>
  <si>
    <t>Station writer</t>
  </si>
  <si>
    <t>SI 3nos</t>
  </si>
  <si>
    <t>Waiting</t>
  </si>
  <si>
    <t>Rest room Men</t>
  </si>
  <si>
    <t>Rest room WoMen</t>
  </si>
  <si>
    <t xml:space="preserve">Add Entrance </t>
  </si>
  <si>
    <t>Interogation</t>
  </si>
  <si>
    <t>Passage</t>
  </si>
  <si>
    <t>F.F Ins and SI Attached toilet Sunken portion</t>
  </si>
  <si>
    <t>S.F Rest room Men Attached toilet Sunken portion</t>
  </si>
  <si>
    <t>S.F Ins and rest room Sunken portion</t>
  </si>
  <si>
    <t>32.1.1</t>
  </si>
  <si>
    <t>Terrace</t>
  </si>
  <si>
    <t>D/F HR</t>
  </si>
  <si>
    <t>Allround Sloping</t>
  </si>
  <si>
    <t>Head room top</t>
  </si>
  <si>
    <t>Plastering in CM 1:5 12mm  TK</t>
  </si>
  <si>
    <t>Inside Plastrering</t>
  </si>
  <si>
    <t>Rooms Inside plastering</t>
  </si>
  <si>
    <t>D/F Wash area open</t>
  </si>
  <si>
    <t>CB Wall sides</t>
  </si>
  <si>
    <t>CB Wall top</t>
  </si>
  <si>
    <t>Inspector room loft top</t>
  </si>
  <si>
    <t>CCTNS loft top</t>
  </si>
  <si>
    <t>Property room loft top</t>
  </si>
  <si>
    <t>Lockup men allround</t>
  </si>
  <si>
    <t>WC Wall outer</t>
  </si>
  <si>
    <t>WC Wall inner</t>
  </si>
  <si>
    <t>WC Wall top</t>
  </si>
  <si>
    <t>Station writer loft top</t>
  </si>
  <si>
    <t>Lockup women allround</t>
  </si>
  <si>
    <t>SI Room loft top</t>
  </si>
  <si>
    <t>Staircase 3 sides allround</t>
  </si>
  <si>
    <t>Loft top</t>
  </si>
  <si>
    <t>Interogation inner allround</t>
  </si>
  <si>
    <t>Head room inner allround</t>
  </si>
  <si>
    <t>Main Building Parpaet inner allround</t>
  </si>
  <si>
    <t>Add Door/Window/Ventilator Jamps</t>
  </si>
  <si>
    <t>RD</t>
  </si>
  <si>
    <t>V2</t>
  </si>
  <si>
    <t>D4</t>
  </si>
  <si>
    <t>V</t>
  </si>
  <si>
    <t>V1</t>
  </si>
  <si>
    <t>V0</t>
  </si>
  <si>
    <t>Total-A</t>
  </si>
  <si>
    <t>Inner</t>
  </si>
  <si>
    <t>Outside Plastering</t>
  </si>
  <si>
    <t>Outer allrund (incl.Parapet)</t>
  </si>
  <si>
    <t>Parapet top</t>
  </si>
  <si>
    <t>Add Columns allround in Stilt floor</t>
  </si>
  <si>
    <t>C2,C3,C4</t>
  </si>
  <si>
    <t>Head room outer alllround(Incl.Parapet)</t>
  </si>
  <si>
    <t>Deductions for GF</t>
  </si>
  <si>
    <t>D/F Parking area 4 sides</t>
  </si>
  <si>
    <t>D/F Entry</t>
  </si>
  <si>
    <t>Deductions for FF</t>
  </si>
  <si>
    <t>HR Deductions</t>
  </si>
  <si>
    <t>Sunshade top</t>
  </si>
  <si>
    <t>Room W1</t>
  </si>
  <si>
    <t>W1 in PH room</t>
  </si>
  <si>
    <t>Inspector and waiting W1</t>
  </si>
  <si>
    <t>Waiting and station writer W0</t>
  </si>
  <si>
    <t>CCTNS Room W</t>
  </si>
  <si>
    <t>SI 3 Nos Combined Sunshade</t>
  </si>
  <si>
    <t>Writer and Inspector room W1</t>
  </si>
  <si>
    <t>WO</t>
  </si>
  <si>
    <t>Interogation &amp; Rest room W</t>
  </si>
  <si>
    <t>SI 3nos Combined sunshade</t>
  </si>
  <si>
    <t>Rest room men Combined sunshade</t>
  </si>
  <si>
    <t>Sunshade 2 sides</t>
  </si>
  <si>
    <t>Inspector and Waiting W1</t>
  </si>
  <si>
    <t>Waiting and Station writer W0</t>
  </si>
  <si>
    <t>Inspection chamber Outer alround</t>
  </si>
  <si>
    <t>Total-B</t>
  </si>
  <si>
    <t>Outer</t>
  </si>
  <si>
    <t>Total A+B</t>
  </si>
  <si>
    <t>Plastering in cm 1:4 12mm tk</t>
  </si>
  <si>
    <t>Ist, IIIrd, Vth  flight - Hand rail</t>
  </si>
  <si>
    <t>II nd, IV th - Hand rail</t>
  </si>
  <si>
    <t>VIII th flight - Hand rail</t>
  </si>
  <si>
    <t>Inspection chamber top</t>
  </si>
  <si>
    <t>Inspection chamber inner alround</t>
  </si>
  <si>
    <t xml:space="preserve">Spl. Ceiling plastering in C.M. 1:3, 10 mm tk.  </t>
  </si>
  <si>
    <t>Arms and Ammunition</t>
  </si>
  <si>
    <t>Rest room Women</t>
  </si>
  <si>
    <t>Interrogation</t>
  </si>
  <si>
    <t>Sunshade Botom</t>
  </si>
  <si>
    <t>Interrogation &amp; Rest room W</t>
  </si>
  <si>
    <t>Loft bottom</t>
  </si>
  <si>
    <t>FF Loft</t>
  </si>
  <si>
    <t xml:space="preserve">Inspector room </t>
  </si>
  <si>
    <t>SI Room</t>
  </si>
  <si>
    <t>SF Loft</t>
  </si>
  <si>
    <t>a) 150 mm wide</t>
  </si>
  <si>
    <t>Parapet allround</t>
  </si>
  <si>
    <t xml:space="preserve">Head room allround </t>
  </si>
  <si>
    <t xml:space="preserve">b) 75 mm wide </t>
  </si>
  <si>
    <t>As per Above Qty 'A'</t>
  </si>
  <si>
    <t>c) 50mm wide</t>
  </si>
  <si>
    <t>White washing 3 coats</t>
  </si>
  <si>
    <t xml:space="preserve">As per Ceiling Plastering Qty item No. 35         </t>
  </si>
  <si>
    <t>As per inner plastering Qty</t>
  </si>
  <si>
    <t>38.6.1</t>
  </si>
  <si>
    <t>Two coat of OBD over one coat white cement</t>
  </si>
  <si>
    <t>As per Item No : 38.60</t>
  </si>
  <si>
    <t>38.6.2</t>
  </si>
  <si>
    <t>Plastic Emulsion PAINT including primer for outer walls</t>
  </si>
  <si>
    <t>As per Outer Plastering Qty</t>
  </si>
  <si>
    <t xml:space="preserve">M.s Grills </t>
  </si>
  <si>
    <t xml:space="preserve">Grill for Ramp hand rail </t>
  </si>
  <si>
    <t>PH Toilet Allround</t>
  </si>
  <si>
    <t xml:space="preserve">Staircase 3 sides </t>
  </si>
  <si>
    <t>40.1.1</t>
  </si>
  <si>
    <t>Melamine Polish</t>
  </si>
  <si>
    <t xml:space="preserve">Painting - New "wood work" </t>
  </si>
  <si>
    <t xml:space="preserve">Painting - New "iron work" </t>
  </si>
  <si>
    <t>In GF</t>
  </si>
  <si>
    <t>In FF</t>
  </si>
  <si>
    <t>In SF</t>
  </si>
  <si>
    <t>In TF</t>
  </si>
  <si>
    <t>For Men and Women Lockup</t>
  </si>
  <si>
    <t>32mm ASTM pipe</t>
  </si>
  <si>
    <t>25mm ASTM pipe</t>
  </si>
  <si>
    <t>20mm ASTM pipe</t>
  </si>
  <si>
    <t>110mm dia PVC pipe</t>
  </si>
  <si>
    <t>75mm dia PVC pipe</t>
  </si>
  <si>
    <t xml:space="preserve">PVC SWR 110 mm dia with ISI mark type- A for Rain water down fall pipe </t>
  </si>
  <si>
    <t>From Terrace</t>
  </si>
  <si>
    <t>From Head Room Top</t>
  </si>
  <si>
    <t xml:space="preserve">S &amp; F 20 mm dia Alu. Hanger Rod   </t>
  </si>
  <si>
    <t>FF (Inspector , SI )</t>
  </si>
  <si>
    <t>SF (Inspector , SI, Rest room men &amp; women )</t>
  </si>
  <si>
    <t>FF (Inspector toilet, SI toilet)</t>
  </si>
  <si>
    <t>SF (Inspector, SI toilet, Rest room men bath, Rest room women bath)</t>
  </si>
  <si>
    <t xml:space="preserve">S &amp; F 5 pin Coat stand </t>
  </si>
  <si>
    <t>S &amp; F Picture hook</t>
  </si>
  <si>
    <t xml:space="preserve">Supply and planting avenue trees </t>
  </si>
  <si>
    <t>For Police Station</t>
  </si>
  <si>
    <t>for Police Station</t>
  </si>
  <si>
    <t xml:space="preserve">Supplying. Fabricating and erection of M.S Scheme Name board   </t>
  </si>
  <si>
    <t>For Police Station Building</t>
  </si>
  <si>
    <t xml:space="preserve">a) 32 mm dia   </t>
  </si>
  <si>
    <t>for Tank Inlet</t>
  </si>
  <si>
    <t xml:space="preserve">b) 25 mm dia    </t>
  </si>
  <si>
    <t>Delivery line from tank to GF</t>
  </si>
  <si>
    <t>Delivery line from tank to FF</t>
  </si>
  <si>
    <t>Delivery line from tank to SF</t>
  </si>
  <si>
    <t>S &amp; F PVC Water Supply Pipe</t>
  </si>
  <si>
    <t>c) 20 mm dia (ASTM)</t>
  </si>
  <si>
    <t>Internal delivery line GF</t>
  </si>
  <si>
    <t>Internal delivery line FF</t>
  </si>
  <si>
    <t>Internal delivery line SF</t>
  </si>
  <si>
    <t xml:space="preserve">Wash Hand  Basin of size 550 x 400 mm  </t>
  </si>
  <si>
    <t>Stilt floor (Gents toilet)</t>
  </si>
  <si>
    <t>First floor (Inspector toilet, SI toilet)</t>
  </si>
  <si>
    <t>Second floor (Inspector, SI, Resroom men and Women)</t>
  </si>
  <si>
    <t>S &amp; F CP Short body Tap (Half Turn)</t>
  </si>
  <si>
    <t>S &amp; F CP Long body Tap (Half Turn)</t>
  </si>
  <si>
    <t xml:space="preserve">S &amp; F of Indian Water closet white glazed (Oriya type) of size 580 x 440mm  - In G.F.  </t>
  </si>
  <si>
    <t>In Ground floor</t>
  </si>
  <si>
    <t xml:space="preserve">S &amp; F of Indian Water closet white glazed (Oriya type) of size 580 x 440mm  - Other than G.F  </t>
  </si>
  <si>
    <t>SF (Men and Women Rest room toilet)</t>
  </si>
  <si>
    <t>First floor (Lockup men &amp; Women)</t>
  </si>
  <si>
    <t xml:space="preserve">S &amp; F of E.W.C.(white) </t>
  </si>
  <si>
    <t>GF (PH Toilet) and ladies toilet</t>
  </si>
  <si>
    <t>FF (Ins, SI Toilet)</t>
  </si>
  <si>
    <t>SF (Ins, SI, Rest room men &amp; Women)</t>
  </si>
  <si>
    <t>Supplying and fixing the following dia PVC (SWR) pipe and relevant specials jointing etc., complte</t>
  </si>
  <si>
    <t>a) 110 mm dia PVC SWR pipe</t>
  </si>
  <si>
    <t>GF Gents toilet</t>
  </si>
  <si>
    <t>GF PH toilet</t>
  </si>
  <si>
    <t>FF (Inspector toilet,SI toilet)</t>
  </si>
  <si>
    <t>Lockup</t>
  </si>
  <si>
    <t>SI, Ins toilet SF</t>
  </si>
  <si>
    <t>Rest room att. toilet, bath</t>
  </si>
  <si>
    <t>Outer line vertical</t>
  </si>
  <si>
    <t>Y connection</t>
  </si>
  <si>
    <t>b) 75 mm dia PVC SWR pipe</t>
  </si>
  <si>
    <t>Inspector room, SI room toilet waste water line in FF</t>
  </si>
  <si>
    <t>Inspector room, SI room toilet waste water line in SF</t>
  </si>
  <si>
    <t>Gents toilet in GF waste water line</t>
  </si>
  <si>
    <t>Men rest room bath</t>
  </si>
  <si>
    <t>Women rest room wash basin</t>
  </si>
  <si>
    <t>Women rest room bath</t>
  </si>
  <si>
    <t>Women rest room toilet</t>
  </si>
  <si>
    <t xml:space="preserve">Gully Trap using Kiln burnt country bricks 22 x 11 x 7 cm. </t>
  </si>
  <si>
    <t>Stilt floor</t>
  </si>
  <si>
    <t>First floor</t>
  </si>
  <si>
    <t>Second floor</t>
  </si>
  <si>
    <t>For Toilets</t>
  </si>
  <si>
    <t>UPVC Non Pressure  pipe of SN8 SDR 34 ( S 16.5) as per IS 15328/2003</t>
  </si>
  <si>
    <t xml:space="preserve">Toilet to IC </t>
  </si>
  <si>
    <t>IC to IC 2</t>
  </si>
  <si>
    <t>IC 2 to IC 3</t>
  </si>
  <si>
    <t>From IC to main chamber</t>
  </si>
  <si>
    <t>b) 160mm dia SW Pipe SN8</t>
  </si>
  <si>
    <t>PVC Specials Bend  as per IS 10124/1982 Part II</t>
  </si>
  <si>
    <t xml:space="preserve">a. 110 mm dia PVC bend </t>
  </si>
  <si>
    <t>PVC Specials Tee  as per IS 10124/1982 Part II</t>
  </si>
  <si>
    <t>a. 110 mm dia PVC Equal tee</t>
  </si>
  <si>
    <t>Wiring with 1.5 sqmm PVC insulated single core multi strand fire retardant flexible copper cable with ISI mark confirming IS: 694:1990.</t>
  </si>
  <si>
    <t xml:space="preserve">a. Light point with ceiling rose                       </t>
  </si>
  <si>
    <t>Parking</t>
  </si>
  <si>
    <t>Ramp portion</t>
  </si>
  <si>
    <t>Lobby</t>
  </si>
  <si>
    <t>Inspecter</t>
  </si>
  <si>
    <t>Writer room</t>
  </si>
  <si>
    <t>Arms &amp; Property</t>
  </si>
  <si>
    <t>SI (3 Nos)</t>
  </si>
  <si>
    <t>Corridor</t>
  </si>
  <si>
    <t>Second Floor</t>
  </si>
  <si>
    <t>Interrogation Lunch</t>
  </si>
  <si>
    <t>Rest room men &amp; women</t>
  </si>
  <si>
    <t xml:space="preserve">Head room </t>
  </si>
  <si>
    <t xml:space="preserve">b. Light point without ceiling rose                               </t>
  </si>
  <si>
    <t>Property room &amp; Arms</t>
  </si>
  <si>
    <t>Lockup M &amp; W</t>
  </si>
  <si>
    <t>Head room Inner</t>
  </si>
  <si>
    <t>Mid landing bottom</t>
  </si>
  <si>
    <t>`</t>
  </si>
  <si>
    <t xml:space="preserve">c. Calling bell point with Buzzer/Calling bell           </t>
  </si>
  <si>
    <t>SI</t>
  </si>
  <si>
    <t xml:space="preserve">Wiring with 1.5 sqmm PVC insulated single core multi strand fire retardant flexible copper cable with ISI mark confirming IS: 694:1990 for Fan point.   </t>
  </si>
  <si>
    <t xml:space="preserve">Wiring with 1.5 sqmm PVC insulated single core multi strand fire retardant flexible copper cable with ISI mark confirming IS: 694:1990 for Staircase Light Point. </t>
  </si>
  <si>
    <t xml:space="preserve">Wiring with 1.5 sqmm PVC insulated single core multi strand fire retardant flexible copper cable with ISI mark confirming IS: 694:1990 for 5 amps 5 pin plug socket point @ Switch Board Itself. </t>
  </si>
  <si>
    <t xml:space="preserve">Wiring with 1.5 sqmm PVC insulated single core multi strand fire retardant flexible copper cable with ISI mark confirming IS: 694:1990 for 5 amps 5 pin plug socket point @ Convenient Places. </t>
  </si>
  <si>
    <t xml:space="preserve">Property room </t>
  </si>
  <si>
    <t xml:space="preserve">15 Amp. Power plug   </t>
  </si>
  <si>
    <t>70.1.1</t>
  </si>
  <si>
    <t xml:space="preserve">S &amp; F of Bulk head fitting </t>
  </si>
  <si>
    <t>Lock Up</t>
  </si>
  <si>
    <t>Head Room outer</t>
  </si>
  <si>
    <t>S/F of 9 Watts LED Bulb</t>
  </si>
  <si>
    <t>For toilets</t>
  </si>
  <si>
    <t>Inspecor Toilet and wash area</t>
  </si>
  <si>
    <t>SI Toilet and wash area</t>
  </si>
  <si>
    <t>Inspector Toilet and wash area</t>
  </si>
  <si>
    <t>SI Toilet</t>
  </si>
  <si>
    <t>Rest room Men Toilet</t>
  </si>
  <si>
    <t>Rest room Women Toilet</t>
  </si>
  <si>
    <t>Rest room Women Wash area</t>
  </si>
  <si>
    <t>Rooms inner</t>
  </si>
  <si>
    <t>Head room Outer (Bulk Head fitting)</t>
  </si>
  <si>
    <t>S/F of box type fibre fan hook</t>
  </si>
  <si>
    <t>As per Fan point Qty</t>
  </si>
  <si>
    <t>Labour charges for fixing of ceiling fan</t>
  </si>
  <si>
    <t>75.1.2</t>
  </si>
  <si>
    <t>Supply and delivery of 48" ceiling fan of approved make</t>
  </si>
  <si>
    <t>S/F of 8 SWG wire wall below GL</t>
  </si>
  <si>
    <t>Earthing connection</t>
  </si>
  <si>
    <t>Run off 2 wires of 2.5sqmm copper pvc insulated unsheathed</t>
  </si>
  <si>
    <t>ELCB to Power plug</t>
  </si>
  <si>
    <t>Run off 4 wires of 4sqmm incl cost of all works etc</t>
  </si>
  <si>
    <t>For EB pole to meter board</t>
  </si>
  <si>
    <t>S&amp;F of TV/Telephone line socket</t>
  </si>
  <si>
    <t>Ins, SI</t>
  </si>
  <si>
    <t>S/F of 20mm dia PVC pipe for TV/Telephone</t>
  </si>
  <si>
    <t>For Telephone connection</t>
  </si>
  <si>
    <t>Providing Earthing station</t>
  </si>
  <si>
    <t>S/F of 3 no of 32 amps fuse unit</t>
  </si>
  <si>
    <t>EB supply at Pole</t>
  </si>
  <si>
    <t>S/F of 1 no of 32 amps fuse unit</t>
  </si>
  <si>
    <t>S/F of 450 x 375 x 20mm TW plank</t>
  </si>
  <si>
    <t>For Service</t>
  </si>
  <si>
    <t>S/F of meter cupboard</t>
  </si>
  <si>
    <t xml:space="preserve">S &amp; F of Street light LED </t>
  </si>
  <si>
    <t>S/F of MS angle of 40x40x6mm</t>
  </si>
  <si>
    <t>For EB Service</t>
  </si>
  <si>
    <t>S/F of ELCB ( 3Phase)</t>
  </si>
  <si>
    <t>Rain water harvesting using defunct borewell and perforated cover slab</t>
  </si>
  <si>
    <t>a) Providing pit</t>
  </si>
  <si>
    <t>b) Augering 30cm dia bore holes</t>
  </si>
  <si>
    <t>Supplying and fixing of tube light fittings LED 18Watts</t>
  </si>
  <si>
    <t>Writter room</t>
  </si>
  <si>
    <t>Supplying and fixing of triple pole main switch 32 amps 500 v</t>
  </si>
  <si>
    <t xml:space="preserve">Suppllying of 40mm dia GI Pipe B Glass </t>
  </si>
  <si>
    <t>Supplying and fixing of Bevelled edge Mirror</t>
  </si>
  <si>
    <t>Supplying and fixing of 6 Way DB</t>
  </si>
  <si>
    <t xml:space="preserve">Supplying,fabricating and placing in position of M.S/RTS Grills all reinfocement works including one of cement slurry wash </t>
  </si>
  <si>
    <t>As per Item No. 14.I (b)</t>
  </si>
  <si>
    <t>As per Item No. 14.I (c)</t>
  </si>
  <si>
    <t>As per Item No. 14.II (a)</t>
  </si>
  <si>
    <t>As per Item No. 14.II (b)</t>
  </si>
  <si>
    <t>As per Item No. 14.II ©</t>
  </si>
  <si>
    <t>As per Item No. 4.1 (a)</t>
  </si>
  <si>
    <t>As per Item No. 8.1 (b)</t>
  </si>
  <si>
    <t>As per Item No. 8.1 (c)</t>
  </si>
  <si>
    <t>As per Item No. 8.1 (d)</t>
  </si>
  <si>
    <t>As per Item No. 8.1 (e)</t>
  </si>
  <si>
    <t>Kg/Cum</t>
  </si>
  <si>
    <t xml:space="preserve">As per Barbending schedule </t>
  </si>
  <si>
    <t>SAY</t>
  </si>
  <si>
    <t>Form work for all RCC works</t>
  </si>
  <si>
    <t>Plain surfaces such as Roof slab,floorslab,Beams,lintels,lofts,sill slab,staircase,portico slab and other similar works</t>
  </si>
  <si>
    <t>a) Ground Floor/Silt Foor</t>
  </si>
  <si>
    <t>Sill Slab 2 sides</t>
  </si>
  <si>
    <t>GF Door/Window/Ventilator bottom</t>
  </si>
  <si>
    <t>Waist slab - I flight bottom</t>
  </si>
  <si>
    <t>Waist slab - I flight side</t>
  </si>
  <si>
    <t>Mid landing slab bottom</t>
  </si>
  <si>
    <t>Mid landing beam outer</t>
  </si>
  <si>
    <t>Mid landing beam inner</t>
  </si>
  <si>
    <t>Steps sides</t>
  </si>
  <si>
    <t>Steps front</t>
  </si>
  <si>
    <t>Waist slab - II flight bottom</t>
  </si>
  <si>
    <t>Waist slab - II flight side</t>
  </si>
  <si>
    <t>Outer Allround</t>
  </si>
  <si>
    <t>add</t>
  </si>
  <si>
    <t>Entrance 3 sides</t>
  </si>
  <si>
    <t>Gents toilet &amp; wash area inner allround</t>
  </si>
  <si>
    <t>Below Property Room inner allround</t>
  </si>
  <si>
    <t>Slab Bottom</t>
  </si>
  <si>
    <t>Toilet  &amp; wash aera inner allround</t>
  </si>
  <si>
    <t>CCTNS Room &amp; Property roominner allround</t>
  </si>
  <si>
    <t>SI (Nos)</t>
  </si>
  <si>
    <t>waiting</t>
  </si>
  <si>
    <t>SF Door/Window/Ventilator bottom</t>
  </si>
  <si>
    <t xml:space="preserve"> men Rest room toilets  allround</t>
  </si>
  <si>
    <t>Men Rest Room allround</t>
  </si>
  <si>
    <t>women oom allround</t>
  </si>
  <si>
    <t xml:space="preserve"> WomenToilet inner allround</t>
  </si>
  <si>
    <t>Rest Room &amp; Interrogation room</t>
  </si>
  <si>
    <t>Allround Outer</t>
  </si>
  <si>
    <t>Inner allround</t>
  </si>
  <si>
    <t>middle beam</t>
  </si>
  <si>
    <t>Roof slab</t>
  </si>
  <si>
    <t>Head room bottom</t>
  </si>
  <si>
    <t>c) For Square and rectangular columns and small quantities</t>
  </si>
  <si>
    <t>As per Below Basement Qty.</t>
  </si>
  <si>
    <t>a) Ground Floor/Stilt Floor</t>
  </si>
  <si>
    <t>Column Alround</t>
  </si>
  <si>
    <t>Column C1</t>
  </si>
  <si>
    <t>Column C2</t>
  </si>
  <si>
    <t>Column C3</t>
  </si>
  <si>
    <t>Column C4</t>
  </si>
  <si>
    <t>Sunshade bottom</t>
  </si>
  <si>
    <t>Column C5</t>
  </si>
  <si>
    <t>Sunshade 2sides</t>
  </si>
  <si>
    <t>Sunshade 3 sides</t>
  </si>
  <si>
    <t>Parapet column allround</t>
  </si>
  <si>
    <t>Column Raising upto Roof beam Bottom allround</t>
  </si>
  <si>
    <t xml:space="preserve">Providing antitermite treatment including cost of chemicals labour as per standard specification </t>
  </si>
  <si>
    <t xml:space="preserve">For Building </t>
  </si>
  <si>
    <t>S&amp;F of CB/WR double leaf shutters with TW Styles and 9mm BWR plywood</t>
  </si>
  <si>
    <t>INS CB</t>
  </si>
  <si>
    <t>c) In Second floor</t>
  </si>
  <si>
    <t>SI 3 Nos CB</t>
  </si>
  <si>
    <t>Rest Room Men</t>
  </si>
  <si>
    <t>S/L of conceling the 50mm dia pvc (SWR)- Type-B</t>
  </si>
  <si>
    <t>Stilt Floor (Gents Toilet)</t>
  </si>
  <si>
    <t>First Floor (Inspector Toilet, SI Toilet)</t>
  </si>
  <si>
    <t>Second Floor (Inspector, SI, Rest Room Men and Women)</t>
  </si>
  <si>
    <t>Attached Toilet</t>
  </si>
  <si>
    <t>Second Floor (Inspector, SI, Resroom Men and Women)</t>
  </si>
  <si>
    <t>*****</t>
  </si>
  <si>
    <t>Inspector Room AC to DB</t>
  </si>
  <si>
    <t>Main to DB</t>
  </si>
  <si>
    <t>R.C.C.Door frames of size 100 x 75mm with one edge grooves size 't' x 20 mm using M20 grade ( with out vibrating charges)</t>
  </si>
  <si>
    <t>d. 1.00x2.10m</t>
  </si>
  <si>
    <t>TRICHY DIVISION, TRICHY</t>
  </si>
  <si>
    <t xml:space="preserve"> Septic Tank</t>
  </si>
  <si>
    <t>SI.
No.</t>
  </si>
  <si>
    <t>Description of works</t>
  </si>
  <si>
    <t>Breath</t>
  </si>
  <si>
    <t>Earth work excavation for open foundation (Excluding refilling)</t>
  </si>
  <si>
    <t>a) 0 to 2m depth</t>
  </si>
  <si>
    <t xml:space="preserve">For Septic tank </t>
  </si>
  <si>
    <t>Inlet and Outlet</t>
  </si>
  <si>
    <t>For Dispersion Trench</t>
  </si>
  <si>
    <t>Supplying and filling sand</t>
  </si>
  <si>
    <t>For Trench</t>
  </si>
  <si>
    <t>P.C.C.1:5:10 for Foundation &amp; Basement</t>
  </si>
  <si>
    <t xml:space="preserve">Brick Work in CM 1:5, using kiln burnt country bricks of size 22x11x7cm in Foundation and Basement </t>
  </si>
  <si>
    <t>For Septic tank</t>
  </si>
  <si>
    <t xml:space="preserve">I st Footing </t>
  </si>
  <si>
    <t xml:space="preserve">II nd Footing </t>
  </si>
  <si>
    <t xml:space="preserve">III rd Footing </t>
  </si>
  <si>
    <t>Baffle wall -2 Nos</t>
  </si>
  <si>
    <t>For Septic tank base slab</t>
  </si>
  <si>
    <t>For Spetic tank cover slab</t>
  </si>
  <si>
    <t>D/F - Manhole Cover</t>
  </si>
  <si>
    <t>Baffle wall Beam</t>
  </si>
  <si>
    <t>Form work and centering for RCC Works</t>
  </si>
  <si>
    <t>b) Plain surfaces such as Roof slab,floorslab,Beams,lintels,lofts,sill slab,staircase,portico slab and other similar works</t>
  </si>
  <si>
    <t>For Spetic tank cover slab bottom</t>
  </si>
  <si>
    <t>Septic tank sides</t>
  </si>
  <si>
    <t>Manhole sides</t>
  </si>
  <si>
    <t>Baffle wall beam 3 sides</t>
  </si>
  <si>
    <t>Precast Concrete cover slab  40mm thick.etc., all complete.
a) In foundation and basement</t>
  </si>
  <si>
    <t>For Inlet and Outlet</t>
  </si>
  <si>
    <t xml:space="preserve">Plastering in CM1:4, 20 mm tk </t>
  </si>
  <si>
    <t>For I/C inner</t>
  </si>
  <si>
    <t>Ellis pattern flooring</t>
  </si>
  <si>
    <t>Septic tank top</t>
  </si>
  <si>
    <t>D/F - Manhole Cover slab</t>
  </si>
  <si>
    <t xml:space="preserve">Plastering in CM1:5, 12mm tk </t>
  </si>
  <si>
    <t>For Septic tank Outlet</t>
  </si>
  <si>
    <t>I st Footing offset</t>
  </si>
  <si>
    <t>II nd Footing offset</t>
  </si>
  <si>
    <t>Inlet and Outlet &amp; IC</t>
  </si>
  <si>
    <t xml:space="preserve">Plastering in CM1:4, 12mm tk </t>
  </si>
  <si>
    <t>For SepticTank Inner</t>
  </si>
  <si>
    <t xml:space="preserve">Baffle wall </t>
  </si>
  <si>
    <t>Top</t>
  </si>
  <si>
    <t>Septic tank bottom</t>
  </si>
  <si>
    <t>Inlet and outlet sides</t>
  </si>
  <si>
    <t>Supplying and fixing of PVC 110 mm dia ventilator shaft with cowl</t>
  </si>
  <si>
    <t>Septic tank</t>
  </si>
  <si>
    <t>Fabrication of Mild steel / RTS grills (with cement slurry wash)</t>
  </si>
  <si>
    <t>As per Bar Bending Schedule qty.</t>
  </si>
  <si>
    <t>Supplying and fixing of SN8 Pipe</t>
  </si>
  <si>
    <t>a) 110mm dia.</t>
  </si>
  <si>
    <t>Inspection Chamber to inlet</t>
  </si>
  <si>
    <t xml:space="preserve">b) 160 mm dia </t>
  </si>
  <si>
    <t>For Dispersion trench</t>
  </si>
  <si>
    <t>Valavanthankottai</t>
  </si>
  <si>
    <t>Neikulam (Lalgudi)</t>
  </si>
  <si>
    <t>Vallam</t>
  </si>
  <si>
    <t>2023-2024</t>
  </si>
  <si>
    <t xml:space="preserve">For 3 m3 </t>
  </si>
  <si>
    <t>Casurina Props 10 to 13 m dia @ 75m c/c cost for 1 operation 25.20/5=5.040 p-19 it-116/b</t>
  </si>
  <si>
    <t>Painting / lettering charges qtn</t>
  </si>
  <si>
    <t>ONE COAT OF WALL PATTY         CHENNAI CITY</t>
  </si>
  <si>
    <t>1.65 x 1.65</t>
  </si>
  <si>
    <t>2.10 x 2.10</t>
  </si>
  <si>
    <t>1.75 x 1.75</t>
  </si>
  <si>
    <t>C4F4</t>
  </si>
  <si>
    <t>2.40 x 2.40</t>
  </si>
  <si>
    <t>C5F4</t>
  </si>
  <si>
    <t>1.75 x 2.20</t>
  </si>
  <si>
    <t>Total No. of Columns</t>
  </si>
  <si>
    <t>Standared M20 Grade Concrete - Foundation and basement</t>
  </si>
  <si>
    <t>For Main Door with Brass fittings</t>
  </si>
  <si>
    <t>Supply and filling of 40 mm HBS jelly</t>
  </si>
  <si>
    <t>Supply and filling of 20 mm HBS jelly</t>
  </si>
  <si>
    <r>
      <t xml:space="preserve">Tamil Nadu Police Housing Corparation Ltd. </t>
    </r>
    <r>
      <rPr>
        <b/>
        <sz val="12"/>
        <rFont val="Calibri"/>
        <family val="2"/>
        <scheme val="minor"/>
      </rPr>
      <t xml:space="preserve"> DATA</t>
    </r>
  </si>
  <si>
    <r>
      <t xml:space="preserve">EARTH WORK EXCAVATION  for </t>
    </r>
    <r>
      <rPr>
        <b/>
        <sz val="12"/>
        <rFont val="Calibri"/>
        <family val="2"/>
        <scheme val="minor"/>
      </rPr>
      <t>SDR</t>
    </r>
  </si>
  <si>
    <r>
      <t xml:space="preserve">EARTH WORK EXCAVATION  for </t>
    </r>
    <r>
      <rPr>
        <b/>
        <sz val="12"/>
        <rFont val="Calibri"/>
        <family val="2"/>
        <scheme val="minor"/>
      </rPr>
      <t>open foundation</t>
    </r>
    <r>
      <rPr>
        <sz val="12"/>
        <rFont val="Calibri"/>
        <family val="2"/>
        <scheme val="minor"/>
      </rPr>
      <t>EXCLUDING REFILLING</t>
    </r>
  </si>
  <si>
    <r>
      <t xml:space="preserve">BASEMENT  WITH  </t>
    </r>
    <r>
      <rPr>
        <b/>
        <sz val="12"/>
        <rFont val="Calibri"/>
        <family val="2"/>
        <scheme val="minor"/>
      </rPr>
      <t>FILLING WELL GRAVEL</t>
    </r>
  </si>
  <si>
    <r>
      <t xml:space="preserve">RATE PER CUM EXCLUDING REFILLING
</t>
    </r>
    <r>
      <rPr>
        <b/>
        <sz val="12"/>
        <rFont val="Calibri"/>
        <family val="2"/>
        <scheme val="minor"/>
      </rPr>
      <t>IN SDR (OPEN FOUNDATION)</t>
    </r>
  </si>
  <si>
    <r>
      <t xml:space="preserve">BASEMENT  WITH  </t>
    </r>
    <r>
      <rPr>
        <b/>
        <sz val="12"/>
        <rFont val="Calibri"/>
        <family val="2"/>
        <scheme val="minor"/>
      </rPr>
      <t>FILLING SAND</t>
    </r>
  </si>
  <si>
    <r>
      <t xml:space="preserve">BASEMENT  WITH  </t>
    </r>
    <r>
      <rPr>
        <b/>
        <sz val="12"/>
        <rFont val="Calibri"/>
        <family val="2"/>
        <scheme val="minor"/>
      </rPr>
      <t>FILLING GRAVEL</t>
    </r>
  </si>
  <si>
    <r>
      <t xml:space="preserve">PROVIDING </t>
    </r>
    <r>
      <rPr>
        <b/>
        <sz val="12"/>
        <rFont val="Calibri"/>
        <family val="2"/>
        <scheme val="minor"/>
      </rPr>
      <t>SAND  GRAVEL MIX</t>
    </r>
  </si>
  <si>
    <r>
      <t xml:space="preserve">BASEMENT  WITH  </t>
    </r>
    <r>
      <rPr>
        <b/>
        <sz val="12"/>
        <rFont val="Calibri"/>
        <family val="2"/>
        <scheme val="minor"/>
      </rPr>
      <t>STONE DUST</t>
    </r>
  </si>
  <si>
    <r>
      <t xml:space="preserve">Providing </t>
    </r>
    <r>
      <rPr>
        <b/>
        <sz val="12"/>
        <rFont val="Calibri"/>
        <family val="2"/>
        <scheme val="minor"/>
      </rPr>
      <t>GRAVEL SOLING</t>
    </r>
    <r>
      <rPr>
        <sz val="12"/>
        <rFont val="Calibri"/>
        <family val="2"/>
        <scheme val="minor"/>
      </rPr>
      <t xml:space="preserve"> of 150mm thick</t>
    </r>
  </si>
  <si>
    <r>
      <t>CEMENT CONCRETE</t>
    </r>
    <r>
      <rPr>
        <b/>
        <sz val="12"/>
        <rFont val="Calibri"/>
        <family val="2"/>
        <scheme val="minor"/>
      </rPr>
      <t xml:space="preserve"> PCC (1:2:4)</t>
    </r>
    <r>
      <rPr>
        <sz val="12"/>
        <rFont val="Calibri"/>
        <family val="2"/>
        <scheme val="minor"/>
      </rPr>
      <t xml:space="preserve"> USING</t>
    </r>
  </si>
  <si>
    <r>
      <t>CEMENT CONCRETE</t>
    </r>
    <r>
      <rPr>
        <b/>
        <sz val="12"/>
        <rFont val="Calibri"/>
        <family val="2"/>
        <scheme val="minor"/>
      </rPr>
      <t>(1:8:16)</t>
    </r>
    <r>
      <rPr>
        <sz val="12"/>
        <rFont val="Calibri"/>
        <family val="2"/>
        <scheme val="minor"/>
      </rPr>
      <t xml:space="preserve"> USING</t>
    </r>
  </si>
  <si>
    <r>
      <t>CEMENT CONCRETE</t>
    </r>
    <r>
      <rPr>
        <b/>
        <sz val="12"/>
        <rFont val="Calibri"/>
        <family val="2"/>
        <scheme val="minor"/>
      </rPr>
      <t>(1:4:8)</t>
    </r>
    <r>
      <rPr>
        <sz val="12"/>
        <rFont val="Calibri"/>
        <family val="2"/>
        <scheme val="minor"/>
      </rPr>
      <t xml:space="preserve"> USING</t>
    </r>
  </si>
  <si>
    <r>
      <t xml:space="preserve">PROVIDING  </t>
    </r>
    <r>
      <rPr>
        <b/>
        <sz val="12"/>
        <rFont val="Calibri"/>
        <family val="2"/>
        <scheme val="minor"/>
      </rPr>
      <t>WBM 125mm</t>
    </r>
    <r>
      <rPr>
        <sz val="12"/>
        <rFont val="Calibri"/>
        <family val="2"/>
        <scheme val="minor"/>
      </rPr>
      <t xml:space="preserve"> CONSOLIDATED</t>
    </r>
  </si>
  <si>
    <r>
      <t xml:space="preserve">SURFACE DRESSING OVER </t>
    </r>
    <r>
      <rPr>
        <b/>
        <sz val="12"/>
        <rFont val="Calibri"/>
        <family val="2"/>
        <scheme val="minor"/>
      </rPr>
      <t>WBM 25mm TK.</t>
    </r>
  </si>
  <si>
    <r>
      <t xml:space="preserve">PROVIDING </t>
    </r>
    <r>
      <rPr>
        <b/>
        <sz val="12"/>
        <rFont val="Calibri"/>
        <family val="2"/>
        <scheme val="minor"/>
      </rPr>
      <t>BITUMEN PAD</t>
    </r>
    <r>
      <rPr>
        <sz val="12"/>
        <rFont val="Calibri"/>
        <family val="2"/>
        <scheme val="minor"/>
      </rPr>
      <t xml:space="preserve"> FOR EXPANISION </t>
    </r>
  </si>
  <si>
    <r>
      <t xml:space="preserve"> P.C.C,R.C.C SLAB OF20mm THICK </t>
    </r>
    <r>
      <rPr>
        <b/>
        <sz val="12"/>
        <rFont val="Calibri"/>
        <family val="2"/>
        <scheme val="minor"/>
      </rPr>
      <t>using standardised concrete mix M20</t>
    </r>
  </si>
  <si>
    <r>
      <t xml:space="preserve"> P.C.C,R.C.C SLAB OF20mm THICK </t>
    </r>
    <r>
      <rPr>
        <b/>
        <sz val="12"/>
        <rFont val="Calibri"/>
        <family val="2"/>
        <scheme val="minor"/>
      </rPr>
      <t>using standardised concrete mix M30</t>
    </r>
  </si>
  <si>
    <r>
      <t xml:space="preserve"> P.C.C,R.C.C SLAB OF20mm THICK </t>
    </r>
    <r>
      <rPr>
        <b/>
        <sz val="12"/>
        <rFont val="Calibri"/>
        <family val="2"/>
        <scheme val="minor"/>
      </rPr>
      <t>using standardised concrete mix M25</t>
    </r>
  </si>
  <si>
    <r>
      <t xml:space="preserve"> P.C.C,R.C.C SLAB OF40mm THICK </t>
    </r>
    <r>
      <rPr>
        <b/>
        <sz val="12"/>
        <rFont val="Calibri"/>
        <family val="2"/>
        <scheme val="minor"/>
      </rPr>
      <t>using standardised concrete mix of M20 grade</t>
    </r>
  </si>
  <si>
    <r>
      <t xml:space="preserve"> P.C.C,R.C.C SLAB OF40mm THICK </t>
    </r>
    <r>
      <rPr>
        <b/>
        <sz val="12"/>
        <rFont val="Calibri"/>
        <family val="2"/>
        <scheme val="minor"/>
      </rPr>
      <t>using standardised concrete mix of M30 grade</t>
    </r>
  </si>
  <si>
    <r>
      <t xml:space="preserve"> P.C.C,R.C.C SLAB OF40mm THICK </t>
    </r>
    <r>
      <rPr>
        <b/>
        <sz val="12"/>
        <rFont val="Calibri"/>
        <family val="2"/>
        <scheme val="minor"/>
      </rPr>
      <t>using standardised concrete mix of M25 grade</t>
    </r>
  </si>
  <si>
    <r>
      <t xml:space="preserve">Glazed-WALL TILES PLAINCOLOUR-6MM T.K (PWD LR) 100x200x6mm 
</t>
    </r>
    <r>
      <rPr>
        <b/>
        <sz val="12"/>
        <rFont val="Calibri"/>
        <family val="2"/>
        <scheme val="minor"/>
      </rPr>
      <t>item no. 11(ii)</t>
    </r>
  </si>
  <si>
    <r>
      <t xml:space="preserve"> 20mm Thick slab:- For </t>
    </r>
    <r>
      <rPr>
        <b/>
        <sz val="12"/>
        <rFont val="Calibri"/>
        <family val="2"/>
        <scheme val="minor"/>
      </rPr>
      <t>kitchen arrangements only</t>
    </r>
  </si>
  <si>
    <r>
      <t xml:space="preserve">P.V.C. SOIL BENDWITH DOOR 110mm DIA </t>
    </r>
    <r>
      <rPr>
        <b/>
        <sz val="12"/>
        <rFont val="Calibri"/>
        <family val="2"/>
        <scheme val="minor"/>
      </rPr>
      <t xml:space="preserve">Qtn </t>
    </r>
  </si>
  <si>
    <r>
      <t xml:space="preserve">20mm HBG Machine crushed stone jelly   </t>
    </r>
    <r>
      <rPr>
        <b/>
        <sz val="12"/>
        <rFont val="Calibri"/>
        <family val="2"/>
        <scheme val="minor"/>
      </rPr>
      <t xml:space="preserve"> (7730 Kg)</t>
    </r>
  </si>
  <si>
    <r>
      <t xml:space="preserve">10-12mm HBG Machine crushed stone jelly   </t>
    </r>
    <r>
      <rPr>
        <b/>
        <sz val="12"/>
        <rFont val="Calibri"/>
        <family val="2"/>
        <scheme val="minor"/>
      </rPr>
      <t xml:space="preserve"> (5156 Kg)</t>
    </r>
  </si>
  <si>
    <r>
      <t xml:space="preserve">Sand   </t>
    </r>
    <r>
      <rPr>
        <b/>
        <sz val="12"/>
        <rFont val="Calibri"/>
        <family val="2"/>
        <scheme val="minor"/>
      </rPr>
      <t xml:space="preserve"> (7670 Kg)</t>
    </r>
  </si>
  <si>
    <r>
      <t xml:space="preserve">PROVIDING ANTI-TERMITE TREATMENT </t>
    </r>
    <r>
      <rPr>
        <b/>
        <sz val="12"/>
        <rFont val="Calibri"/>
        <family val="2"/>
        <scheme val="minor"/>
      </rPr>
      <t>Say 34</t>
    </r>
  </si>
  <si>
    <r>
      <t xml:space="preserve">Satndardised cement Concrtet </t>
    </r>
    <r>
      <rPr>
        <b/>
        <sz val="12"/>
        <rFont val="Calibri"/>
        <family val="2"/>
        <scheme val="minor"/>
      </rPr>
      <t>M30 grade 1:1.5:3 without vibrating charges</t>
    </r>
  </si>
  <si>
    <r>
      <t>S/F OF</t>
    </r>
    <r>
      <rPr>
        <b/>
        <sz val="12"/>
        <rFont val="Calibri"/>
        <family val="2"/>
        <scheme val="minor"/>
      </rPr>
      <t xml:space="preserve"> BWR PLYWOOD DOOR</t>
    </r>
  </si>
  <si>
    <r>
      <t xml:space="preserve">I.O FITTINGS AS PER SCHEDULE E </t>
    </r>
    <r>
      <rPr>
        <b/>
        <sz val="12"/>
        <rFont val="Calibri"/>
        <family val="2"/>
        <scheme val="minor"/>
      </rPr>
      <t>1200 x 2100mm size</t>
    </r>
  </si>
  <si>
    <r>
      <t xml:space="preserve">Supplying and fixing </t>
    </r>
    <r>
      <rPr>
        <b/>
        <sz val="12"/>
        <rFont val="Calibri"/>
        <family val="2"/>
        <scheme val="minor"/>
      </rPr>
      <t>4mm thick pin</t>
    </r>
  </si>
  <si>
    <r>
      <t xml:space="preserve">COST OF Eurocon TILES </t>
    </r>
    <r>
      <rPr>
        <b/>
        <sz val="12"/>
        <rFont val="Calibri"/>
        <family val="2"/>
        <scheme val="minor"/>
      </rPr>
      <t>(pwd -p 35/17</t>
    </r>
  </si>
  <si>
    <r>
      <t xml:space="preserve">COST OF Vertified TILES  </t>
    </r>
    <r>
      <rPr>
        <b/>
        <sz val="12"/>
        <rFont val="Calibri"/>
        <family val="2"/>
        <scheme val="minor"/>
      </rPr>
      <t>qtn</t>
    </r>
  </si>
  <si>
    <r>
      <t xml:space="preserve">Suppling and laying </t>
    </r>
    <r>
      <rPr>
        <b/>
        <sz val="12"/>
        <rFont val="Calibri"/>
        <family val="2"/>
        <scheme val="minor"/>
      </rPr>
      <t>colour matt finish floor tiles</t>
    </r>
  </si>
  <si>
    <r>
      <t xml:space="preserve">Suppling and laying </t>
    </r>
    <r>
      <rPr>
        <b/>
        <sz val="12"/>
        <rFont val="Calibri"/>
        <family val="2"/>
        <scheme val="minor"/>
      </rPr>
      <t>colour matt finish wall tiles</t>
    </r>
  </si>
  <si>
    <r>
      <t xml:space="preserve">PAINTING TWO COATS OVER NEW           </t>
    </r>
    <r>
      <rPr>
        <b/>
        <sz val="12"/>
        <rFont val="Calibri"/>
        <family val="2"/>
        <scheme val="minor"/>
      </rPr>
      <t>(as per CER-112/2007-08)</t>
    </r>
  </si>
  <si>
    <r>
      <t xml:space="preserve">S &amp; F of </t>
    </r>
    <r>
      <rPr>
        <b/>
        <sz val="12"/>
        <rFont val="Calibri"/>
        <family val="2"/>
        <scheme val="minor"/>
      </rPr>
      <t>Granite slab 18mm to 12mm Thick</t>
    </r>
    <r>
      <rPr>
        <sz val="12"/>
        <rFont val="Calibri"/>
        <family val="2"/>
        <scheme val="minor"/>
      </rPr>
      <t xml:space="preserve"> For </t>
    </r>
    <r>
      <rPr>
        <b/>
        <sz val="12"/>
        <rFont val="Calibri"/>
        <family val="2"/>
        <scheme val="minor"/>
      </rPr>
      <t xml:space="preserve">kitchen arrangements </t>
    </r>
  </si>
  <si>
    <r>
      <t>WATER REPELLANT PAINT</t>
    </r>
    <r>
      <rPr>
        <sz val="12"/>
        <rFont val="Calibri"/>
        <family val="2"/>
        <scheme val="minor"/>
      </rPr>
      <t xml:space="preserve"> OVER ONE PRIMER COAT</t>
    </r>
  </si>
  <si>
    <r>
      <t xml:space="preserve">Granite slab </t>
    </r>
    <r>
      <rPr>
        <b/>
        <sz val="12"/>
        <rFont val="Calibri"/>
        <family val="2"/>
        <scheme val="minor"/>
      </rPr>
      <t>(Ruby red) P-36 it-29 b</t>
    </r>
  </si>
  <si>
    <r>
      <t xml:space="preserve">OF 10mm&amp;BELOW </t>
    </r>
    <r>
      <rPr>
        <b/>
        <sz val="12"/>
        <rFont val="Calibri"/>
        <family val="2"/>
        <scheme val="minor"/>
      </rPr>
      <t>(ELLISPATTERN)</t>
    </r>
  </si>
  <si>
    <r>
      <t>WEATHERING COURSE</t>
    </r>
    <r>
      <rPr>
        <sz val="12"/>
        <rFont val="Calibri"/>
        <family val="2"/>
        <scheme val="minor"/>
      </rPr>
      <t xml:space="preserve"> WITH BRICK</t>
    </r>
  </si>
  <si>
    <r>
      <t xml:space="preserve">PAINTING TWO COATS OVER NEW            </t>
    </r>
    <r>
      <rPr>
        <b/>
        <sz val="12"/>
        <rFont val="Calibri"/>
        <family val="2"/>
        <scheme val="minor"/>
      </rPr>
      <t xml:space="preserve"> (as per CER-112/2007-08)</t>
    </r>
  </si>
  <si>
    <r>
      <t xml:space="preserve">S &amp; F of </t>
    </r>
    <r>
      <rPr>
        <b/>
        <sz val="12"/>
        <rFont val="Calibri"/>
        <family val="2"/>
        <scheme val="minor"/>
      </rPr>
      <t>Granite slab 18mm to 20mm Thick</t>
    </r>
    <r>
      <rPr>
        <sz val="12"/>
        <rFont val="Calibri"/>
        <family val="2"/>
        <scheme val="minor"/>
      </rPr>
      <t xml:space="preserve"> For </t>
    </r>
    <r>
      <rPr>
        <b/>
        <sz val="12"/>
        <rFont val="Calibri"/>
        <family val="2"/>
        <scheme val="minor"/>
      </rPr>
      <t xml:space="preserve">kitchen arrangements </t>
    </r>
  </si>
  <si>
    <r>
      <t xml:space="preserve">Granite slab </t>
    </r>
    <r>
      <rPr>
        <b/>
        <sz val="12"/>
        <rFont val="Calibri"/>
        <family val="2"/>
        <scheme val="minor"/>
      </rPr>
      <t>( Jet Black) P-36 it-29 a</t>
    </r>
  </si>
  <si>
    <r>
      <t xml:space="preserve">Granite slab </t>
    </r>
    <r>
      <rPr>
        <b/>
        <sz val="12"/>
        <rFont val="Calibri"/>
        <family val="2"/>
        <scheme val="minor"/>
      </rPr>
      <t>(Ruby red) P-36 it-29b</t>
    </r>
  </si>
  <si>
    <r>
      <t xml:space="preserve">FITTER  </t>
    </r>
    <r>
      <rPr>
        <b/>
        <sz val="12"/>
        <rFont val="Calibri"/>
        <family val="2"/>
        <scheme val="minor"/>
      </rPr>
      <t>Ist CLASS</t>
    </r>
  </si>
  <si>
    <r>
      <t xml:space="preserve">MAZDOOR  </t>
    </r>
    <r>
      <rPr>
        <b/>
        <sz val="12"/>
        <rFont val="Calibri"/>
        <family val="2"/>
        <scheme val="minor"/>
      </rPr>
      <t>Ist CLASS</t>
    </r>
  </si>
  <si>
    <r>
      <t>CARPENTER</t>
    </r>
    <r>
      <rPr>
        <b/>
        <sz val="12"/>
        <rFont val="Calibri"/>
        <family val="2"/>
        <scheme val="minor"/>
      </rPr>
      <t xml:space="preserve"> II CLASS</t>
    </r>
  </si>
  <si>
    <r>
      <t>DOWN FALL PIPE    T</t>
    </r>
    <r>
      <rPr>
        <b/>
        <sz val="12"/>
        <rFont val="Calibri"/>
        <family val="2"/>
        <scheme val="minor"/>
      </rPr>
      <t>ype- A  SWR pipe</t>
    </r>
  </si>
  <si>
    <r>
      <t xml:space="preserve">SUPPLY AND FIXING ALUMINUM </t>
    </r>
    <r>
      <rPr>
        <b/>
        <sz val="12"/>
        <rFont val="Calibri"/>
        <family val="2"/>
        <scheme val="minor"/>
      </rPr>
      <t xml:space="preserve">TOWEL RAIL </t>
    </r>
    <r>
      <rPr>
        <sz val="12"/>
        <rFont val="Calibri"/>
        <family val="2"/>
        <scheme val="minor"/>
      </rPr>
      <t>OF</t>
    </r>
  </si>
  <si>
    <r>
      <t xml:space="preserve">SUPPLING AND FIXING </t>
    </r>
    <r>
      <rPr>
        <b/>
        <sz val="12"/>
        <rFont val="Calibri"/>
        <family val="2"/>
        <scheme val="minor"/>
      </rPr>
      <t>COAT STAND</t>
    </r>
  </si>
  <si>
    <r>
      <t xml:space="preserve">SUPPLING AND FIXING OF </t>
    </r>
    <r>
      <rPr>
        <b/>
        <sz val="12"/>
        <rFont val="Calibri"/>
        <family val="2"/>
        <scheme val="minor"/>
      </rPr>
      <t>PICTURE HOOKS</t>
    </r>
  </si>
  <si>
    <r>
      <t xml:space="preserve">Slabs of 50mm thick </t>
    </r>
    <r>
      <rPr>
        <b/>
        <sz val="12"/>
        <rFont val="Calibri"/>
        <family val="2"/>
        <scheme val="minor"/>
      </rPr>
      <t>(precast slab 50mm Thick)</t>
    </r>
  </si>
  <si>
    <r>
      <t>KERB STONE</t>
    </r>
    <r>
      <rPr>
        <sz val="12"/>
        <rFont val="Calibri"/>
        <family val="2"/>
        <scheme val="minor"/>
      </rPr>
      <t xml:space="preserve"> 450x300x150mm</t>
    </r>
  </si>
  <si>
    <r>
      <t>WASHBASIN</t>
    </r>
    <r>
      <rPr>
        <sz val="12"/>
        <rFont val="Calibri"/>
        <family val="2"/>
        <scheme val="minor"/>
      </rPr>
      <t xml:space="preserve"> 22"X16" INCLUDING</t>
    </r>
  </si>
  <si>
    <r>
      <t>SUPPLY AND FIXING OF E.W.C.   18" SIZE</t>
    </r>
    <r>
      <rPr>
        <b/>
        <sz val="12"/>
        <rFont val="Calibri"/>
        <family val="2"/>
        <scheme val="minor"/>
      </rPr>
      <t xml:space="preserve"> (WHITE)</t>
    </r>
  </si>
  <si>
    <r>
      <t xml:space="preserve">SUPPLY AND FIXING OF E.W.C.   18" SIZE </t>
    </r>
    <r>
      <rPr>
        <b/>
        <sz val="12"/>
        <rFont val="Calibri"/>
        <family val="2"/>
        <scheme val="minor"/>
      </rPr>
      <t>(COLOUR)</t>
    </r>
  </si>
  <si>
    <r>
      <t xml:space="preserve">110MM DIA OF </t>
    </r>
    <r>
      <rPr>
        <b/>
        <sz val="12"/>
        <rFont val="Calibri"/>
        <family val="2"/>
        <scheme val="minor"/>
      </rPr>
      <t>PVC</t>
    </r>
    <r>
      <rPr>
        <sz val="12"/>
        <rFont val="Calibri"/>
        <family val="2"/>
        <scheme val="minor"/>
      </rPr>
      <t xml:space="preserve"> </t>
    </r>
    <r>
      <rPr>
        <b/>
        <sz val="12"/>
        <rFont val="Calibri"/>
        <family val="2"/>
        <scheme val="minor"/>
      </rPr>
      <t>SWR PIPE</t>
    </r>
    <r>
      <rPr>
        <sz val="12"/>
        <rFont val="Calibri"/>
        <family val="2"/>
        <scheme val="minor"/>
      </rPr>
      <t xml:space="preserve"> INCLUDING </t>
    </r>
  </si>
  <si>
    <r>
      <t xml:space="preserve">75MM DIA OF </t>
    </r>
    <r>
      <rPr>
        <b/>
        <sz val="12"/>
        <rFont val="Calibri"/>
        <family val="2"/>
        <scheme val="minor"/>
      </rPr>
      <t>PVC SWR PIPE</t>
    </r>
    <r>
      <rPr>
        <sz val="12"/>
        <rFont val="Calibri"/>
        <family val="2"/>
        <scheme val="minor"/>
      </rPr>
      <t xml:space="preserve"> INCLUDING </t>
    </r>
  </si>
  <si>
    <r>
      <t xml:space="preserve">250mmDIA S.W.PIPE WITH ISI MARK ( it-13.0/4 </t>
    </r>
    <r>
      <rPr>
        <b/>
        <sz val="12"/>
        <rFont val="Calibri"/>
        <family val="2"/>
        <scheme val="minor"/>
      </rPr>
      <t>of twad20-21 spl I CLASS )</t>
    </r>
  </si>
  <si>
    <r>
      <t xml:space="preserve">Providing wooden </t>
    </r>
    <r>
      <rPr>
        <b/>
        <sz val="12"/>
        <rFont val="Calibri"/>
        <family val="2"/>
        <scheme val="minor"/>
      </rPr>
      <t>MELAMEN DOOR POLISH</t>
    </r>
  </si>
  <si>
    <r>
      <t xml:space="preserve">TOTAL FOR </t>
    </r>
    <r>
      <rPr>
        <b/>
        <sz val="12"/>
        <rFont val="Calibri"/>
        <family val="2"/>
        <scheme val="minor"/>
      </rPr>
      <t>5.67</t>
    </r>
    <r>
      <rPr>
        <sz val="12"/>
        <rFont val="Calibri"/>
        <family val="2"/>
        <scheme val="minor"/>
      </rPr>
      <t xml:space="preserve"> SQM</t>
    </r>
  </si>
  <si>
    <r>
      <t xml:space="preserve">T.W DOUBLE LEAVES FULLY PANELLED DOOR SHUTTER FOR DOOR OF SIZE   (2000 X 2100 mm) </t>
    </r>
    <r>
      <rPr>
        <b/>
        <sz val="12"/>
        <rFont val="Calibri"/>
        <family val="2"/>
        <scheme val="minor"/>
      </rPr>
      <t>WITH BRASS FITTINGS</t>
    </r>
  </si>
  <si>
    <r>
      <t>concrete  (0.23 x .075 x 2.1 =</t>
    </r>
    <r>
      <rPr>
        <b/>
        <sz val="12"/>
        <rFont val="Calibri"/>
        <family val="2"/>
        <scheme val="minor"/>
      </rPr>
      <t xml:space="preserve"> 0.036 cum</t>
    </r>
    <r>
      <rPr>
        <sz val="12"/>
        <rFont val="Calibri"/>
        <family val="2"/>
        <scheme val="minor"/>
      </rPr>
      <t>)</t>
    </r>
  </si>
  <si>
    <r>
      <t xml:space="preserve">Form Work  Small qty.  0.38 x 2.1 = </t>
    </r>
    <r>
      <rPr>
        <b/>
        <sz val="12"/>
        <rFont val="Calibri"/>
        <family val="2"/>
        <scheme val="minor"/>
      </rPr>
      <t>0.798 sqm</t>
    </r>
  </si>
  <si>
    <r>
      <t xml:space="preserve">STYLES(OVER 2M) -2X2X2.3125X0.15X0.0375                                                      </t>
    </r>
    <r>
      <rPr>
        <b/>
        <sz val="12"/>
        <rFont val="Calibri"/>
        <family val="2"/>
        <scheme val="minor"/>
      </rPr>
      <t xml:space="preserve">  = 0.052</t>
    </r>
  </si>
  <si>
    <r>
      <t xml:space="preserve">Brass screws </t>
    </r>
    <r>
      <rPr>
        <sz val="12"/>
        <rFont val="Calibri"/>
        <family val="2"/>
        <scheme val="minor"/>
      </rPr>
      <t>not necessary as there is brass fittings</t>
    </r>
  </si>
  <si>
    <r>
      <t xml:space="preserve">PAINTING TWO COATS OVER NEW           </t>
    </r>
    <r>
      <rPr>
        <b/>
        <sz val="12"/>
        <rFont val="Calibri"/>
        <family val="2"/>
        <scheme val="minor"/>
      </rPr>
      <t>(as per PWD Standard Data)</t>
    </r>
  </si>
  <si>
    <r>
      <t xml:space="preserve">STYLES(OVER 2M) -1X3X2.3125X0.15X0.0375                                                      </t>
    </r>
    <r>
      <rPr>
        <b/>
        <sz val="12"/>
        <rFont val="Calibri"/>
        <family val="2"/>
        <scheme val="minor"/>
      </rPr>
      <t xml:space="preserve">  = 0.052</t>
    </r>
  </si>
  <si>
    <r>
      <t xml:space="preserve">PAINTING TWO COATS OVER  Old          </t>
    </r>
    <r>
      <rPr>
        <b/>
        <sz val="12"/>
        <rFont val="Calibri"/>
        <family val="2"/>
        <scheme val="minor"/>
      </rPr>
      <t>(as per PWD Standard Data)</t>
    </r>
  </si>
  <si>
    <r>
      <t xml:space="preserve">S &amp; F best indian 2/3 Glazed 1/3 Teak wood Panelled door shutter of size 
</t>
    </r>
    <r>
      <rPr>
        <b/>
        <sz val="12"/>
        <rFont val="Calibri"/>
        <family val="2"/>
        <scheme val="minor"/>
      </rPr>
      <t>b)1500mmx2100mm</t>
    </r>
  </si>
  <si>
    <r>
      <t xml:space="preserve">Supply and laying of </t>
    </r>
    <r>
      <rPr>
        <b/>
        <sz val="12"/>
        <rFont val="Calibri"/>
        <family val="2"/>
        <scheme val="minor"/>
      </rPr>
      <t>Hard core</t>
    </r>
    <r>
      <rPr>
        <sz val="12"/>
        <rFont val="Calibri"/>
        <family val="2"/>
        <scheme val="minor"/>
      </rPr>
      <t xml:space="preserve"> layer of 30</t>
    </r>
    <r>
      <rPr>
        <b/>
        <sz val="12"/>
        <rFont val="Calibri"/>
        <family val="2"/>
        <scheme val="minor"/>
      </rPr>
      <t>0mm</t>
    </r>
    <r>
      <rPr>
        <sz val="12"/>
        <rFont val="Calibri"/>
        <family val="2"/>
        <scheme val="minor"/>
      </rPr>
      <t xml:space="preserve"> consolidated thickness (10Sqm x .3m thick= 3.0 cum)</t>
    </r>
  </si>
  <si>
    <r>
      <t>WASHBASIN</t>
    </r>
    <r>
      <rPr>
        <sz val="12"/>
        <rFont val="Calibri"/>
        <family val="2"/>
        <scheme val="minor"/>
      </rPr>
      <t xml:space="preserve"> (White Pedastal type)  22"X16" INCLUDING</t>
    </r>
  </si>
  <si>
    <r>
      <t xml:space="preserve">STYLES -2X0.65 x   7.525 x 3.125                                                 </t>
    </r>
    <r>
      <rPr>
        <b/>
        <sz val="12"/>
        <rFont val="Calibri"/>
        <family val="2"/>
        <scheme val="minor"/>
      </rPr>
      <t xml:space="preserve">  = 0.052</t>
    </r>
  </si>
  <si>
    <r>
      <t>Supplying, fabricating and fixing inposition A</t>
    </r>
    <r>
      <rPr>
        <b/>
        <sz val="12"/>
        <rFont val="Calibri"/>
        <family val="2"/>
        <scheme val="minor"/>
      </rPr>
      <t>luminium anodised natural colour matt finish four Track Sliding Window</t>
    </r>
    <r>
      <rPr>
        <sz val="12"/>
        <rFont val="Calibri"/>
        <family val="2"/>
        <scheme val="min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2"/>
        <rFont val="Calibri"/>
        <family val="2"/>
        <scheme val="minor"/>
      </rPr>
      <t>1.80mm x 1.35 mm</t>
    </r>
  </si>
  <si>
    <r>
      <t>Supplying, fabricating and fixing inposition A</t>
    </r>
    <r>
      <rPr>
        <b/>
        <sz val="12"/>
        <rFont val="Calibri"/>
        <family val="2"/>
        <scheme val="minor"/>
      </rPr>
      <t>luminium anodised natural colour matt finish four Track Sliding Window</t>
    </r>
    <r>
      <rPr>
        <sz val="12"/>
        <rFont val="Calibri"/>
        <family val="2"/>
        <scheme val="min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2"/>
        <rFont val="Calibri"/>
        <family val="2"/>
        <scheme val="minor"/>
      </rPr>
      <t>1.80mm x 1.35 mm</t>
    </r>
  </si>
  <si>
    <r>
      <t xml:space="preserve">Satndardised cement Concrtet </t>
    </r>
    <r>
      <rPr>
        <b/>
        <sz val="12"/>
        <rFont val="Calibri"/>
        <family val="2"/>
        <scheme val="minor"/>
      </rPr>
      <t xml:space="preserve"> 1:1.5:3 </t>
    </r>
  </si>
  <si>
    <r>
      <rPr>
        <b/>
        <sz val="12"/>
        <rFont val="Calibri"/>
        <family val="2"/>
        <scheme val="minor"/>
      </rPr>
      <t>FRENCH WINDOW</t>
    </r>
    <r>
      <rPr>
        <sz val="12"/>
        <rFont val="Calibri"/>
        <family val="2"/>
        <scheme val="minor"/>
      </rPr>
      <t xml:space="preserve"> FOR DOOR OF SIZE</t>
    </r>
  </si>
  <si>
    <t>COLUMN DETAILS</t>
  </si>
  <si>
    <t>Name of work:  Construction of Urban Police Station Building at Nachiyarkoil in Thanjavur District under Announcement made by the Hon’ble Chief Minister for the year 2023 - 2024</t>
  </si>
  <si>
    <t xml:space="preserve"> Plinth Protection </t>
  </si>
  <si>
    <t>SI.
No</t>
  </si>
  <si>
    <t>Earth work excavation in all soils for foundation (Including refilling)</t>
  </si>
  <si>
    <t>For Urban Police Station</t>
  </si>
  <si>
    <t>Alround Plinth protection wall</t>
  </si>
  <si>
    <t>x</t>
  </si>
  <si>
    <t>C.C.1:5:10 for Foundation &amp; Basement using 40 mm HBG metal</t>
  </si>
  <si>
    <t>Brick work in C.M. 1:5 (F&amp; B) using Kiln Burnt Country bricks of size 22 x 11 x 7 cm (8 3/4" x 4 1/4" x 2 3/4")</t>
  </si>
  <si>
    <t>Brick partition work in C.M. 1:4 Kiln Burnt Country bricks of size 22 x 11 x 7 cm (8 3/4" x 4 1/4" x 2 3/4") 110 mm tk (B.P.)</t>
  </si>
  <si>
    <t>a) In Foundation and basement</t>
  </si>
  <si>
    <t xml:space="preserve"> -</t>
  </si>
  <si>
    <t>Allround Plinth protection wall</t>
  </si>
  <si>
    <t>TAMILNADU POLICE HOUSING CORPORATION LIMITED, TRICHY DIVISION, TRICHY.</t>
  </si>
  <si>
    <t>Paver Road (Detailed)</t>
  </si>
  <si>
    <t xml:space="preserve">Measurement in Mtrs </t>
  </si>
  <si>
    <t xml:space="preserve">Length </t>
  </si>
  <si>
    <t>Earth work excavation for Open foundation (excluding refilling) a.0-2m depth</t>
  </si>
  <si>
    <t>Road  work</t>
  </si>
  <si>
    <t>Kerb Stone</t>
  </si>
  <si>
    <t>Building Left &amp; Right side</t>
  </si>
  <si>
    <t xml:space="preserve">P.C.C.1:5:10 using 40mm for Foundation &amp; Basement </t>
  </si>
  <si>
    <t>Kerb Stone Bottom</t>
  </si>
  <si>
    <t>Plastering in CM 1:5, 12mm thick</t>
  </si>
  <si>
    <t>Painting new iron work in two coats using synthetic enamel paint</t>
  </si>
  <si>
    <t>Supplying and filling in foundation and basement with filling CS sand in layers of 150 mm thickness well watered, rammed and consolidated complying with  relevant standard specification including cost of supplying filling sand.</t>
  </si>
  <si>
    <t>Police Station</t>
  </si>
  <si>
    <t>Splay</t>
  </si>
  <si>
    <t>Delivery of the Rubber Moulded Hydraulic pressed paver block 83mm thick including labour charges for loading and unloading charges for conveyance from lorry from Thiruvarur to Kumbakonam lead of 47km including incidental charges etc.,</t>
  </si>
  <si>
    <t xml:space="preserve">Labour charges for compaction by earth rammer and Laying of Rubber Moulded Hydraulic pressed paver block 83mm thick and machine charges etc </t>
  </si>
  <si>
    <t xml:space="preserve">Supplying of Rubber Moulded Hydraulic pressed  PAVER BLOCK 83mm thick  etc.,                                    </t>
  </si>
  <si>
    <t>Detailed Estimate</t>
  </si>
  <si>
    <t>Sl.No</t>
  </si>
  <si>
    <t xml:space="preserve">Description of work </t>
  </si>
  <si>
    <t>Drilling of Borewells anywhere in Tamilnadu including transportation from one place to another with in Tamilnadu in alluvial soil sedimentary strata of clay and sand stone shale pebbles boulders etc. By first taking a pilot bore of 140mm/150mm dia and then enlarging to required dia direct or reverse rotary mud circulation method using rotary rigs, fuel, labour and drilling bentonite and water required for drilling at site ( Site will be shown by the TNPHC Officers) including construction of mud pit.</t>
  </si>
  <si>
    <t>a) Drilling of 140/150mm Pilot bore</t>
  </si>
  <si>
    <t>(i) Upto 60m depth ending below Ground level</t>
  </si>
  <si>
    <t>For Bore well</t>
  </si>
  <si>
    <t>(ii) Upto 60m upto 90m depth ending below Ground level</t>
  </si>
  <si>
    <t>(iii) From 90 m upto 120 m Depth ending from ground level</t>
  </si>
  <si>
    <t>(iv) From 120 m upto 150 m Depth ending from ground level</t>
  </si>
  <si>
    <t>(v) From 150 m upto 180 m Depth ending from ground level</t>
  </si>
  <si>
    <t>(vi) From 180 m upto 210 m Depth ending from ground level</t>
  </si>
  <si>
    <t>Reaming 140/150mm dia pilot bore to 300mm dia bore as directed by the departmental officers.</t>
  </si>
  <si>
    <t>(iii) From 90 m upto 120 mt depth ending below ground level</t>
  </si>
  <si>
    <t xml:space="preserve">(iv) From 120 m upto 150 mt depth ending below ground level </t>
  </si>
  <si>
    <t>Supply and delivery of PVC casing pipes suitable for 150mm dia bore well</t>
  </si>
  <si>
    <t xml:space="preserve">i) PVC. Pipe (CM-Casing Medium depth) </t>
  </si>
  <si>
    <t xml:space="preserve">i) PVC. Pipe (RS - Ribbed screen pipe) </t>
  </si>
  <si>
    <t xml:space="preserve">Labour charges for inserting PVC casing pipes assembly ( with slots or with out slots ) in the drilled hole including jointing the pipes with PVC couples with cement plaste etc.., complete supply and packing the annular space with pebbles of size and quality as approved by the Executive Engineers of Department. </t>
  </si>
  <si>
    <t xml:space="preserve">(i) 150mm  dia casing pipes assembly </t>
  </si>
  <si>
    <t xml:space="preserve">PVC 150mm CM&amp;RS pipes </t>
  </si>
  <si>
    <t>Charges for developing the bore well with air compressor of 600 CFM capacity (Minimum 8 hours) including tranportation labour and fuel charges for compressor as dircted by the departmental officers and conducting yeild test by 'V' Notch method</t>
  </si>
  <si>
    <t>Hours</t>
  </si>
  <si>
    <t>Supply and delivery of PVC end cap suitable 150mm dia bore well of approved quality etc.., all complete and as directed by the departmental officers.</t>
  </si>
  <si>
    <t>Supplying and fixing of  clampset</t>
  </si>
  <si>
    <t>Bore-1</t>
  </si>
  <si>
    <t>Supply and delivery of 1.00 HP Open well Submersible pump set conforming to IS 14220 /2002 and as amended thereafter and BEE 3 Star Rated capable of discharging the following duties due to all causes. The pump shall be with stainless steel shaft and dynamically balanced bronze mixed type impeller, CI FG 200 grade casing and brass screws and rotor shall be of copper rod as per IS 613/1984 with ISI mark. The pump suitable for installation in sump with 1.1KV grade 3 core suitable copper flat submersible cable to a length of 15m with necessary cable joints. The nonreturn valve located at the top of the pump in the discharge outlet connection is to be designed with minimum friction. The pump should be directly coupled to 2880 RPM, three phase, 50 Hz (±5), 415V+6% &amp; 415V-15% squirrel cage induction motor suitable for DOL upto 5 HP , Fully Automatic Air break Star Delta up to 20 HP and Auto Transformer starter for above 20 HP starting and for continuous operation.</t>
  </si>
  <si>
    <t>Supplying and delivery of wall mount type Control panel board for three phase 2.0 HP submersible pumpset etc.,all complete</t>
  </si>
  <si>
    <t>For 2.0 HP submerssible-bore-1</t>
  </si>
  <si>
    <t>Supply and delivery of three phase 1 HP Panel board Star-Delta  starter confirming to IS 13947 and IEC 947 suitable KW rating for operation in AC/3Phase/50HZ(+/- 5%) and 415V (+/- 10%) including 3 pole magnetic contactor with under voltage release - 3 nos., CT operated Ammeter(65 mm dia) with suppressed scale, Voltmeter (65mm dia), Voltmeter selector swicth, Minature circuitr braeker, Thermal Overload relay,  Air Break contactors suitable for next Standard higher KW rating, Single phasing preventor, dry running preventor and On/Off Push button switches, wiring with 1 sq.mm/4 sq. mm  copper pvc insulated cable, powder coated vermin proof box, including the capacitor(the cost of capacitor is to be taken separately).</t>
  </si>
  <si>
    <t xml:space="preserve">Labour charges for the erection of three phase Upto 3.0HP submersible pumpset in borewell/openwell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 </t>
  </si>
  <si>
    <t>For bore-1</t>
  </si>
  <si>
    <t>Supply of 3 core 4 sqmm PVC insulated flat cable for submerssible pumpset etc.,all complete</t>
  </si>
  <si>
    <t>Bore-1 inner</t>
  </si>
  <si>
    <t>Supplying of 14mm dia of Nylon rope etc., all complete.</t>
  </si>
  <si>
    <t>Supplying and laying of the 32 mm dia UPVC column pipe for submersible motor etc all complete</t>
  </si>
  <si>
    <t>For bore-1 inner</t>
  </si>
  <si>
    <t>Supplying of 32 mm Dia Cast Iron Adopter</t>
  </si>
  <si>
    <t>Supplying and delivery of following Dia PVC Pipes</t>
  </si>
  <si>
    <t>Below Ground Level</t>
  </si>
  <si>
    <t>a) 50mm PVC 10 Kg/Cm² pipe</t>
  </si>
  <si>
    <t>b) 40mm Dia PVC Pipe 10 Kg/Cm²</t>
  </si>
  <si>
    <t xml:space="preserve">Main delivery line To Station  Building </t>
  </si>
  <si>
    <t>c) 32mm PVC Heavy pipe for submerssible flat cable</t>
  </si>
  <si>
    <t>Supplying and delivery of following Dia GI Pipes</t>
  </si>
  <si>
    <t>a) 50mm dia G.I pipe ( B class )</t>
  </si>
  <si>
    <t>b) 40mm dia G.I pipe ( B class )</t>
  </si>
  <si>
    <t xml:space="preserve">Bore-1 vertical pipe </t>
  </si>
  <si>
    <t>c) 25 mm dia G.I pipe ( B class )</t>
  </si>
  <si>
    <t>Supplying and laying of 100 mm Dia GI Pipe 10 Kg/Cm² (Below Ground Level )</t>
  </si>
  <si>
    <t>Supply and delivery of following dia of PVC specials</t>
  </si>
  <si>
    <t xml:space="preserve">a) 50 mm dia PVC Coupling </t>
  </si>
  <si>
    <t>b) 50mm dia PVC tee</t>
  </si>
  <si>
    <t>c) 50x40 mm dia PVC Reducer</t>
  </si>
  <si>
    <t xml:space="preserve">d) 50mm dia PVC Elbow </t>
  </si>
  <si>
    <t xml:space="preserve">e) 40mm dia PVC Coupling </t>
  </si>
  <si>
    <t xml:space="preserve">f) 40mm dia PVC Elbow </t>
  </si>
  <si>
    <t xml:space="preserve">g) 40mm dia PVC Tee </t>
  </si>
  <si>
    <t>h) 40 x 32 mm dia PVC Reducer</t>
  </si>
  <si>
    <t>Supplying and delivery of following dia of G.I specials</t>
  </si>
  <si>
    <t>a) 50mm dia G.I Bend</t>
  </si>
  <si>
    <t>b) 50mm dia G.I Union</t>
  </si>
  <si>
    <t>c) 50mm dia G.I Hex Nipple</t>
  </si>
  <si>
    <t>d) 50mm dia  Foot Valve</t>
  </si>
  <si>
    <t>e) 40mm dia  G.I Bend</t>
  </si>
  <si>
    <t>f) 40mm dia G.I Union</t>
  </si>
  <si>
    <t>g) 40mm  dia G.I Tee</t>
  </si>
  <si>
    <t>i) 50mm dia GM gate valve</t>
  </si>
  <si>
    <t>j) 32mm dia  G.I Union</t>
  </si>
  <si>
    <t>k) 32mm dia  G.I Hex Nipple</t>
  </si>
  <si>
    <t>l) 32mm dia GM Gate valve</t>
  </si>
  <si>
    <t xml:space="preserve">For inlet in OHT </t>
  </si>
  <si>
    <t>m) 25mm dia GM Gate valve</t>
  </si>
  <si>
    <t>Provision for GST @ 12%</t>
  </si>
  <si>
    <t>Provision for labour Welfare Fund @ 1%</t>
  </si>
  <si>
    <t>Provision for petty supervision and contigencies @ 2.5%</t>
  </si>
  <si>
    <t>Provision for Supervision charges @ 7.5%</t>
  </si>
  <si>
    <t>External Electrical (Detailed)</t>
  </si>
  <si>
    <t>Supplying and fixing of MS angle of size 50 x 50 x 5 mm MS angle to hold LTUG cable in OH portion etc., all complete</t>
  </si>
  <si>
    <t>Cable length</t>
  </si>
  <si>
    <t xml:space="preserve">From Pole 1 - to Police Station </t>
  </si>
  <si>
    <t>50x 50x 5mm unit weight 2.31/Kg/m (steel table)</t>
  </si>
  <si>
    <t>5.00 x2.31=11.55 kg</t>
  </si>
  <si>
    <t>Supplying of 50 mm dia  GI pipe (Above Ground Level) approved quality</t>
  </si>
  <si>
    <t>a) 50 mm dia  GI pipe (Above Ground Level)</t>
  </si>
  <si>
    <t>GI Bend</t>
  </si>
  <si>
    <t>Run of 4 Wires of 4 sqmm PVC insulated single core multi strand fire retardant flexible copper cable with ISI mark confirming IS: 694:1990.</t>
  </si>
  <si>
    <t>63 Amps</t>
  </si>
  <si>
    <t>Supplying of 3.5 core of 50 sqmm PVC armoued ALTUG cable ncluding cost of all materials etc all complete complying with relevant standard specifications and as directed by the departmental officers.</t>
  </si>
  <si>
    <t>a) Above  Ground Level (SD 124)</t>
  </si>
  <si>
    <t>From pole 1 Station</t>
  </si>
  <si>
    <t>Supply and fixing of Brass cable gland suitable for 3.5 core 50 sqmm PVC armoured ALTUG cable (SD 188)</t>
  </si>
  <si>
    <t>Station</t>
  </si>
  <si>
    <t>Supply and providing cable end termination of 3 1/2 x 50 sqmm PVC LTUG Aluminium armoured cable with necessary aluminium cable sockets by crimping etc. with electrical connection complete. (SD 237)</t>
  </si>
  <si>
    <t>Supplying and fixing of 3 Nos. of 100 amps 500 volts grade porcelain fuse unit on suitable teakwood plank varnished to be fixed on the top of pole/EB street pole with necessary clamps including cost of materials etc., all complete.</t>
  </si>
  <si>
    <t>Supplying and fixing of 4' 18 W LED Tube light fittings etc.,</t>
  </si>
  <si>
    <t>Supplying and fixing of 12 w LED Bulb etc., all complete.</t>
  </si>
  <si>
    <t>Supplying and fixing of Following watt LED Lamp etc., all complete.</t>
  </si>
  <si>
    <t>Supplying and fixing of BulkHead Fittings suitable for 12 w LED Bulb etc., all complete.</t>
  </si>
  <si>
    <t xml:space="preserve">Supply and fixing of 25w LED street light  fitting including all labour charges for LED street light  fittings etc.all complete </t>
  </si>
  <si>
    <t xml:space="preserve">Station </t>
  </si>
  <si>
    <t>Station - Street light</t>
  </si>
  <si>
    <t>Supplying &amp; fixing of 500 watt Focus light fittings etc., all complete.</t>
  </si>
  <si>
    <t xml:space="preserve">Station Building Outer side </t>
  </si>
  <si>
    <t>For Focus Station</t>
  </si>
  <si>
    <t>Supplying &amp; fixing  of  12" dome light fittings and 9watts led bulb etc., all complete.</t>
  </si>
  <si>
    <t>Supplying &amp; fixing of spot light fittings and led bulb etc., all complete.</t>
  </si>
  <si>
    <t>Supply and fixing of 900x700x250 mm tk eb service panel for 415 volt,3 phase, 4 wire 50 hz power distrbution system.the panel shall be indoor wall mouting type out of 16swg sheet steel complete with all accessories. in comng 1no 300amps bus bar compartment and separate energy meter compartment outgoing 3no 300amps fuse with base includng all necessary connection etc..</t>
  </si>
  <si>
    <t>For Station</t>
  </si>
  <si>
    <t>Measurement in Mtrs.</t>
  </si>
  <si>
    <t xml:space="preserve">Supplying and fixing of following size aluminium die casting lettering and numbering material and labour charges. </t>
  </si>
  <si>
    <t>a) 30cm Letters (12")</t>
  </si>
  <si>
    <t>jQ;rht+h; khtl;lk;</t>
  </si>
  <si>
    <t>c) 60cm TNPHC Logo (24")</t>
  </si>
  <si>
    <t>d) 45cm Round Police Logo (18")</t>
  </si>
  <si>
    <t>e) Plastic name board (12"x4")</t>
  </si>
  <si>
    <t>STILT FLOOR</t>
  </si>
  <si>
    <t>WAITING ROOM</t>
  </si>
  <si>
    <t>PHYSICALLY CHALLENGED PERSONS</t>
  </si>
  <si>
    <t>LADIES TOILET</t>
  </si>
  <si>
    <t>GENTS TOILET</t>
  </si>
  <si>
    <t>PARKING</t>
  </si>
  <si>
    <t>FIRST FLOOR</t>
  </si>
  <si>
    <t>WAITING RECEPTION</t>
  </si>
  <si>
    <t>INSPECTOR</t>
  </si>
  <si>
    <t>SI ROOM</t>
  </si>
  <si>
    <t>LOCKUP (WOMEN)</t>
  </si>
  <si>
    <t>STATION WRITER</t>
  </si>
  <si>
    <t>LOCKUP (MEN)</t>
  </si>
  <si>
    <t>ARMS AND AMMUNITION</t>
  </si>
  <si>
    <t>PROPERTY</t>
  </si>
  <si>
    <t>CORRIDOR</t>
  </si>
  <si>
    <t>SECOND FLOOR</t>
  </si>
  <si>
    <t>WRITER</t>
  </si>
  <si>
    <t>INTERROGATION</t>
  </si>
  <si>
    <t>REST ROOM (WOMEN)</t>
  </si>
  <si>
    <t>REST ROOM (MEN)</t>
  </si>
  <si>
    <t>S.inchs</t>
  </si>
  <si>
    <t>Name of Work: Providing Aluminium Die-casting Letters, Logo &amp; Plastic Name Boards  for the Construction of Urban Police Station Building at Nachiyarkoil in Thanjavur District</t>
  </si>
  <si>
    <t>UPS, Nachiyarkovil</t>
  </si>
  <si>
    <t>Police Logo for Nachiyarkovil UPS</t>
  </si>
  <si>
    <t>ehr;rpahh;Nfhtpy; fhty; epiyak;</t>
  </si>
  <si>
    <r>
      <rPr>
        <b/>
        <sz val="12"/>
        <rFont val="Times New Roman"/>
        <family val="1"/>
      </rPr>
      <t>Name of work</t>
    </r>
    <r>
      <rPr>
        <sz val="12"/>
        <rFont val="Times New Roman"/>
        <family val="1"/>
      </rPr>
      <t>: Borewell &amp; External Water Supply arrangements for the Construction of Urban Police Station Building at Nachiyarkoil in Thanjavur District</t>
    </r>
  </si>
  <si>
    <t>Fabrication of Mild steel / RTS grills (Without cement slurry wash)</t>
  </si>
  <si>
    <t>Bed block sides</t>
  </si>
  <si>
    <t>For Column footings,plinth beam,Grade beam,Raftbeam,Raft slab etc.,</t>
  </si>
  <si>
    <t>a)</t>
  </si>
  <si>
    <t>For Culvert deck slab alround</t>
  </si>
  <si>
    <t>For Culvert deck slab bottom</t>
  </si>
  <si>
    <t>Plain surface such as roof slab</t>
  </si>
  <si>
    <t>b)</t>
  </si>
  <si>
    <t>Providing form work for plain surfaces</t>
  </si>
  <si>
    <t>For Culvert parapet</t>
  </si>
  <si>
    <t xml:space="preserve">Plastering with CM 1 : 5 ,12 mm thick </t>
  </si>
  <si>
    <t>For Culvert bottom sides</t>
  </si>
  <si>
    <t>For Culvert bottom</t>
  </si>
  <si>
    <t xml:space="preserve">Plastering with CM 1 : 4, 20 mm thick </t>
  </si>
  <si>
    <t>For Culvert Aburtment</t>
  </si>
  <si>
    <t xml:space="preserve">Brick work in CM 1:5 country bricks of size 22 x 11 7cm in Foundation &amp; basement        </t>
  </si>
  <si>
    <t>For Culvert bed block</t>
  </si>
  <si>
    <t>For Culvert deck slab</t>
  </si>
  <si>
    <t>a) In Foundation and Basement</t>
  </si>
  <si>
    <t>Standardised concrete Mix M20 Grade Concrete for all reinforced cement concrete works, namely plinth beams, tie beams, column and column footing, slabs etc. using 20mm gauge hard broken stone jelly etc., all complete.</t>
  </si>
  <si>
    <t>For Culvert vent way</t>
  </si>
  <si>
    <t>PCC 1:2:4 mix using 20mm HBG F &amp; B</t>
  </si>
  <si>
    <t>For Culvert foundation</t>
  </si>
  <si>
    <t xml:space="preserve">Plain cement concrete 1:5:10 using 40 mm HBG metal </t>
  </si>
  <si>
    <t>For Culvert</t>
  </si>
  <si>
    <t>a) 0 to 2mt. depth</t>
  </si>
  <si>
    <t>Earth work excavation in all soils for open foundation (Excluding refilling)</t>
  </si>
  <si>
    <t>D / H</t>
  </si>
  <si>
    <t>Total Qty.</t>
  </si>
  <si>
    <t>Mesurements</t>
  </si>
  <si>
    <t>Culvert  (1 No.)</t>
  </si>
  <si>
    <t>Two Wheeler Shed - 2 Nos.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</si>
  <si>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etc. complete. (Including Refilling)</t>
  </si>
  <si>
    <t>a)  0 to 2m depth.</t>
  </si>
  <si>
    <t>Stub column footing</t>
  </si>
  <si>
    <t>MS pipe footing</t>
  </si>
  <si>
    <t>Vehicle shed wall footing</t>
  </si>
  <si>
    <t>Vehicle shed cross wall footing</t>
  </si>
  <si>
    <t>D/F - Stub column footing</t>
  </si>
  <si>
    <t>D/F - MS pipe footing</t>
  </si>
  <si>
    <t>Supplying and filling in foundation and basement with filling sand in layers of 150 mm thickness well watered, rammed and consolidated complying with relevant standard specification including cost of supplying filling sand.</t>
  </si>
  <si>
    <t>Vehicle shed flooring</t>
  </si>
  <si>
    <t>Ramp flooring</t>
  </si>
  <si>
    <t>Standardised concrete Mix M20 Grade Concrete for all reinforced cement concrete works, namely plinth beams, tie beams, column and column footing, slabs etc. using 20mm gauge hard broken stone jelly excluding the cost and fabrication of reinforcement grills, shuttering and centering but including vibrating, laying, curing with relevant standard specifications</t>
  </si>
  <si>
    <t>Stub column</t>
  </si>
  <si>
    <t>Vehicle shed alround grade beam</t>
  </si>
  <si>
    <t>Vehicle shed cross wall grade beam</t>
  </si>
  <si>
    <t>D/F - MSs pipe footing</t>
  </si>
  <si>
    <t>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and as directed by the departmental officers.</t>
  </si>
  <si>
    <t>Brick work in CM 1:5 (one of cement and five of sand) using kiln burnt country  bricks of size 8 3/4"x4 1/4"x2 3/4" (22x11x7cm) in foundation and basement including  dewatering wherever necessary proper setting curing etc., complete  with relevant standard specifications.</t>
  </si>
  <si>
    <t xml:space="preserve">Vehicle shed alround wall </t>
  </si>
  <si>
    <t>Vehicle shed cross wall</t>
  </si>
  <si>
    <t>Plain cement concrete 1:5:10 (one of cement, five of sand and ten of hard broken stone jelly) for  foundation using 40mm gauge hard broken stone jelly inclusive of shoring strutting and bailing out water wherever necessary ramming, curing etc., complete.</t>
  </si>
  <si>
    <t>Brick work in cement mortar 1:6 (one of cement and six of sand) using kiln burnt country bricks of size 8 3/4"x4 1/4"x2 3/4" (22x11x7cm) for super structure in the following floors including labour for fixing the doors windows and ventilator frames in position, fixing of hold fasts, scaffoldings, curing etc., complete.</t>
  </si>
  <si>
    <t>a) In Ground Floor</t>
  </si>
  <si>
    <t>Vehicle shed side wall</t>
  </si>
  <si>
    <t>4 x 2</t>
  </si>
  <si>
    <t>D/F - Jally</t>
  </si>
  <si>
    <t>D/F - Vehicle shed lintel</t>
  </si>
  <si>
    <t>b) In Ground Floor</t>
  </si>
  <si>
    <t>Vehicle shed lintel</t>
  </si>
  <si>
    <t>Precast Jally ventilator 50mm tk.using standardised concrete mix M20 (annexure) without vibrating charges etc., all complete.</t>
  </si>
  <si>
    <t>Jally</t>
  </si>
  <si>
    <t>Providing form work and centering for reinforced cement concrete works including supports and strutting upto 3.30m height for plain surfaces as detailed below with all cross bracings using mild steel sheets etc., complete.</t>
  </si>
  <si>
    <t>(a) For Column footings, plinth beam, grade beam, raft beam, raft slab etc.,</t>
  </si>
  <si>
    <t>Vehicle shed alround grade beam 2 sides</t>
  </si>
  <si>
    <t>(b) Plain surfaces such as roof slab, floor slab, beams lintels, loft, sill slab, staircase waist, portico slab and other similar works</t>
  </si>
  <si>
    <t>Vehicle shed lintel 2 sides</t>
  </si>
  <si>
    <t>(c) For square and rectangular columns, and small quantities such as sunshades, parapet Cum. drops, window boxings, fin projections and other similar works</t>
  </si>
  <si>
    <t>Supplying, fabricating and placing in position of mild steel grills/ribbed tor steels for reinforcement for all floors including cost of binding wire, bending, tying etc., all complete and as directed by the departmental officers.</t>
  </si>
  <si>
    <t>Plastering with CM 1:5 (one of cement and five of sand) 12mm thick finished with  neat cement including providing band cornice, ceiling cornice, curing, scaffolding  etc., complete.</t>
  </si>
  <si>
    <t>Vehicle shed alround wall basement 2 sides</t>
  </si>
  <si>
    <t>Vehicle shed cross wall basement 2 sides</t>
  </si>
  <si>
    <t>Vehicle shed side wall 2 sides</t>
  </si>
  <si>
    <t>2 x 4</t>
  </si>
  <si>
    <t>2 x 0.5</t>
  </si>
  <si>
    <t>Painting the new walls with two coats of approved best ready mixed plastic emulsion paint in addition to one coat of approved primer coat over cement plastered wall surfaces and ceiling including cost of plastic emulsion paint, putty, brushers etc., all complete and as directed by the departmental officers.</t>
  </si>
  <si>
    <t>Painting the new walls with two coats of Oil Bound Distemper over the one coat of primer approved brand over new cement plastered wall surfaces including cost of paints, putty, brushes, watering, curing, etc., all complete.</t>
  </si>
  <si>
    <t>Painting primer coat using approved quality of white cement over the cement plastered / concrete wall surfaces, ceiling or other similar works including cost of white cement, putty, brushes, watering, curing, etc., all complete and as directed by the departmental officers.</t>
  </si>
  <si>
    <t>Supplying and fixing of Galvalume sheet roofing  0.47mm thick with required bolt and nuts and labour for fixing etc., all complete and as directed by the departmental officers.</t>
  </si>
  <si>
    <t>Vehicle shed</t>
  </si>
  <si>
    <t>Supplying and fixing of metal and iron works including labour charges for petty iron works etc., all complete.</t>
  </si>
  <si>
    <t>50 mm dia MS round pipe</t>
  </si>
  <si>
    <t>Vehicle shed principal raft</t>
  </si>
  <si>
    <t>80 mm dia MS round pipe</t>
  </si>
  <si>
    <t>Vehicle shed vertical pipe</t>
  </si>
  <si>
    <t>50 x 50 x 2mm MS square tube</t>
  </si>
  <si>
    <t>Purlin</t>
  </si>
  <si>
    <t>40 x 40 x 5mm MS angle</t>
  </si>
  <si>
    <t>For vertical post stiffener</t>
  </si>
  <si>
    <t>Clear angle</t>
  </si>
  <si>
    <t>Kg/m</t>
  </si>
  <si>
    <t>Add 7% wastage for base plate, bolt and nut</t>
  </si>
  <si>
    <t>Painting the new iron work with two coats of approved first class synthetic enamel ready mixed paint in addtion to one coat of primer of approved quality and shade, the paint should be supplied by the contractor at his own cost etc., all complete.</t>
  </si>
  <si>
    <t>Wiring with 1.5 Sqm.m PVC insulated single core multi strand fire retardant flexible copper cable with ISI mark confirming IS: 694:1990.( Ordinary)</t>
  </si>
  <si>
    <t>(a) Light point with ceiling rose</t>
  </si>
  <si>
    <t>Supplying and fixing of  4"18 watts Crystal  LED tube light fittings on teak wood round blocks of 75mm dia 40mm deep suspended from ceiling or mounted on the wall including cost of all materials and labour for fixing in position and as directed by the departmental officers.</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</si>
  <si>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 (Open wiring)</t>
  </si>
  <si>
    <t>Supplying and filling in foundation and basement with gravel in layers of 150 mm thickness well watered, rammed and consolidated complying with relevant standard specification including cost of gravel etc., all complete and as directed by the departmental officers.</t>
  </si>
  <si>
    <t>Infront of Building left</t>
  </si>
  <si>
    <t>Infront of Building right</t>
  </si>
  <si>
    <t>DETAILED ESTIMATE - SECURITY PERIPHERY WALL</t>
  </si>
  <si>
    <t>Item No.</t>
  </si>
  <si>
    <t>1=3.28</t>
  </si>
  <si>
    <t>Earth work excavation for foundation in all soils and subsoils and to the required depth including refilling the sides of foundation etc., complete and as directed by the departmental officers. (0-2m depth)</t>
  </si>
  <si>
    <t>South Side:  Front</t>
  </si>
  <si>
    <t xml:space="preserve">For Stuff Columns Footing </t>
  </si>
  <si>
    <t>Gate pillar</t>
  </si>
  <si>
    <t>Grade beam Front side</t>
  </si>
  <si>
    <t>North &amp; East Side</t>
  </si>
  <si>
    <t xml:space="preserve">Grade beam </t>
  </si>
  <si>
    <t>Plain Cement Concrete 1:5:10 mix using 40mm HBG metal for foundation including all cost and conveyance of material and all labour charges etc., all complete and as directed by the departmental officers.</t>
  </si>
  <si>
    <t xml:space="preserve">M-20 Grade Concete mixture using 20mm HBSJ including cost of all works excluding the cost of fabrication and form work including curing in foundation &amp; basement. </t>
  </si>
  <si>
    <t>For Stuff column footing</t>
  </si>
  <si>
    <t>For Column</t>
  </si>
  <si>
    <t>Gate pillar footing</t>
  </si>
  <si>
    <t>Gate pillar column</t>
  </si>
  <si>
    <t>West Side</t>
  </si>
  <si>
    <t>Plinth beam</t>
  </si>
  <si>
    <t>b) In Ground floor</t>
  </si>
  <si>
    <t>South Side</t>
  </si>
  <si>
    <t>B.W in C.M (1:5) using kiln burnt country bricks of size 9 3/4"x4 1/4:x2 3/4" including cost of scaffolding curing etc., and as directed (Foundation &amp; Basement)</t>
  </si>
  <si>
    <t>Front side</t>
  </si>
  <si>
    <t>D/F - Pillar</t>
  </si>
  <si>
    <t xml:space="preserve">D/F - Gate </t>
  </si>
  <si>
    <t>North &amp; East side</t>
  </si>
  <si>
    <t>B.W in C.M (1:6) using kiln burnt country bricks of size 9 3/4"x4 1/4"x2 3/4" including cost of scaffolding curing etc., and as directed (Ground floor)</t>
  </si>
  <si>
    <t>∏</t>
  </si>
  <si>
    <t>Front elevation pillar</t>
  </si>
  <si>
    <t>D/F - Groove</t>
  </si>
  <si>
    <t>D/F - Arch portion</t>
  </si>
  <si>
    <t>(∏x0.34)x0.12</t>
  </si>
  <si>
    <t>Pillar</t>
  </si>
  <si>
    <t>West side</t>
  </si>
  <si>
    <t>B.W in C.M(1:4) 110mm thick partition wall using kiln burnt country bricks of size 8 3/4"x4 1/4"x2 3/4" including cost of scaffolding curing etc., and as directed (Ground floor)</t>
  </si>
  <si>
    <t>Compound wall Front side</t>
  </si>
  <si>
    <t>D/F - Gate</t>
  </si>
  <si>
    <t>D/F - Elevation pillar</t>
  </si>
  <si>
    <t>D/F - Above arch</t>
  </si>
  <si>
    <t>Compound wall side</t>
  </si>
  <si>
    <t>Compound wall West side</t>
  </si>
  <si>
    <t>S/F of MS/RTS Grills for reinforcement including cost of binding wire, labour for cutting, bending and laying in position etc., complete and as directed by the departmental officers</t>
  </si>
  <si>
    <t>Providing Form wok for all RCC works including cost of materials and all labour charges etc., all complete.</t>
  </si>
  <si>
    <r>
      <t xml:space="preserve">c) </t>
    </r>
    <r>
      <rPr>
        <sz val="11"/>
        <rFont val="Calibri"/>
        <family val="2"/>
      </rPr>
      <t>Square and Rectangular columns and small quantities.</t>
    </r>
  </si>
  <si>
    <t>Gate Footing</t>
  </si>
  <si>
    <t xml:space="preserve">For Columns </t>
  </si>
  <si>
    <t>For Gate coluumn alround</t>
  </si>
  <si>
    <r>
      <t xml:space="preserve">a) </t>
    </r>
    <r>
      <rPr>
        <sz val="11"/>
        <rFont val="Calibri"/>
        <family val="2"/>
      </rPr>
      <t>Column footings, Plinth beam, Grade beam, Raft beam, Raft slab etc.,</t>
    </r>
  </si>
  <si>
    <t>Grade beam  side</t>
  </si>
  <si>
    <t>Grade beam side</t>
  </si>
  <si>
    <t xml:space="preserve">Plinth beam </t>
  </si>
  <si>
    <t>Plastering in C.M 1:5, 12mm thick including cost of scaffolding, curing, finishng etc., complete and as directed  by the departmental officers.</t>
  </si>
  <si>
    <t>Compound wall - Inner &amp; Outer</t>
  </si>
  <si>
    <t xml:space="preserve">Elevated portion sides </t>
  </si>
  <si>
    <t>Pillar top of bays and basement top</t>
  </si>
  <si>
    <t xml:space="preserve">Basement outer &amp; inner  </t>
  </si>
  <si>
    <t>Pillar outer jamps</t>
  </si>
  <si>
    <t>Pillar inner jamps</t>
  </si>
  <si>
    <t>Compound wall side Inner &amp; Outer</t>
  </si>
  <si>
    <t xml:space="preserve">Portion sides </t>
  </si>
  <si>
    <t>Pillar top of bays and basement top Side</t>
  </si>
  <si>
    <t>Basement outer &amp; inner Side</t>
  </si>
  <si>
    <t xml:space="preserve">Pillar top of bays and basement top </t>
  </si>
  <si>
    <t xml:space="preserve">Basement outer &amp; inner </t>
  </si>
  <si>
    <t>Plastering in C.M 1:5, 12mm thick for border finish including cost of scaffolding, curing , finishng etc., complete and as directed by the departmental officers.</t>
  </si>
  <si>
    <t>a) 150mm border</t>
  </si>
  <si>
    <t>Compound wall</t>
  </si>
  <si>
    <t>Pillar side</t>
  </si>
  <si>
    <t>North &amp; West Side</t>
  </si>
  <si>
    <t>Compound wall South side</t>
  </si>
  <si>
    <t xml:space="preserve">Compound wall </t>
  </si>
  <si>
    <t>b) 75 mm border</t>
  </si>
  <si>
    <t>Painting the new walls with two coats Emulsion paint to one coat of approved etc., all complete.</t>
  </si>
  <si>
    <t xml:space="preserve">Qty. of area of plastering </t>
  </si>
  <si>
    <t>Supplying and fixing of M.S Grill Gate as per the design and as directed by the departmental officers.</t>
  </si>
  <si>
    <t xml:space="preserve"> Gate</t>
  </si>
  <si>
    <r>
      <t>At the rate of 40Kg/m</t>
    </r>
    <r>
      <rPr>
        <vertAlign val="superscript"/>
        <sz val="11"/>
        <rFont val="Calibri"/>
        <family val="2"/>
      </rPr>
      <t xml:space="preserve">2 </t>
    </r>
    <r>
      <rPr>
        <sz val="11"/>
        <rFont val="Calibri"/>
        <family val="2"/>
      </rPr>
      <t xml:space="preserve"> = 12.96 X 40</t>
    </r>
  </si>
  <si>
    <t>Painting the new iron work with two coats of enamel paint including cost of all works and as directed by the deparmental officers.</t>
  </si>
  <si>
    <t>South - Gate</t>
  </si>
  <si>
    <t>SULLAGE DRAIN</t>
  </si>
  <si>
    <t>Description   of works</t>
  </si>
  <si>
    <t>Measurements</t>
  </si>
  <si>
    <t>Earth  work excavation  and depositing  on bank with  initial  lead  of  10 m and  initial  lift  of  2 mts in all  classes  of  soil  and  sub  soils  etc  complete</t>
  </si>
  <si>
    <t>Office area Watchroom to Gents toilet</t>
  </si>
  <si>
    <t>TOTAL</t>
  </si>
  <si>
    <t xml:space="preserve">Supply  and  filling   of river sand  including  all  cost and  conveyance  of  materials  and  all  labour charges  etc .,  complete .   </t>
  </si>
  <si>
    <t>Plain  cement  concrete 1:5:10  mix  using  40 mm HBG  metal  for  foundation   including  all  cost  and conveyance  of  materials  and  all  labour  charges etc ., complete .</t>
  </si>
  <si>
    <t>Brick  work 110 mm  thick with  C.M  1:4 using G. moulded country bricks   including all  cost and conveyance of materials and all   labour  charges  etc., complete.</t>
  </si>
  <si>
    <t>Plastering  with c.m 1: 5 , 12 mm  thick  including all</t>
  </si>
  <si>
    <t>cost  and  conveyance  of  materials  and  all  labour</t>
  </si>
  <si>
    <t>charges  etc., complete</t>
  </si>
  <si>
    <t>Plastering  with c.m 1: 4 , 20 mm  thick  including all cost  and  conveyance  of  materials  and  all  labour charges  etc., complete</t>
  </si>
  <si>
    <t>FRONT SIDE LENGTH =</t>
  </si>
  <si>
    <t>TOTAL  LENGTH =</t>
  </si>
  <si>
    <t>Gate column</t>
  </si>
  <si>
    <t xml:space="preserve">M-20 Grade Concrete mixture using 20mm HBSJ including cost of all works excluding the cost of fabrication and form work including curing in foundation &amp; basement. </t>
  </si>
  <si>
    <t>For footing</t>
  </si>
  <si>
    <t>For Gate footing</t>
  </si>
  <si>
    <t>M-20 Grade Concrete mixture using 20mm HBSJ including cost of all works excluding the cost of fabrication and form work including curing in Ground Floor</t>
  </si>
  <si>
    <t>B.W in C.M (1:6) using kiln burnt country bricks of size 9 3/4"x4 1/4"x2 3/4" including cost of scaffolding curing etc., and as directed (In Ground floor)</t>
  </si>
  <si>
    <t>D/F pillar</t>
  </si>
  <si>
    <t>As per Bar Bending Schedule Qty.</t>
  </si>
  <si>
    <t xml:space="preserve">c) Column </t>
  </si>
  <si>
    <t xml:space="preserve">For Gate column </t>
  </si>
  <si>
    <t>a) Grade beam &amp; Plinth beam</t>
  </si>
  <si>
    <t>For Footing</t>
  </si>
  <si>
    <t>Pillar offset 2 sides</t>
  </si>
  <si>
    <t>pillar</t>
  </si>
  <si>
    <t>top</t>
  </si>
  <si>
    <t>Right &amp; Left sides</t>
  </si>
  <si>
    <t>Gate Column</t>
  </si>
  <si>
    <t xml:space="preserve">Plastic Emulsion Paint including Primer </t>
  </si>
  <si>
    <t>Supplying and fixing of M.S Grill Gate as per the design and as directed by the departmental officers</t>
  </si>
  <si>
    <t xml:space="preserve">Gate </t>
  </si>
  <si>
    <t>Painting the new iron work with two coats of enamel paint including cost of all works and as directed by the deparmental officers</t>
  </si>
  <si>
    <t>Gate</t>
  </si>
  <si>
    <t>Provision for G.S.T @ 12.00%</t>
  </si>
  <si>
    <t>Provision for Labour welfare fund  @ 1.00%</t>
  </si>
  <si>
    <t>Provision for Contingencies &amp; Petty Supervision charges @ 2.50%</t>
  </si>
  <si>
    <t>Provision for Supervision charges @ 7.50%</t>
  </si>
  <si>
    <t>Scheme main road 3m  vertical path way</t>
  </si>
  <si>
    <t>Fire Station road</t>
  </si>
  <si>
    <t>Supplying &amp; Filling with filling crushed stone dust in Layers of 7.5mm tk.</t>
  </si>
  <si>
    <t xml:space="preserve">Labour Charges for Spreading and Leveling of 3mm to 10 mm Size HBSJ and Stone dust to Required Thickness with compaction by Earth Rammer Further Laying of 83mm thick pavaour block and filling gap between the paver blocks including labour charges and machinery charges etc.,all complete and as Directed by Departmental Officers. (QTN) </t>
  </si>
  <si>
    <t>Supplying &amp; filling of HARD BROKEN STONE JELLY 3mm to 10mm</t>
  </si>
  <si>
    <t>Valangaiman</t>
  </si>
  <si>
    <t>Scheme main road 6m  vertical path way</t>
  </si>
  <si>
    <t>b) 23cm (9") letter (PWD SR 23-24)</t>
  </si>
  <si>
    <t>Sq.m</t>
  </si>
  <si>
    <t>(i) Upto 76m depth ending below Ground level</t>
  </si>
  <si>
    <t>(ii) From 76m upto 91m depth ending below Ground level</t>
  </si>
  <si>
    <t>b) 50 mm dia GI Bend (PWD SR P-51/ 23-24)</t>
  </si>
  <si>
    <t>Supplying and fixing of 250 watt sodium vapour fitting and lamp etc., all complete. PWD SR 2023 - 2024 / P-140</t>
  </si>
  <si>
    <t>Buzbar to DB box in Ground floor,FF and SF Left side</t>
  </si>
  <si>
    <t>Supply and delivery of clear water vertical wet type single phase 2.0HP submersible pumpset suitable for 150mm dia borewell conforming to IS 8034/2002 with latest amendments and BEE 3 Star Rated capable of discharging noted LPM against head of water column due to all causes. The pump shall be with stainlesss steeel shaft and dynamically balanced bronze or Cast SS impeller, brass screws and CI FG 200 grade pump bowl/difuser with ISI mark. The pump shall be directly coupled to a continuos rated two pole suitable wet type vertical squirrel cage induction motor asper IS9283 suitable for operation in AC 3 phase 415 V+/- 10 %, 50 HZ +/- 5 %(50x40)  (TWAD SR 2019-2020-P77)</t>
  </si>
  <si>
    <t>REAR  SIDE LENGTH =</t>
  </si>
  <si>
    <t>Rear side</t>
  </si>
  <si>
    <t>Grade beam front sides</t>
  </si>
  <si>
    <t>Grade beam Rear sides</t>
  </si>
  <si>
    <t>D/F Gate pillar</t>
  </si>
  <si>
    <t>Front and rear</t>
  </si>
  <si>
    <t>D/F gate open</t>
  </si>
  <si>
    <t>D/f gate pillar</t>
  </si>
  <si>
    <t>D/f gate open</t>
  </si>
  <si>
    <t>Grade beam front</t>
  </si>
  <si>
    <t xml:space="preserve">Rear </t>
  </si>
  <si>
    <r>
      <t>At the rate</t>
    </r>
    <r>
      <rPr>
        <vertAlign val="superscript"/>
        <sz val="11"/>
        <rFont val="Calibri"/>
        <family val="2"/>
        <scheme val="minor"/>
      </rPr>
      <t xml:space="preserve"> </t>
    </r>
    <r>
      <rPr>
        <sz val="11"/>
        <rFont val="Calibri"/>
        <family val="2"/>
        <scheme val="minor"/>
      </rPr>
      <t>= 11.88X 50Kg/m</t>
    </r>
    <r>
      <rPr>
        <vertAlign val="superscript"/>
        <sz val="11"/>
        <rFont val="Calibri"/>
        <family val="2"/>
        <scheme val="minor"/>
      </rPr>
      <t>2</t>
    </r>
  </si>
  <si>
    <t>rear</t>
  </si>
  <si>
    <t>fornt 2 sides</t>
  </si>
  <si>
    <t xml:space="preserve">d/f gate </t>
  </si>
  <si>
    <t>D/f entry parking</t>
  </si>
  <si>
    <t>Alround Plinth protection wall pillar</t>
  </si>
  <si>
    <t>Supplying and filling of Sand</t>
  </si>
  <si>
    <t>Supplying and filling of Gravel</t>
  </si>
  <si>
    <t>(0.60 + 0.45)/2</t>
  </si>
  <si>
    <t>Road</t>
  </si>
  <si>
    <t>c) Small Qty.</t>
  </si>
  <si>
    <t>Brick work with CM 1:5 using ground mouldcountry bricks including all cost and conveyance materials and all labur charges etc ., complete.</t>
  </si>
  <si>
    <t>Providing form work for RCC surfaces using MS Sheets for plain surface such as roof slab,floor slab,beam,lintal,loft sill slab, staircase waist, portico slab and other similar works.</t>
  </si>
  <si>
    <t>Supplying and fixing of U.P.V.C doors with UPVC frame and UPVC shutter etc., complete.</t>
  </si>
  <si>
    <t>Pressed tiles over terrace roof finish</t>
  </si>
  <si>
    <t>c) In First Floor</t>
  </si>
  <si>
    <t>Rear</t>
  </si>
  <si>
    <t>Sump (Detailed)</t>
  </si>
  <si>
    <t>Description of works or Materials</t>
  </si>
  <si>
    <t>Earth work excavation for open foundation for (Excluding reffilling)</t>
  </si>
  <si>
    <t>Sump</t>
  </si>
  <si>
    <t>Plain Cement Concrete 1:5:10 for foundation using 40mm gauge hard broken stone jelly inclusive of shoring etc., all complete. (Foundation and Basement)</t>
  </si>
  <si>
    <t>Providing and laying in position, Standardised Concrete Mix M-20 Grade in accordance with IS etc., all complete.</t>
  </si>
  <si>
    <t>a) In Foundation &amp; Basement</t>
  </si>
  <si>
    <t xml:space="preserve">Alround vertical wall </t>
  </si>
  <si>
    <t>Haunch portion</t>
  </si>
  <si>
    <t>Middle cross wall</t>
  </si>
  <si>
    <t>Sump cover slab</t>
  </si>
  <si>
    <t xml:space="preserve">D/F - Manhole </t>
  </si>
  <si>
    <t>a) In foundation basement</t>
  </si>
  <si>
    <t>Sump inside wall alround</t>
  </si>
  <si>
    <t>Sump outside wall alround</t>
  </si>
  <si>
    <t>Plastering  in CM 1:5, 12 mm tk</t>
  </si>
  <si>
    <t>Sump outer wall</t>
  </si>
  <si>
    <t>Providing form work and centering for reinforced  cement concrete works including  supports  and  strutting etc., all complete.</t>
  </si>
  <si>
    <t>a) For Column Footings, Plinth beam, Grade beam, Raft beam, Raft slab etc.,</t>
  </si>
  <si>
    <t>Sump cover slab inner</t>
  </si>
  <si>
    <t>D/f - Manhole</t>
  </si>
  <si>
    <t>e) Circular surface</t>
  </si>
  <si>
    <t>Cover slab side outer side</t>
  </si>
  <si>
    <t>Supplying, fabricating and placing in position of Mild Steel Grills/Ribbed Tor Steels etc., all complete. (Without Cement Slurry)</t>
  </si>
  <si>
    <t>Supplying fixing of CI steps</t>
  </si>
  <si>
    <t>For Sump</t>
  </si>
  <si>
    <t>Pump Room (Detailed)</t>
  </si>
  <si>
    <t>Earth work excavation in all soils for foundation (Including refilling) a) 0 to 2 mt.</t>
  </si>
  <si>
    <t>Pump Room steps</t>
  </si>
  <si>
    <t xml:space="preserve">Supplying and filling in foundation and basement with filling sand in layers of 150 mm thickness </t>
  </si>
  <si>
    <t>Pump Room Steps</t>
  </si>
  <si>
    <t xml:space="preserve">Plain Cement Concrete 1:5:10 for foundation using 40mm gauge hard broken stone jelly </t>
  </si>
  <si>
    <t>Brick work in C.M. 1:5  using Kiln Burnt Country bricks of size 22 x 11 x 7 cm ( 8 3/4" x 4 1/4" x 2 3/4") In foundation &amp; basement</t>
  </si>
  <si>
    <t>Pump Room Ist Step</t>
  </si>
  <si>
    <t>2nd Step</t>
  </si>
  <si>
    <t xml:space="preserve">Brick work in C.M. 1:6  using Kiln Burnt Country bricks of size 22 x 11 x 7 cm ( 8 3/4" x 4 1/4" x 2 3/4") a) In Ground Floor </t>
  </si>
  <si>
    <t>Pump Room allround</t>
  </si>
  <si>
    <t>3.14 X 4.03</t>
  </si>
  <si>
    <t>D/F - Sill slab</t>
  </si>
  <si>
    <t>D/F - D</t>
  </si>
  <si>
    <t>D/F - W</t>
  </si>
  <si>
    <t>Pump Room allround parapet</t>
  </si>
  <si>
    <t xml:space="preserve">Standardised concrete Mix M20 Grade Concrete in Ground floor </t>
  </si>
  <si>
    <t xml:space="preserve">For pump Room Roof slab </t>
  </si>
  <si>
    <t>3.14 X 4.26 X 4.26</t>
  </si>
  <si>
    <t>Allround beam</t>
  </si>
  <si>
    <t xml:space="preserve">Door sunshade </t>
  </si>
  <si>
    <t>Window sunshade</t>
  </si>
  <si>
    <t>Formwork using M.S.Sheet for plain surfaces such as Roof slab, Floor slab, Beams, Lintels, Lofts, Sill slab, Staircase, Portico slab and other similar works.</t>
  </si>
  <si>
    <t>For Roof slab bottom</t>
  </si>
  <si>
    <t>3.14 X 3.80 X 3.80</t>
  </si>
  <si>
    <t>For Roof slab side</t>
  </si>
  <si>
    <t>3.14 X 4.26</t>
  </si>
  <si>
    <t>Allround beam sides</t>
  </si>
  <si>
    <t xml:space="preserve">3.14 X 4.26 </t>
  </si>
  <si>
    <t>Sill slab two sides</t>
  </si>
  <si>
    <t>Door lintel bottom</t>
  </si>
  <si>
    <t>Window Lintel bottom</t>
  </si>
  <si>
    <t>Window sunshade bottom</t>
  </si>
  <si>
    <t>Window sunshade 3 sides</t>
  </si>
  <si>
    <t>Door sunshade bottom</t>
  </si>
  <si>
    <t>Door sunshade 3 sides</t>
  </si>
  <si>
    <t>Supplying, fabrication of Mild steel / RTS grills (without cement slurry wash) for all sizes of rods.</t>
  </si>
  <si>
    <t xml:space="preserve">Supplying and fixing of MS Grill for verandah enclosure </t>
  </si>
  <si>
    <t>For pump Room Window</t>
  </si>
  <si>
    <t>For Pump Room Steel door</t>
  </si>
  <si>
    <t>Supplying and fixing of 4mm thick pin headed Glass panels with Aluminium beedings</t>
  </si>
  <si>
    <t>For pump Room window</t>
  </si>
  <si>
    <t xml:space="preserve">Finishing the top flooring in CM 1:4, 20mm tk </t>
  </si>
  <si>
    <t>Sides</t>
  </si>
  <si>
    <t>Finishing the top of flooring with C.M 1:3, 20mm thick  (no sand) using granite chips of 10mm &amp; below (Ellispattern)</t>
  </si>
  <si>
    <t>Pump Room floor</t>
  </si>
  <si>
    <t xml:space="preserve">Special Ceiling Plastering 1:3, 10mm thick </t>
  </si>
  <si>
    <t>Pump Room ceiling</t>
  </si>
  <si>
    <t xml:space="preserve">Plastering with CM 1:5, 12mm thick finished with neat cement </t>
  </si>
  <si>
    <t>INNER</t>
  </si>
  <si>
    <t>For Pump Room</t>
  </si>
  <si>
    <t>D/f - Door</t>
  </si>
  <si>
    <t>D/f - Window</t>
  </si>
  <si>
    <t>Add for Jams</t>
  </si>
  <si>
    <t>Add for Window</t>
  </si>
  <si>
    <t>OUTER</t>
  </si>
  <si>
    <t>Sunshade top - Window</t>
  </si>
  <si>
    <t>Sunshade top - Door</t>
  </si>
  <si>
    <t>Parapet inner</t>
  </si>
  <si>
    <t>Add for Jams - Wnidow</t>
  </si>
  <si>
    <t>For Pump Room ceiling</t>
  </si>
  <si>
    <t>Slope tiles</t>
  </si>
  <si>
    <t>3.14 X 3.80 X 0.23</t>
  </si>
  <si>
    <t>Supplying and laying of  PVC SWR 110 mm dia with ISI mark type - A for Rain water down fall pipe</t>
  </si>
  <si>
    <t xml:space="preserve">For Pump Room </t>
  </si>
  <si>
    <t>Painting the new iron work and other similar works such as PVC/ASTM pipes, kerb stone and grills with two coats of approved first class synthetic enamel ready mixed paint.</t>
  </si>
  <si>
    <t>For Window</t>
  </si>
  <si>
    <t>Door</t>
  </si>
  <si>
    <t>Plastic Emulsion PAINT including primer</t>
  </si>
  <si>
    <t>White washing three coats using clean shell lime slaked including cost of lime, gum, blue, brushes including scaffolding etc., all complete in all respects.</t>
  </si>
  <si>
    <t xml:space="preserve">As per ceiling area </t>
  </si>
  <si>
    <t>As per plastering area</t>
  </si>
  <si>
    <t>D/F - Outer plastering area</t>
  </si>
  <si>
    <t>a) Light point with ceiling rose</t>
  </si>
  <si>
    <t>Pump Room inner</t>
  </si>
  <si>
    <t>Pump Room (Bulkhead fiiting)</t>
  </si>
  <si>
    <t xml:space="preserve">Street light </t>
  </si>
  <si>
    <t>b) Light point without ceiling rose</t>
  </si>
  <si>
    <t>Wiring with 1.5 sqmm PVC insulated single core multi strand fire retardant flexible copper cable  for 5 amps 5 pin plug socket point @ Switch Board Itself.</t>
  </si>
  <si>
    <t>Supplying and fixing of Tube light fitting  (patty type) with Electronic ballast and 36 W slim tube light</t>
  </si>
  <si>
    <t>Supplying and fixing of Street lights</t>
  </si>
  <si>
    <t>Pump Room outer</t>
  </si>
  <si>
    <t>Supplying and fixing of the following Compact Fluoresent Lamp (CFL)</t>
  </si>
  <si>
    <t>a. 14 watts CFL bulb</t>
  </si>
  <si>
    <t>b. 18 watts bulb for Bulk Head fittings</t>
  </si>
  <si>
    <t>Pump Room (Bulkhead fitting)</t>
  </si>
  <si>
    <t>Supplying and fixing of Bulk head fitting suitable for CFL</t>
  </si>
  <si>
    <t>Pump Room front</t>
  </si>
  <si>
    <t>22.3.3</t>
  </si>
  <si>
    <t>Teak wood double leaf shutter for cupboard &amp; wardrobe</t>
  </si>
  <si>
    <t>C.Room</t>
  </si>
  <si>
    <t>For 1.0 HP submerssible- Sump</t>
  </si>
  <si>
    <t xml:space="preserve">Bore-1 to Sump </t>
  </si>
  <si>
    <t>For suction pipe in monoblock pumpset (Pumproom)</t>
  </si>
  <si>
    <t>For monoblock motor inter connection (Pumproom)</t>
  </si>
  <si>
    <t>For monoblock pumpset to delivery line above G.L (Pumproom)</t>
  </si>
  <si>
    <t xml:space="preserve">Bore-2 vertical pipe </t>
  </si>
  <si>
    <t>For lawn Delivery line</t>
  </si>
  <si>
    <t xml:space="preserve">Road crossing pumping and delivery main line </t>
  </si>
  <si>
    <t>For monoblock pumpset pumproom</t>
  </si>
  <si>
    <t>For suction pipe pumproom</t>
  </si>
  <si>
    <t>For suction pipe Pumproom</t>
  </si>
  <si>
    <t>For monoblock inter connection Pumproom-2</t>
  </si>
  <si>
    <t>For delivery main line sump</t>
  </si>
  <si>
    <t>For delivery main line Sump</t>
  </si>
  <si>
    <t>h) 50mm dia GM Non-Return alve</t>
  </si>
  <si>
    <t>For bore well and monoblock Pumproom</t>
  </si>
  <si>
    <t>Interconnection</t>
  </si>
  <si>
    <t>Bore-1&amp;2</t>
  </si>
  <si>
    <t>Bore-1 &amp; 2</t>
  </si>
  <si>
    <t>for lon area</t>
  </si>
  <si>
    <t>Arms &amp; Ammunition</t>
  </si>
  <si>
    <t>Women Rest Room</t>
  </si>
  <si>
    <t>Men Rest Room</t>
  </si>
  <si>
    <t>Property Room</t>
  </si>
  <si>
    <t>Physically Challenged Persons</t>
  </si>
  <si>
    <t>Retaining wall</t>
  </si>
  <si>
    <t xml:space="preserve">Plastering with CM 1:5,12mm thick </t>
  </si>
  <si>
    <t>Delivery Line to Station Building                                 18</t>
  </si>
  <si>
    <t>Surrounding Filling (Detailed)</t>
  </si>
  <si>
    <t>(15.80 + 17.00)/2</t>
  </si>
  <si>
    <t>Floor matt concrete</t>
  </si>
  <si>
    <t>Floor matt sides</t>
  </si>
  <si>
    <t>culvert aburtment</t>
  </si>
  <si>
    <t>sides</t>
  </si>
  <si>
    <t>Supplying and fixing of Granite tiles flooring</t>
  </si>
  <si>
    <t>GF lobby</t>
  </si>
  <si>
    <t>station sentry</t>
  </si>
  <si>
    <t>SF Lobby</t>
  </si>
  <si>
    <t>skiritng</t>
  </si>
  <si>
    <t>Supplying and applying of one coat of wall patty</t>
  </si>
  <si>
    <t>Painting the new walls with two coats of Plastic emulsion paint inner walls</t>
  </si>
  <si>
    <t>EAST AND WEST SIDE LENGTH =</t>
  </si>
  <si>
    <t>East and West side</t>
  </si>
  <si>
    <t>East and West side grade beam</t>
  </si>
  <si>
    <t>Manufacturing and Supplying of steel windows</t>
  </si>
  <si>
    <t>kg.</t>
  </si>
  <si>
    <t>Supplying and fixing of 4mm thick pin headed glass</t>
  </si>
  <si>
    <t>Labour charges for laying of  3.5 core 50 sqmm PVC armoured ALTUG Cable
a) Above Ground Level (TWAD SR 2022 - 2023)</t>
  </si>
  <si>
    <t>Supplying and fixing of single pole 6 Amps to 32 Amps MCB. PWD SR - 2023-24 / P-141</t>
  </si>
  <si>
    <t>a) 9W LED Bulb - PWD SR 2023-24</t>
  </si>
</sst>
</file>

<file path=xl/styles.xml><?xml version="1.0" encoding="utf-8"?>
<styleSheet xmlns="http://schemas.openxmlformats.org/spreadsheetml/2006/main">
  <numFmts count="28">
    <numFmt numFmtId="5" formatCode="&quot;$&quot;#,##0_);\(&quot;$&quot;#,##0\)"/>
    <numFmt numFmtId="6" formatCode="&quot;$&quot;#,##0_);[Red]\(&quot;$&quot;#,##0\)"/>
    <numFmt numFmtId="7" formatCode="&quot;$&quot;#,##0.00_);\(&quot;$&quot;#,##0.0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80" formatCode="_-&quot;€&quot;* #,##0.00_-;\-&quot;€&quot;* #,##0.00_-;_-&quot;€&quot;* &quot;-&quot;??_-;_-@_-"/>
    <numFmt numFmtId="181" formatCode="_ &quot;Rs.&quot;\ * #,##0.00_ ;_ &quot;Rs.&quot;\ * \-#,##0.00_ ;_ &quot;Rs.&quot;\ * &quot;-&quot;??_ ;_ @_ "/>
    <numFmt numFmtId="182" formatCode="#\ ?/2"/>
    <numFmt numFmtId="183" formatCode="0.00;;;@"/>
    <numFmt numFmtId="184" formatCode="0.000;;;@"/>
    <numFmt numFmtId="185" formatCode="0.0000;;;@"/>
    <numFmt numFmtId="186" formatCode="_(* #,##0.0000_);_(* \(#,##0.0000\);_(* &quot;-&quot;??_);_(@_)"/>
  </numFmts>
  <fonts count="120">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vertAlign val="superscript"/>
      <sz val="11"/>
      <color indexed="8"/>
      <name val="Calibri"/>
      <family val="2"/>
    </font>
    <font>
      <b/>
      <vertAlign val="superscript"/>
      <sz val="11"/>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b/>
      <sz val="12"/>
      <color theme="0"/>
      <name val="Arial"/>
      <family val="2"/>
    </font>
    <font>
      <sz val="12"/>
      <color theme="8" tint="-0.249977111117893"/>
      <name val="Helv"/>
    </font>
    <font>
      <b/>
      <sz val="12"/>
      <color theme="1"/>
      <name val="Calibri"/>
      <family val="2"/>
      <scheme val="minor"/>
    </font>
    <font>
      <sz val="12"/>
      <name val="Cambria"/>
      <family val="1"/>
      <scheme val="major"/>
    </font>
    <font>
      <b/>
      <u/>
      <sz val="14"/>
      <name val="Cambria"/>
      <family val="1"/>
      <scheme val="major"/>
    </font>
    <font>
      <b/>
      <sz val="12"/>
      <name val="Cambria"/>
      <family val="1"/>
      <scheme val="major"/>
    </font>
    <font>
      <sz val="12"/>
      <color rgb="FFFF0000"/>
      <name val="Cambria"/>
      <family val="1"/>
      <scheme val="major"/>
    </font>
    <font>
      <u/>
      <sz val="12"/>
      <name val="Cambria"/>
      <family val="1"/>
      <scheme val="major"/>
    </font>
    <font>
      <b/>
      <sz val="14"/>
      <name val="Cambria"/>
      <family val="1"/>
      <scheme val="major"/>
    </font>
    <font>
      <sz val="12"/>
      <color theme="1"/>
      <name val="Cambria"/>
      <family val="1"/>
      <scheme val="major"/>
    </font>
    <font>
      <sz val="14"/>
      <name val="Cambria"/>
      <family val="1"/>
      <scheme val="major"/>
    </font>
    <font>
      <sz val="12"/>
      <color theme="1" tint="4.9989318521683403E-2"/>
      <name val="Cambria"/>
      <family val="1"/>
      <scheme val="major"/>
    </font>
    <font>
      <b/>
      <sz val="12"/>
      <color theme="1" tint="4.9989318521683403E-2"/>
      <name val="Cambria"/>
      <family val="1"/>
      <scheme val="major"/>
    </font>
    <font>
      <b/>
      <sz val="14"/>
      <name val="Cambria"/>
      <family val="1"/>
    </font>
    <font>
      <b/>
      <u/>
      <sz val="13"/>
      <name val="Calibri"/>
      <family val="2"/>
      <scheme val="minor"/>
    </font>
    <font>
      <sz val="12"/>
      <name val="Calibri"/>
      <family val="2"/>
      <scheme val="minor"/>
    </font>
    <font>
      <sz val="13"/>
      <name val="Calibri"/>
      <family val="2"/>
      <scheme val="minor"/>
    </font>
    <font>
      <b/>
      <u/>
      <sz val="14"/>
      <name val="Calibri"/>
      <family val="2"/>
      <scheme val="minor"/>
    </font>
    <font>
      <b/>
      <sz val="13"/>
      <name val="Calibri"/>
      <family val="2"/>
      <scheme val="minor"/>
    </font>
    <font>
      <b/>
      <sz val="12"/>
      <name val="Calibri"/>
      <family val="2"/>
      <scheme val="minor"/>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indexed="12"/>
      <name val="Arial"/>
      <family val="2"/>
    </font>
    <font>
      <u/>
      <sz val="7.5"/>
      <color indexed="12"/>
      <name val="Arial"/>
      <family val="2"/>
    </font>
    <font>
      <sz val="11"/>
      <color indexed="62"/>
      <name val="Calibri"/>
      <family val="2"/>
    </font>
    <font>
      <sz val="11"/>
      <color indexed="52"/>
      <name val="Calibri"/>
      <family val="2"/>
    </font>
    <font>
      <sz val="10"/>
      <name val="Arabic Transparent"/>
      <charset val="178"/>
    </font>
    <font>
      <sz val="11"/>
      <color indexed="60"/>
      <name val="Calibri"/>
      <family val="2"/>
    </font>
    <font>
      <sz val="12"/>
      <color rgb="FF000000"/>
      <name val="Helv"/>
    </font>
    <font>
      <sz val="10"/>
      <name val="Courier"/>
      <family val="3"/>
    </font>
    <font>
      <b/>
      <sz val="11"/>
      <color indexed="63"/>
      <name val="Calibri"/>
      <family val="2"/>
    </font>
    <font>
      <b/>
      <sz val="18"/>
      <color indexed="56"/>
      <name val="Cambria"/>
      <family val="1"/>
    </font>
    <font>
      <b/>
      <sz val="11"/>
      <color indexed="8"/>
      <name val="Calibri"/>
      <family val="2"/>
    </font>
    <font>
      <sz val="11"/>
      <color indexed="10"/>
      <name val="Calibri"/>
      <family val="2"/>
    </font>
    <font>
      <b/>
      <sz val="14"/>
      <name val="Calibri"/>
      <family val="2"/>
      <scheme val="minor"/>
    </font>
    <font>
      <sz val="11"/>
      <name val="Calibri"/>
      <family val="2"/>
      <scheme val="minor"/>
    </font>
    <font>
      <b/>
      <sz val="11"/>
      <name val="Calibri"/>
      <family val="2"/>
      <scheme val="minor"/>
    </font>
    <font>
      <b/>
      <u/>
      <sz val="11"/>
      <name val="Calibri"/>
      <family val="2"/>
      <scheme val="minor"/>
    </font>
    <font>
      <b/>
      <sz val="11"/>
      <color indexed="10"/>
      <name val="Calibri"/>
      <family val="2"/>
      <scheme val="minor"/>
    </font>
    <font>
      <sz val="11"/>
      <color indexed="10"/>
      <name val="Calibri"/>
      <family val="2"/>
      <scheme val="minor"/>
    </font>
    <font>
      <b/>
      <u/>
      <sz val="14"/>
      <name val="Calibri"/>
      <family val="2"/>
    </font>
    <font>
      <b/>
      <sz val="12"/>
      <name val="Calibri"/>
      <family val="2"/>
    </font>
    <font>
      <sz val="12"/>
      <name val="Calibri"/>
      <family val="2"/>
    </font>
    <font>
      <b/>
      <sz val="14"/>
      <name val="Calibri"/>
      <family val="2"/>
    </font>
    <font>
      <b/>
      <u val="double"/>
      <sz val="14"/>
      <name val="Calibri"/>
      <family val="2"/>
      <scheme val="minor"/>
    </font>
    <font>
      <b/>
      <u/>
      <sz val="12"/>
      <name val="Calibri"/>
      <family val="2"/>
      <scheme val="minor"/>
    </font>
    <font>
      <b/>
      <u val="double"/>
      <sz val="13"/>
      <name val="Calibri"/>
      <family val="2"/>
      <scheme val="minor"/>
    </font>
    <font>
      <b/>
      <u/>
      <sz val="15"/>
      <name val="Calibri"/>
      <family val="2"/>
      <scheme val="minor"/>
    </font>
    <font>
      <sz val="12"/>
      <name val="Bamini"/>
      <family val="2"/>
    </font>
    <font>
      <sz val="11"/>
      <name val="Arial"/>
      <family val="2"/>
    </font>
    <font>
      <b/>
      <sz val="11"/>
      <name val="Arial"/>
      <family val="2"/>
    </font>
    <font>
      <u/>
      <sz val="11"/>
      <name val="Arial"/>
      <family val="2"/>
    </font>
    <font>
      <u/>
      <sz val="12"/>
      <name val="Arial"/>
      <family val="2"/>
    </font>
    <font>
      <b/>
      <u val="double"/>
      <sz val="12"/>
      <color indexed="8"/>
      <name val="Arial"/>
      <family val="2"/>
    </font>
    <font>
      <b/>
      <u val="double"/>
      <sz val="12"/>
      <name val="Arial"/>
      <family val="2"/>
    </font>
    <font>
      <b/>
      <sz val="12"/>
      <color indexed="8"/>
      <name val="Arial"/>
      <family val="2"/>
    </font>
    <font>
      <b/>
      <u val="double"/>
      <sz val="15"/>
      <name val="Calibri"/>
      <family val="2"/>
    </font>
    <font>
      <sz val="13"/>
      <name val="Calibri"/>
      <family val="2"/>
    </font>
    <font>
      <b/>
      <sz val="13"/>
      <name val="Calibri"/>
      <family val="2"/>
    </font>
    <font>
      <b/>
      <u/>
      <sz val="13"/>
      <color indexed="8"/>
      <name val="Calibri"/>
      <family val="2"/>
      <scheme val="minor"/>
    </font>
    <font>
      <b/>
      <sz val="11"/>
      <color indexed="8"/>
      <name val="Calibri"/>
      <family val="2"/>
      <scheme val="minor"/>
    </font>
    <font>
      <sz val="11"/>
      <color indexed="8"/>
      <name val="Calibri"/>
      <family val="2"/>
      <scheme val="minor"/>
    </font>
    <font>
      <sz val="11"/>
      <name val="Calibri"/>
      <family val="2"/>
    </font>
    <font>
      <vertAlign val="superscript"/>
      <sz val="11"/>
      <name val="Calibri"/>
      <family val="2"/>
    </font>
    <font>
      <sz val="14"/>
      <name val="Calibri"/>
      <family val="2"/>
      <scheme val="minor"/>
    </font>
    <font>
      <b/>
      <u val="double"/>
      <sz val="14"/>
      <color indexed="8"/>
      <name val="Calibri"/>
      <family val="2"/>
      <scheme val="minor"/>
    </font>
    <font>
      <b/>
      <u/>
      <sz val="14"/>
      <color indexed="8"/>
      <name val="Calibri"/>
      <family val="2"/>
      <scheme val="minor"/>
    </font>
    <font>
      <sz val="12"/>
      <color indexed="8"/>
      <name val="Calibri"/>
      <family val="2"/>
      <scheme val="minor"/>
    </font>
    <font>
      <b/>
      <sz val="12"/>
      <color indexed="8"/>
      <name val="Calibri"/>
      <family val="2"/>
      <scheme val="minor"/>
    </font>
    <font>
      <b/>
      <u/>
      <sz val="12"/>
      <color indexed="8"/>
      <name val="Calibri"/>
      <family val="2"/>
      <scheme val="minor"/>
    </font>
    <font>
      <vertAlign val="superscript"/>
      <sz val="11"/>
      <name val="Calibri"/>
      <family val="2"/>
      <scheme val="minor"/>
    </font>
    <font>
      <sz val="12"/>
      <color theme="1"/>
      <name val="Calibri"/>
      <family val="2"/>
      <scheme val="minor"/>
    </font>
    <font>
      <b/>
      <u/>
      <sz val="13"/>
      <name val="Calibri"/>
      <family val="2"/>
    </font>
    <font>
      <b/>
      <u/>
      <sz val="16"/>
      <name val="Arial Narrow"/>
      <family val="2"/>
    </font>
    <font>
      <b/>
      <u val="double"/>
      <sz val="16"/>
      <name val="Arial Narrow"/>
      <family val="2"/>
    </font>
    <font>
      <sz val="13"/>
      <color indexed="8"/>
      <name val="Arial Narrow"/>
      <family val="2"/>
    </font>
    <font>
      <b/>
      <sz val="13"/>
      <color indexed="8"/>
      <name val="Arial Narrow"/>
      <family val="2"/>
    </font>
    <font>
      <sz val="12"/>
      <name val="Arial Narrow"/>
      <family val="2"/>
    </font>
  </fonts>
  <fills count="29">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5"/>
        <bgColor indexed="64"/>
      </patternFill>
    </fill>
    <fill>
      <patternFill patternType="solid">
        <fgColor indexed="43"/>
        <bgColor indexed="64"/>
      </patternFill>
    </fill>
    <fill>
      <patternFill patternType="solid">
        <fgColor rgb="FF00B050"/>
        <bgColor indexed="64"/>
      </patternFill>
    </fill>
    <fill>
      <patternFill patternType="solid">
        <fgColor indexed="9"/>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s>
  <cellStyleXfs count="1329">
    <xf numFmtId="168" fontId="0" fillId="0" borderId="0"/>
    <xf numFmtId="43" fontId="4" fillId="0" borderId="0" applyFont="0" applyFill="0" applyBorder="0" applyAlignment="0" applyProtection="0"/>
    <xf numFmtId="6" fontId="23"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38" fontId="9" fillId="2" borderId="0" applyNumberFormat="0" applyBorder="0" applyAlignment="0" applyProtection="0"/>
    <xf numFmtId="0" fontId="32" fillId="0" borderId="0" applyNumberFormat="0" applyFill="0" applyBorder="0" applyAlignment="0" applyProtection="0">
      <alignment vertical="top"/>
      <protection locked="0"/>
    </xf>
    <xf numFmtId="10" fontId="9" fillId="3" borderId="1" applyNumberFormat="0" applyBorder="0" applyAlignment="0" applyProtection="0"/>
    <xf numFmtId="168" fontId="28" fillId="0" borderId="0"/>
    <xf numFmtId="42" fontId="8" fillId="0" borderId="0"/>
    <xf numFmtId="0" fontId="17" fillId="0" borderId="0"/>
    <xf numFmtId="166" fontId="8" fillId="0" borderId="0"/>
    <xf numFmtId="0" fontId="17" fillId="0" borderId="0"/>
    <xf numFmtId="0" fontId="31" fillId="0" borderId="0"/>
    <xf numFmtId="0" fontId="17" fillId="0" borderId="0"/>
    <xf numFmtId="0" fontId="17" fillId="0" borderId="0"/>
    <xf numFmtId="0" fontId="17" fillId="0" borderId="0"/>
    <xf numFmtId="0" fontId="31" fillId="0" borderId="0"/>
    <xf numFmtId="0" fontId="17" fillId="0" borderId="0"/>
    <xf numFmtId="0" fontId="25" fillId="0" borderId="0"/>
    <xf numFmtId="166" fontId="8" fillId="0" borderId="0"/>
    <xf numFmtId="164" fontId="8" fillId="0" borderId="0"/>
    <xf numFmtId="0" fontId="17" fillId="0" borderId="0"/>
    <xf numFmtId="168" fontId="8" fillId="0" borderId="0"/>
    <xf numFmtId="168" fontId="8" fillId="0" borderId="0"/>
    <xf numFmtId="0" fontId="31" fillId="0" borderId="0"/>
    <xf numFmtId="0" fontId="17" fillId="0" borderId="0"/>
    <xf numFmtId="0" fontId="17" fillId="0" borderId="0"/>
    <xf numFmtId="0" fontId="31" fillId="0" borderId="0"/>
    <xf numFmtId="165" fontId="8" fillId="0" borderId="0"/>
    <xf numFmtId="165" fontId="8" fillId="0" borderId="0"/>
    <xf numFmtId="165" fontId="8" fillId="0" borderId="0"/>
    <xf numFmtId="180" fontId="8" fillId="0" borderId="0"/>
    <xf numFmtId="0" fontId="31" fillId="0" borderId="0"/>
    <xf numFmtId="0" fontId="33" fillId="0" borderId="0"/>
    <xf numFmtId="0" fontId="17" fillId="0" borderId="0"/>
    <xf numFmtId="0" fontId="27" fillId="0" borderId="0"/>
    <xf numFmtId="0" fontId="27" fillId="0" borderId="0"/>
    <xf numFmtId="0" fontId="4" fillId="0" borderId="0"/>
    <xf numFmtId="0" fontId="17" fillId="0" borderId="0"/>
    <xf numFmtId="9" fontId="4" fillId="0" borderId="0" applyFont="0" applyFill="0" applyBorder="0" applyAlignment="0" applyProtection="0"/>
    <xf numFmtId="10"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29" fillId="0" borderId="0"/>
    <xf numFmtId="40" fontId="30" fillId="0" borderId="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23" fillId="17"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6"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6" fillId="10" borderId="0" applyNumberFormat="0" applyBorder="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7" fillId="2" borderId="18"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0" fontId="58" fillId="25" borderId="19" applyNumberFormat="0" applyAlignment="0" applyProtection="0"/>
    <xf numFmtId="43" fontId="4" fillId="0" borderId="0" applyFont="0" applyFill="0" applyBorder="0" applyAlignment="0" applyProtection="0"/>
    <xf numFmtId="6" fontId="4" fillId="0" borderId="0" applyFont="0" applyFill="0" applyBorder="0" applyAlignment="0" applyProtection="0"/>
    <xf numFmtId="6" fontId="23" fillId="0" borderId="0" applyFont="0" applyFill="0" applyBorder="0" applyAlignment="0" applyProtection="0"/>
    <xf numFmtId="6" fontId="23"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44" fontId="4" fillId="0" borderId="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1" fillId="0" borderId="20"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2" fillId="0" borderId="21"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6" fillId="13" borderId="18" applyNumberFormat="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7" fillId="0" borderId="23" applyNumberFormat="0" applyFill="0" applyAlignment="0" applyProtection="0"/>
    <xf numFmtId="0" fontId="68" fillId="0" borderId="24" applyNumberFormat="0">
      <alignment horizontal="right"/>
    </xf>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168" fontId="70" fillId="0" borderId="0"/>
    <xf numFmtId="166" fontId="8" fillId="0" borderId="0"/>
    <xf numFmtId="164" fontId="8" fillId="0" borderId="0"/>
    <xf numFmtId="170" fontId="8" fillId="0" borderId="0"/>
    <xf numFmtId="168" fontId="8" fillId="0" borderId="0"/>
    <xf numFmtId="168" fontId="8" fillId="0" borderId="0"/>
    <xf numFmtId="168" fontId="8" fillId="0" borderId="0"/>
    <xf numFmtId="166" fontId="8" fillId="0" borderId="0"/>
    <xf numFmtId="168" fontId="8" fillId="0" borderId="0"/>
    <xf numFmtId="168" fontId="8" fillId="0" borderId="0"/>
    <xf numFmtId="166" fontId="8" fillId="0" borderId="0"/>
    <xf numFmtId="0" fontId="4"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168" fontId="8" fillId="0" borderId="0"/>
    <xf numFmtId="168" fontId="8" fillId="0" borderId="0"/>
    <xf numFmtId="168" fontId="8" fillId="0" borderId="0"/>
    <xf numFmtId="0" fontId="4" fillId="0" borderId="0"/>
    <xf numFmtId="0" fontId="8" fillId="0" borderId="0"/>
    <xf numFmtId="170" fontId="8"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4" fillId="0" borderId="0"/>
    <xf numFmtId="167" fontId="8" fillId="0" borderId="0"/>
    <xf numFmtId="164" fontId="8" fillId="0" borderId="0"/>
    <xf numFmtId="164" fontId="8" fillId="0" borderId="0"/>
    <xf numFmtId="164" fontId="8" fillId="0" borderId="0"/>
    <xf numFmtId="164" fontId="8" fillId="0" borderId="0"/>
    <xf numFmtId="0" fontId="4" fillId="0" borderId="0"/>
    <xf numFmtId="166" fontId="8" fillId="0" borderId="0"/>
    <xf numFmtId="166" fontId="8" fillId="0" borderId="0"/>
    <xf numFmtId="164" fontId="8" fillId="0" borderId="0"/>
    <xf numFmtId="0" fontId="4" fillId="0" borderId="0"/>
    <xf numFmtId="164" fontId="8" fillId="0" borderId="0"/>
    <xf numFmtId="164" fontId="8" fillId="0" borderId="0"/>
    <xf numFmtId="0" fontId="4" fillId="0" borderId="0"/>
    <xf numFmtId="166" fontId="8" fillId="0" borderId="0"/>
    <xf numFmtId="164" fontId="8" fillId="0" borderId="0"/>
    <xf numFmtId="7" fontId="8" fillId="0" borderId="0"/>
    <xf numFmtId="166" fontId="8" fillId="0" borderId="0"/>
    <xf numFmtId="164" fontId="8" fillId="0" borderId="0"/>
    <xf numFmtId="164" fontId="8" fillId="0" borderId="0"/>
    <xf numFmtId="166" fontId="8" fillId="0" borderId="0"/>
    <xf numFmtId="0" fontId="71" fillId="0" borderId="0"/>
    <xf numFmtId="5" fontId="8" fillId="0" borderId="0"/>
    <xf numFmtId="168"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 fillId="0" borderId="0"/>
    <xf numFmtId="0" fontId="3" fillId="0" borderId="0"/>
    <xf numFmtId="0" fontId="3" fillId="0" borderId="0"/>
    <xf numFmtId="0" fontId="3" fillId="0" borderId="0"/>
    <xf numFmtId="0" fontId="8" fillId="0" borderId="0"/>
    <xf numFmtId="166" fontId="70" fillId="0" borderId="0"/>
    <xf numFmtId="171" fontId="8" fillId="0" borderId="0"/>
    <xf numFmtId="168" fontId="8" fillId="0" borderId="0"/>
    <xf numFmtId="168" fontId="8" fillId="0" borderId="0"/>
    <xf numFmtId="0" fontId="4" fillId="0" borderId="0"/>
    <xf numFmtId="0" fontId="25" fillId="0" borderId="0"/>
    <xf numFmtId="0" fontId="4" fillId="0" borderId="0"/>
    <xf numFmtId="0" fontId="4" fillId="0" borderId="0"/>
    <xf numFmtId="0" fontId="4" fillId="0" borderId="0"/>
    <xf numFmtId="0" fontId="4" fillId="0" borderId="0"/>
    <xf numFmtId="0" fontId="4" fillId="0" borderId="0"/>
    <xf numFmtId="168" fontId="8" fillId="0" borderId="0"/>
    <xf numFmtId="168" fontId="8" fillId="0" borderId="0"/>
    <xf numFmtId="168" fontId="8" fillId="0" borderId="0"/>
    <xf numFmtId="168" fontId="8"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172" fontId="8" fillId="0" borderId="0"/>
    <xf numFmtId="168" fontId="8" fillId="0" borderId="0"/>
    <xf numFmtId="168" fontId="8" fillId="0" borderId="0"/>
    <xf numFmtId="168" fontId="8" fillId="0" borderId="0"/>
    <xf numFmtId="168"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xf numFmtId="0" fontId="3" fillId="0" borderId="0"/>
    <xf numFmtId="0" fontId="3" fillId="0" borderId="0"/>
    <xf numFmtId="0" fontId="3" fillId="0" borderId="0"/>
    <xf numFmtId="0" fontId="3" fillId="0" borderId="0"/>
    <xf numFmtId="168" fontId="8" fillId="0" borderId="0"/>
    <xf numFmtId="0" fontId="3" fillId="0" borderId="0"/>
    <xf numFmtId="0" fontId="4" fillId="0" borderId="0"/>
    <xf numFmtId="0" fontId="4" fillId="0" borderId="0"/>
    <xf numFmtId="0" fontId="4" fillId="0" borderId="0"/>
    <xf numFmtId="0" fontId="25" fillId="0" borderId="0"/>
    <xf numFmtId="166" fontId="70" fillId="0" borderId="0"/>
    <xf numFmtId="181" fontId="8" fillId="0" borderId="0"/>
    <xf numFmtId="176" fontId="8" fillId="0" borderId="0"/>
    <xf numFmtId="182" fontId="8" fillId="0" borderId="0"/>
    <xf numFmtId="173" fontId="8" fillId="0" borderId="0"/>
    <xf numFmtId="168" fontId="8" fillId="0" borderId="0"/>
    <xf numFmtId="168" fontId="8" fillId="0" borderId="0"/>
    <xf numFmtId="0" fontId="4" fillId="0" borderId="0"/>
    <xf numFmtId="166" fontId="12" fillId="0" borderId="0"/>
    <xf numFmtId="0" fontId="4" fillId="0" borderId="0"/>
    <xf numFmtId="0" fontId="4" fillId="0" borderId="0"/>
    <xf numFmtId="0" fontId="8" fillId="0" borderId="0"/>
    <xf numFmtId="0" fontId="71" fillId="0" borderId="0"/>
    <xf numFmtId="0" fontId="3" fillId="0" borderId="0"/>
    <xf numFmtId="0" fontId="3" fillId="0" borderId="0"/>
    <xf numFmtId="0" fontId="4" fillId="0" borderId="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8" fillId="3" borderId="25" applyNumberFormat="0" applyFon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0" fontId="72" fillId="2" borderId="2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8" fillId="0" borderId="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166" fontId="8" fillId="0" borderId="0"/>
    <xf numFmtId="181" fontId="8" fillId="0" borderId="0"/>
    <xf numFmtId="44" fontId="4" fillId="0" borderId="0" applyFont="0" applyFill="0" applyBorder="0" applyAlignment="0" applyProtection="0"/>
    <xf numFmtId="0" fontId="2" fillId="0" borderId="0"/>
    <xf numFmtId="0" fontId="2" fillId="0" borderId="0"/>
    <xf numFmtId="0" fontId="4" fillId="0" borderId="0"/>
    <xf numFmtId="166" fontId="8" fillId="0" borderId="0"/>
  </cellStyleXfs>
  <cellXfs count="1252">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68" fontId="7" fillId="0" borderId="0" xfId="0" applyFont="1" applyAlignment="1">
      <alignment horizontal="left"/>
    </xf>
    <xf numFmtId="168" fontId="7" fillId="0" borderId="0" xfId="0" applyFont="1"/>
    <xf numFmtId="168" fontId="7" fillId="0" borderId="0" xfId="0" applyFont="1" applyAlignment="1">
      <alignment horizontal="center"/>
    </xf>
    <xf numFmtId="168" fontId="8" fillId="0" borderId="0" xfId="0" applyFont="1"/>
    <xf numFmtId="168" fontId="0" fillId="0" borderId="0" xfId="0" quotePrefix="1"/>
    <xf numFmtId="168" fontId="8" fillId="0" borderId="0" xfId="0" quotePrefix="1" applyFont="1"/>
    <xf numFmtId="168" fontId="8" fillId="0" borderId="0" xfId="0" applyFont="1" applyAlignment="1">
      <alignment horizontal="left"/>
    </xf>
    <xf numFmtId="170" fontId="8" fillId="0" borderId="0" xfId="0" applyNumberFormat="1" applyFont="1"/>
    <xf numFmtId="173" fontId="8" fillId="0" borderId="0" xfId="0" applyNumberFormat="1" applyFont="1"/>
    <xf numFmtId="172" fontId="8" fillId="0" borderId="0" xfId="0" applyNumberFormat="1" applyFont="1"/>
    <xf numFmtId="2" fontId="0" fillId="0" borderId="0" xfId="0" applyNumberFormat="1"/>
    <xf numFmtId="2" fontId="7" fillId="0" borderId="0" xfId="0" applyNumberFormat="1" applyFont="1"/>
    <xf numFmtId="168" fontId="6" fillId="0" borderId="0" xfId="0" applyFont="1" applyAlignment="1">
      <alignment horizontal="left"/>
    </xf>
    <xf numFmtId="168" fontId="6" fillId="0" borderId="0" xfId="0" applyFont="1"/>
    <xf numFmtId="168" fontId="12" fillId="0" borderId="0" xfId="0" applyFont="1"/>
    <xf numFmtId="168" fontId="12" fillId="0" borderId="0" xfId="0" applyFont="1" applyAlignment="1">
      <alignment horizontal="center"/>
    </xf>
    <xf numFmtId="168" fontId="12" fillId="0" borderId="0" xfId="0" applyFont="1" applyAlignment="1">
      <alignment horizontal="right"/>
    </xf>
    <xf numFmtId="168" fontId="6" fillId="0" borderId="0" xfId="0" applyFont="1" applyAlignment="1">
      <alignment horizontal="right"/>
    </xf>
    <xf numFmtId="168" fontId="12" fillId="0" borderId="0" xfId="0" applyFont="1" applyAlignment="1">
      <alignment horizontal="left"/>
    </xf>
    <xf numFmtId="168" fontId="12" fillId="0" borderId="0" xfId="0" applyFont="1" applyAlignment="1">
      <alignment horizontal="fill"/>
    </xf>
    <xf numFmtId="168" fontId="6" fillId="0" borderId="0" xfId="0" applyFont="1" applyAlignment="1">
      <alignment horizontal="center"/>
    </xf>
    <xf numFmtId="168" fontId="12" fillId="0" borderId="0" xfId="0" applyFont="1" applyAlignment="1">
      <alignment horizontal="left" wrapText="1"/>
    </xf>
    <xf numFmtId="172" fontId="12" fillId="0" borderId="0" xfId="0" applyNumberFormat="1" applyFont="1"/>
    <xf numFmtId="173" fontId="12" fillId="0" borderId="0" xfId="0" applyNumberFormat="1" applyFont="1"/>
    <xf numFmtId="172" fontId="12" fillId="0" borderId="0" xfId="0" applyNumberFormat="1" applyFont="1" applyAlignment="1">
      <alignment horizontal="left"/>
    </xf>
    <xf numFmtId="173" fontId="7" fillId="0" borderId="0" xfId="0" applyNumberFormat="1" applyFont="1" applyAlignment="1">
      <alignment horizontal="right"/>
    </xf>
    <xf numFmtId="168" fontId="14" fillId="0" borderId="0" xfId="0" applyFont="1"/>
    <xf numFmtId="168" fontId="13" fillId="0" borderId="0" xfId="0" applyFont="1"/>
    <xf numFmtId="168" fontId="5" fillId="0" borderId="0" xfId="0" applyFont="1" applyAlignment="1">
      <alignment horizontal="left"/>
    </xf>
    <xf numFmtId="170" fontId="6" fillId="0" borderId="0" xfId="0" applyNumberFormat="1" applyFont="1" applyAlignment="1">
      <alignment horizontal="right"/>
    </xf>
    <xf numFmtId="173" fontId="6" fillId="0" borderId="0" xfId="0" applyNumberFormat="1" applyFont="1" applyAlignment="1">
      <alignment horizontal="right"/>
    </xf>
    <xf numFmtId="172" fontId="12" fillId="0" borderId="0" xfId="0" applyNumberFormat="1" applyFont="1" applyAlignment="1">
      <alignment horizontal="right"/>
    </xf>
    <xf numFmtId="170" fontId="12" fillId="0" borderId="0" xfId="0" applyNumberFormat="1" applyFont="1" applyAlignment="1">
      <alignment horizontal="right"/>
    </xf>
    <xf numFmtId="170" fontId="7" fillId="0" borderId="0" xfId="0" applyNumberFormat="1" applyFont="1"/>
    <xf numFmtId="168" fontId="0" fillId="6" borderId="0" xfId="0" applyFill="1"/>
    <xf numFmtId="168" fontId="13" fillId="0" borderId="0" xfId="0" applyFont="1" applyAlignment="1">
      <alignment horizontal="left"/>
    </xf>
    <xf numFmtId="168" fontId="10" fillId="0" borderId="0" xfId="0" applyFont="1"/>
    <xf numFmtId="168" fontId="36" fillId="0" borderId="0" xfId="0" applyFont="1"/>
    <xf numFmtId="168" fontId="11" fillId="0" borderId="0" xfId="0" applyFont="1" applyAlignment="1">
      <alignment horizontal="center"/>
    </xf>
    <xf numFmtId="168" fontId="10" fillId="0" borderId="0" xfId="0" applyFont="1" applyAlignment="1">
      <alignment horizontal="center"/>
    </xf>
    <xf numFmtId="170" fontId="10" fillId="0" borderId="0" xfId="0" applyNumberFormat="1" applyFont="1"/>
    <xf numFmtId="173" fontId="10" fillId="0" borderId="0" xfId="0" applyNumberFormat="1" applyFont="1"/>
    <xf numFmtId="168" fontId="10" fillId="0" borderId="0" xfId="0" applyFont="1" applyAlignment="1">
      <alignment horizontal="left"/>
    </xf>
    <xf numFmtId="168" fontId="11" fillId="0" borderId="0" xfId="0" applyFont="1" applyAlignment="1">
      <alignment horizontal="right"/>
    </xf>
    <xf numFmtId="168" fontId="11" fillId="0" borderId="0" xfId="0" applyFont="1"/>
    <xf numFmtId="168" fontId="11" fillId="0" borderId="0" xfId="0" applyFont="1" applyAlignment="1">
      <alignment horizontal="left"/>
    </xf>
    <xf numFmtId="168" fontId="10" fillId="0" borderId="0" xfId="0" applyFont="1" applyAlignment="1">
      <alignment horizontal="right"/>
    </xf>
    <xf numFmtId="168" fontId="10" fillId="0" borderId="0" xfId="0" applyFont="1" applyAlignment="1">
      <alignment horizontal="fill"/>
    </xf>
    <xf numFmtId="168" fontId="14" fillId="0" borderId="0" xfId="0" applyFont="1" applyAlignment="1">
      <alignment horizontal="center"/>
    </xf>
    <xf numFmtId="0" fontId="0" fillId="0" borderId="0" xfId="0" applyNumberFormat="1"/>
    <xf numFmtId="173" fontId="10" fillId="0" borderId="0" xfId="0" applyNumberFormat="1" applyFont="1" applyAlignment="1">
      <alignment horizontal="right"/>
    </xf>
    <xf numFmtId="0" fontId="34" fillId="0" borderId="0" xfId="0" applyNumberFormat="1" applyFont="1"/>
    <xf numFmtId="2" fontId="34" fillId="0" borderId="0" xfId="0" applyNumberFormat="1" applyFont="1"/>
    <xf numFmtId="168" fontId="34" fillId="0" borderId="0" xfId="0" applyFont="1"/>
    <xf numFmtId="168" fontId="10" fillId="0" borderId="0" xfId="0" applyFont="1" applyAlignment="1">
      <alignment horizontal="left" wrapText="1"/>
    </xf>
    <xf numFmtId="170" fontId="16" fillId="0" borderId="0" xfId="0" applyNumberFormat="1" applyFont="1"/>
    <xf numFmtId="168" fontId="16" fillId="0" borderId="0" xfId="0" applyFont="1"/>
    <xf numFmtId="168" fontId="15" fillId="0" borderId="0" xfId="0" applyFont="1"/>
    <xf numFmtId="168" fontId="16" fillId="0" borderId="0" xfId="0" applyFont="1" applyAlignment="1">
      <alignment horizontal="left"/>
    </xf>
    <xf numFmtId="0" fontId="16" fillId="0" borderId="0" xfId="0" applyNumberFormat="1" applyFont="1"/>
    <xf numFmtId="168" fontId="16" fillId="0" borderId="0" xfId="0" applyFont="1" applyAlignment="1">
      <alignment horizontal="center"/>
    </xf>
    <xf numFmtId="168" fontId="15" fillId="0" borderId="0" xfId="0" applyFont="1" applyAlignment="1">
      <alignment horizontal="right"/>
    </xf>
    <xf numFmtId="168" fontId="0" fillId="6" borderId="0" xfId="0" applyFill="1" applyAlignment="1">
      <alignment horizontal="left"/>
    </xf>
    <xf numFmtId="173" fontId="34" fillId="0" borderId="0" xfId="0" applyNumberFormat="1" applyFont="1" applyAlignment="1">
      <alignment vertical="top"/>
    </xf>
    <xf numFmtId="173" fontId="35" fillId="0" borderId="0" xfId="0" applyNumberFormat="1" applyFont="1" applyAlignment="1">
      <alignment horizontal="right"/>
    </xf>
    <xf numFmtId="173" fontId="12" fillId="0" borderId="0" xfId="0" applyNumberFormat="1" applyFont="1" applyAlignment="1">
      <alignment horizontal="center"/>
    </xf>
    <xf numFmtId="168" fontId="6" fillId="0" borderId="0" xfId="0" applyFont="1" applyAlignment="1">
      <alignment vertical="top"/>
    </xf>
    <xf numFmtId="0" fontId="0" fillId="0" borderId="0" xfId="0" applyNumberFormat="1" applyAlignment="1">
      <alignment horizontal="center" vertical="center"/>
    </xf>
    <xf numFmtId="168" fontId="34" fillId="0" borderId="0" xfId="0" applyFont="1" applyAlignment="1">
      <alignment horizontal="right"/>
    </xf>
    <xf numFmtId="0" fontId="0" fillId="6" borderId="0" xfId="0" applyNumberFormat="1" applyFill="1"/>
    <xf numFmtId="176" fontId="0" fillId="0" borderId="0" xfId="0" applyNumberFormat="1"/>
    <xf numFmtId="176" fontId="34" fillId="0" borderId="0" xfId="0" applyNumberFormat="1" applyFont="1"/>
    <xf numFmtId="168" fontId="12" fillId="0" borderId="0" xfId="0" applyFont="1" applyAlignment="1">
      <alignment vertical="top"/>
    </xf>
    <xf numFmtId="168" fontId="12" fillId="6" borderId="0" xfId="0" applyFont="1" applyFill="1"/>
    <xf numFmtId="168" fontId="12" fillId="6" borderId="0" xfId="0" applyFont="1" applyFill="1" applyAlignment="1">
      <alignment horizontal="center"/>
    </xf>
    <xf numFmtId="168" fontId="18" fillId="0" borderId="0" xfId="0" applyFont="1" applyAlignment="1">
      <alignment horizontal="left"/>
    </xf>
    <xf numFmtId="168" fontId="12" fillId="0" borderId="0" xfId="0" applyFont="1" applyAlignment="1">
      <alignment wrapText="1"/>
    </xf>
    <xf numFmtId="168" fontId="18" fillId="0" borderId="0" xfId="0" applyFont="1" applyAlignment="1">
      <alignment horizontal="left" wrapText="1"/>
    </xf>
    <xf numFmtId="173" fontId="6" fillId="0" borderId="0" xfId="0" applyNumberFormat="1" applyFont="1"/>
    <xf numFmtId="168" fontId="26" fillId="0" borderId="0" xfId="0" applyFont="1" applyAlignment="1">
      <alignment horizontal="center"/>
    </xf>
    <xf numFmtId="168" fontId="26" fillId="0" borderId="0" xfId="0" applyFont="1"/>
    <xf numFmtId="2" fontId="25" fillId="0" borderId="0" xfId="0" applyNumberFormat="1" applyFont="1" applyAlignment="1">
      <alignment horizontal="right" vertical="top" wrapText="1"/>
    </xf>
    <xf numFmtId="49" fontId="25" fillId="0" borderId="0" xfId="0" applyNumberFormat="1" applyFont="1" applyAlignment="1">
      <alignment horizontal="left" vertical="top" wrapText="1"/>
    </xf>
    <xf numFmtId="0" fontId="24"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25" fillId="0" borderId="0" xfId="0" applyNumberFormat="1" applyFont="1" applyAlignment="1">
      <alignment horizontal="left" vertical="top" wrapText="1"/>
    </xf>
    <xf numFmtId="49" fontId="25" fillId="0" borderId="0" xfId="0" applyNumberFormat="1" applyFont="1" applyAlignment="1">
      <alignment horizontal="center" vertical="top" wrapText="1"/>
    </xf>
    <xf numFmtId="2" fontId="24" fillId="0" borderId="0" xfId="0" applyNumberFormat="1" applyFont="1" applyAlignment="1">
      <alignment horizontal="right" vertical="top" wrapText="1"/>
    </xf>
    <xf numFmtId="176" fontId="25" fillId="0" borderId="0" xfId="0" applyNumberFormat="1" applyFont="1" applyAlignment="1">
      <alignment horizontal="right" vertical="top" wrapText="1"/>
    </xf>
    <xf numFmtId="2" fontId="25" fillId="0" borderId="0" xfId="13" applyNumberFormat="1" applyFont="1" applyAlignment="1">
      <alignment horizontal="right" vertical="top" wrapText="1"/>
    </xf>
    <xf numFmtId="49" fontId="25" fillId="0" borderId="0" xfId="13" applyNumberFormat="1" applyFont="1" applyAlignment="1">
      <alignment horizontal="left" vertical="top" wrapText="1"/>
    </xf>
    <xf numFmtId="0" fontId="24" fillId="0" borderId="0" xfId="13" applyFont="1" applyAlignment="1">
      <alignment horizontal="center" vertical="top" wrapText="1"/>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2" fontId="24" fillId="0" borderId="0" xfId="13" applyNumberFormat="1" applyFont="1" applyAlignment="1">
      <alignment horizontal="right" vertical="top" wrapText="1"/>
    </xf>
    <xf numFmtId="0" fontId="25" fillId="0" borderId="0" xfId="13" applyFont="1" applyAlignment="1">
      <alignment horizontal="left" vertical="top" wrapText="1"/>
    </xf>
    <xf numFmtId="0" fontId="24" fillId="0" borderId="0" xfId="13" applyFont="1" applyAlignment="1">
      <alignment horizontal="left" vertical="top" wrapText="1"/>
    </xf>
    <xf numFmtId="175" fontId="25" fillId="0" borderId="0" xfId="13" applyNumberFormat="1" applyFont="1" applyAlignment="1">
      <alignment horizontal="right" vertical="top" wrapText="1"/>
    </xf>
    <xf numFmtId="0" fontId="25" fillId="0" borderId="0" xfId="0" applyNumberFormat="1" applyFont="1" applyAlignment="1">
      <alignment vertical="top" wrapText="1"/>
    </xf>
    <xf numFmtId="2" fontId="25" fillId="0" borderId="0" xfId="0" applyNumberFormat="1" applyFont="1" applyAlignment="1">
      <alignment vertical="top" wrapText="1"/>
    </xf>
    <xf numFmtId="2" fontId="24" fillId="0" borderId="0" xfId="0" applyNumberFormat="1" applyFont="1" applyAlignment="1">
      <alignment vertical="top" wrapText="1"/>
    </xf>
    <xf numFmtId="168" fontId="25" fillId="0" borderId="0" xfId="0" applyFont="1" applyAlignment="1">
      <alignment vertical="top"/>
    </xf>
    <xf numFmtId="168" fontId="25" fillId="0" borderId="0" xfId="0" applyFont="1" applyAlignment="1">
      <alignment horizontal="center" vertical="top"/>
    </xf>
    <xf numFmtId="0" fontId="25" fillId="0" borderId="0" xfId="0" applyNumberFormat="1" applyFont="1" applyAlignment="1">
      <alignment horizontal="left" wrapText="1"/>
    </xf>
    <xf numFmtId="2" fontId="25" fillId="0" borderId="0" xfId="0" applyNumberFormat="1" applyFont="1" applyAlignment="1">
      <alignment horizontal="right" wrapText="1"/>
    </xf>
    <xf numFmtId="168" fontId="38" fillId="0" borderId="0" xfId="0" applyFont="1"/>
    <xf numFmtId="168" fontId="38" fillId="0" borderId="0" xfId="0" applyFont="1" applyAlignment="1">
      <alignment horizontal="center"/>
    </xf>
    <xf numFmtId="168" fontId="40" fillId="0" borderId="0" xfId="0" applyFont="1" applyAlignment="1">
      <alignment horizontal="center"/>
    </xf>
    <xf numFmtId="168" fontId="38" fillId="0" borderId="0" xfId="0" applyFont="1" applyAlignment="1">
      <alignment horizontal="left" vertical="top" wrapText="1"/>
    </xf>
    <xf numFmtId="168" fontId="38" fillId="0" borderId="0" xfId="0" applyFont="1" applyAlignment="1">
      <alignment horizontal="left" vertical="top"/>
    </xf>
    <xf numFmtId="168" fontId="38" fillId="0" borderId="0" xfId="0" applyFont="1" applyAlignment="1">
      <alignment vertical="top" wrapText="1"/>
    </xf>
    <xf numFmtId="168" fontId="41" fillId="0" borderId="0" xfId="0" applyFont="1" applyAlignment="1">
      <alignment horizontal="left" vertical="top"/>
    </xf>
    <xf numFmtId="170" fontId="38" fillId="0" borderId="0" xfId="0" applyNumberFormat="1" applyFont="1" applyAlignment="1">
      <alignment horizontal="left" vertical="top"/>
    </xf>
    <xf numFmtId="12" fontId="38" fillId="0" borderId="0" xfId="0" applyNumberFormat="1" applyFont="1" applyAlignment="1">
      <alignment horizontal="left" vertical="top"/>
    </xf>
    <xf numFmtId="168" fontId="38" fillId="0" borderId="0" xfId="0" applyFont="1" applyAlignment="1">
      <alignment wrapText="1"/>
    </xf>
    <xf numFmtId="168" fontId="38" fillId="0" borderId="0" xfId="0" applyFont="1" applyAlignment="1">
      <alignment horizontal="right" vertical="top"/>
    </xf>
    <xf numFmtId="168" fontId="42" fillId="0" borderId="0" xfId="0" applyFont="1" applyAlignment="1">
      <alignment horizontal="left" vertical="top"/>
    </xf>
    <xf numFmtId="168" fontId="40" fillId="0" borderId="0" xfId="0" applyFont="1" applyAlignment="1">
      <alignment horizontal="right" vertical="top"/>
    </xf>
    <xf numFmtId="168" fontId="40" fillId="0" borderId="0" xfId="0" applyFont="1" applyAlignment="1">
      <alignment horizontal="left" vertical="top"/>
    </xf>
    <xf numFmtId="168" fontId="40" fillId="0" borderId="0" xfId="0" applyFont="1"/>
    <xf numFmtId="168" fontId="40" fillId="0" borderId="0" xfId="0" applyFont="1" applyAlignment="1">
      <alignment horizontal="left" wrapText="1"/>
    </xf>
    <xf numFmtId="168" fontId="40" fillId="0" borderId="0" xfId="0" applyFont="1" applyAlignment="1">
      <alignment horizontal="left"/>
    </xf>
    <xf numFmtId="168" fontId="38" fillId="0" borderId="0" xfId="0" applyFont="1" applyAlignment="1">
      <alignment horizontal="left"/>
    </xf>
    <xf numFmtId="168" fontId="43" fillId="0" borderId="0" xfId="0" applyFont="1" applyAlignment="1">
      <alignment horizontal="center" vertical="center" wrapText="1"/>
    </xf>
    <xf numFmtId="168" fontId="38" fillId="0" borderId="0" xfId="0" applyFont="1" applyAlignment="1">
      <alignment horizontal="left" vertical="center"/>
    </xf>
    <xf numFmtId="173" fontId="38" fillId="0" borderId="0" xfId="0" applyNumberFormat="1" applyFont="1"/>
    <xf numFmtId="170" fontId="38" fillId="0" borderId="0" xfId="0" applyNumberFormat="1" applyFont="1"/>
    <xf numFmtId="168" fontId="38" fillId="0" borderId="0" xfId="0" applyFont="1" applyAlignment="1">
      <alignment horizontal="fill"/>
    </xf>
    <xf numFmtId="168" fontId="40" fillId="0" borderId="0" xfId="0" applyFont="1" applyAlignment="1">
      <alignment horizontal="right"/>
    </xf>
    <xf numFmtId="169" fontId="38" fillId="0" borderId="0" xfId="0" applyNumberFormat="1" applyFont="1" applyAlignment="1">
      <alignment horizontal="center"/>
    </xf>
    <xf numFmtId="171" fontId="38" fillId="0" borderId="0" xfId="0" applyNumberFormat="1" applyFont="1" applyAlignment="1">
      <alignment horizontal="center"/>
    </xf>
    <xf numFmtId="168" fontId="38" fillId="0" borderId="0" xfId="0" quotePrefix="1" applyFont="1"/>
    <xf numFmtId="171" fontId="38" fillId="0" borderId="0" xfId="0" applyNumberFormat="1" applyFont="1" applyAlignment="1">
      <alignment horizontal="left"/>
    </xf>
    <xf numFmtId="168" fontId="38" fillId="0" borderId="0" xfId="0" applyFont="1" applyAlignment="1">
      <alignment horizontal="left" wrapText="1"/>
    </xf>
    <xf numFmtId="168" fontId="38" fillId="0" borderId="0" xfId="0" applyFont="1" applyAlignment="1">
      <alignment horizontal="right"/>
    </xf>
    <xf numFmtId="168" fontId="40" fillId="0" borderId="0" xfId="0" applyFont="1" applyAlignment="1">
      <alignment wrapText="1"/>
    </xf>
    <xf numFmtId="168" fontId="38" fillId="0" borderId="5" xfId="0" applyFont="1" applyBorder="1"/>
    <xf numFmtId="168" fontId="38" fillId="0" borderId="5" xfId="0" applyFont="1" applyBorder="1" applyAlignment="1">
      <alignment horizontal="left"/>
    </xf>
    <xf numFmtId="168" fontId="38" fillId="0" borderId="7" xfId="0" applyFont="1" applyBorder="1"/>
    <xf numFmtId="168" fontId="38" fillId="0" borderId="0" xfId="0" applyFont="1" applyAlignment="1">
      <alignment vertical="center"/>
    </xf>
    <xf numFmtId="168" fontId="44" fillId="0" borderId="0" xfId="0" applyFont="1"/>
    <xf numFmtId="168" fontId="40" fillId="0" borderId="11" xfId="0" applyFont="1" applyBorder="1"/>
    <xf numFmtId="168" fontId="38" fillId="0" borderId="12" xfId="0" applyFont="1" applyBorder="1" applyAlignment="1">
      <alignment horizontal="fill"/>
    </xf>
    <xf numFmtId="170" fontId="38" fillId="0" borderId="0" xfId="0" applyNumberFormat="1" applyFont="1" applyAlignment="1">
      <alignment wrapText="1"/>
    </xf>
    <xf numFmtId="168" fontId="38" fillId="0" borderId="0" xfId="0" applyFont="1" applyAlignment="1">
      <alignment horizontal="fill" wrapText="1"/>
    </xf>
    <xf numFmtId="168" fontId="46" fillId="0" borderId="0" xfId="0" applyFont="1"/>
    <xf numFmtId="168" fontId="47" fillId="0" borderId="0" xfId="0" applyFont="1"/>
    <xf numFmtId="168" fontId="40" fillId="0" borderId="0" xfId="0" applyFont="1" applyAlignment="1">
      <alignment horizontal="center" wrapText="1"/>
    </xf>
    <xf numFmtId="168" fontId="45" fillId="0" borderId="0" xfId="0" applyFont="1" applyAlignment="1">
      <alignment horizontal="center" vertical="center" wrapText="1"/>
    </xf>
    <xf numFmtId="168" fontId="43" fillId="0" borderId="0" xfId="0" applyFont="1" applyAlignment="1">
      <alignment horizontal="left" vertical="center" wrapText="1"/>
    </xf>
    <xf numFmtId="169" fontId="43" fillId="0" borderId="1" xfId="0" applyNumberFormat="1" applyFont="1" applyBorder="1" applyAlignment="1">
      <alignment horizontal="center" vertical="center" wrapText="1"/>
    </xf>
    <xf numFmtId="168" fontId="43" fillId="0" borderId="1" xfId="0" applyFont="1" applyBorder="1" applyAlignment="1">
      <alignment horizontal="center" vertical="center" wrapText="1"/>
    </xf>
    <xf numFmtId="169" fontId="45" fillId="0" borderId="1" xfId="0" applyNumberFormat="1" applyFont="1" applyBorder="1" applyAlignment="1">
      <alignment horizontal="center" vertical="center" wrapText="1"/>
    </xf>
    <xf numFmtId="168" fontId="45" fillId="0" borderId="1" xfId="0" applyFont="1" applyBorder="1" applyAlignment="1">
      <alignment horizontal="left" vertical="center" wrapText="1"/>
    </xf>
    <xf numFmtId="168" fontId="45" fillId="0" borderId="1" xfId="0" applyFont="1" applyBorder="1" applyAlignment="1">
      <alignment horizontal="center" vertical="center" wrapText="1"/>
    </xf>
    <xf numFmtId="168" fontId="43" fillId="0" borderId="1" xfId="0" applyFont="1" applyBorder="1" applyAlignment="1">
      <alignment horizontal="left" vertical="center" wrapText="1"/>
    </xf>
    <xf numFmtId="170" fontId="43" fillId="0" borderId="1" xfId="0" applyNumberFormat="1" applyFont="1" applyBorder="1" applyAlignment="1">
      <alignment horizontal="center" vertical="center" wrapText="1"/>
    </xf>
    <xf numFmtId="170" fontId="45" fillId="0" borderId="1" xfId="0" applyNumberFormat="1" applyFont="1" applyBorder="1" applyAlignment="1">
      <alignment horizontal="center" vertical="center" wrapText="1"/>
    </xf>
    <xf numFmtId="169" fontId="45" fillId="0" borderId="0" xfId="0" applyNumberFormat="1" applyFont="1" applyAlignment="1">
      <alignment horizontal="center" vertical="center" wrapText="1"/>
    </xf>
    <xf numFmtId="168" fontId="45" fillId="0" borderId="0" xfId="0" applyFont="1" applyAlignment="1">
      <alignment horizontal="left" vertical="center" wrapText="1"/>
    </xf>
    <xf numFmtId="168" fontId="43" fillId="0" borderId="0" xfId="0" applyFont="1" applyAlignment="1">
      <alignment horizontal="right" vertical="center" wrapText="1"/>
    </xf>
    <xf numFmtId="171" fontId="45" fillId="0" borderId="1" xfId="0" applyNumberFormat="1" applyFont="1" applyBorder="1" applyAlignment="1">
      <alignment horizontal="center" vertical="center" wrapText="1"/>
    </xf>
    <xf numFmtId="169" fontId="45" fillId="0" borderId="1" xfId="0" applyNumberFormat="1" applyFont="1" applyBorder="1" applyAlignment="1">
      <alignment vertical="center" wrapText="1"/>
    </xf>
    <xf numFmtId="168" fontId="45" fillId="0" borderId="1" xfId="0" applyFont="1" applyBorder="1" applyAlignment="1">
      <alignment vertical="center" wrapText="1"/>
    </xf>
    <xf numFmtId="170" fontId="38" fillId="0" borderId="0" xfId="0" applyNumberFormat="1" applyFont="1" applyAlignment="1">
      <alignment horizontal="center" wrapText="1"/>
    </xf>
    <xf numFmtId="169" fontId="38" fillId="0" borderId="4" xfId="0" applyNumberFormat="1" applyFont="1" applyBorder="1" applyAlignment="1">
      <alignment horizontal="center"/>
    </xf>
    <xf numFmtId="168" fontId="50" fillId="0" borderId="0" xfId="0" applyFont="1" applyFill="1" applyBorder="1" applyAlignment="1">
      <alignment horizontal="center" vertical="center"/>
    </xf>
    <xf numFmtId="168" fontId="51" fillId="0" borderId="0" xfId="0" applyFont="1" applyFill="1" applyBorder="1" applyAlignment="1">
      <alignment horizontal="right" vertical="center"/>
    </xf>
    <xf numFmtId="168" fontId="51" fillId="0" borderId="0" xfId="0" applyFont="1" applyFill="1" applyBorder="1" applyAlignment="1">
      <alignment horizontal="left" vertical="center"/>
    </xf>
    <xf numFmtId="168" fontId="51" fillId="0" borderId="0" xfId="0" applyFont="1" applyFill="1" applyBorder="1" applyAlignment="1">
      <alignment horizontal="center" vertical="center"/>
    </xf>
    <xf numFmtId="0" fontId="51" fillId="0" borderId="0" xfId="0" applyNumberFormat="1" applyFont="1" applyFill="1" applyBorder="1" applyAlignment="1">
      <alignment horizontal="center" vertical="center" wrapText="1"/>
    </xf>
    <xf numFmtId="0" fontId="50" fillId="0" borderId="0" xfId="0" applyNumberFormat="1" applyFont="1" applyFill="1" applyBorder="1" applyAlignment="1">
      <alignment horizontal="right" vertical="center" wrapText="1"/>
    </xf>
    <xf numFmtId="168" fontId="50" fillId="0" borderId="0" xfId="0" applyFont="1" applyFill="1" applyBorder="1" applyAlignment="1">
      <alignment horizontal="right" vertical="center" wrapText="1"/>
    </xf>
    <xf numFmtId="168" fontId="50" fillId="0" borderId="0" xfId="0" applyFont="1" applyFill="1" applyBorder="1" applyAlignment="1">
      <alignment horizontal="left" vertical="center" wrapText="1"/>
    </xf>
    <xf numFmtId="168" fontId="54" fillId="0" borderId="1" xfId="0" applyFont="1" applyFill="1" applyBorder="1" applyAlignment="1">
      <alignment horizontal="right" vertical="center" wrapText="1"/>
    </xf>
    <xf numFmtId="168" fontId="54" fillId="0" borderId="1" xfId="0" applyFont="1" applyFill="1" applyBorder="1" applyAlignment="1">
      <alignment horizontal="center" vertical="center" wrapText="1"/>
    </xf>
    <xf numFmtId="168" fontId="54" fillId="0" borderId="1" xfId="0" applyNumberFormat="1" applyFont="1" applyFill="1" applyBorder="1" applyAlignment="1">
      <alignment horizontal="center" vertical="center" wrapText="1"/>
    </xf>
    <xf numFmtId="2" fontId="54" fillId="0" borderId="1" xfId="0" applyNumberFormat="1" applyFont="1" applyFill="1" applyBorder="1" applyAlignment="1">
      <alignment horizontal="center" vertical="center" wrapText="1"/>
    </xf>
    <xf numFmtId="168" fontId="50" fillId="0" borderId="0" xfId="0" applyFont="1" applyFill="1" applyBorder="1" applyAlignment="1">
      <alignment horizontal="center" vertical="center" wrapText="1"/>
    </xf>
    <xf numFmtId="0" fontId="50" fillId="0" borderId="1" xfId="0" applyNumberFormat="1" applyFont="1" applyFill="1" applyBorder="1" applyAlignment="1">
      <alignment horizontal="right" vertical="center" wrapText="1"/>
    </xf>
    <xf numFmtId="2" fontId="50" fillId="0" borderId="1" xfId="0" applyNumberFormat="1" applyFont="1" applyFill="1" applyBorder="1" applyAlignment="1">
      <alignment horizontal="center" vertical="center" wrapText="1"/>
    </xf>
    <xf numFmtId="0" fontId="54" fillId="0" borderId="1" xfId="0" applyNumberFormat="1" applyFont="1" applyFill="1" applyBorder="1" applyAlignment="1">
      <alignment horizontal="left" vertical="center" wrapText="1"/>
    </xf>
    <xf numFmtId="0" fontId="50" fillId="0" borderId="1" xfId="0" applyNumberFormat="1" applyFont="1" applyFill="1" applyBorder="1" applyAlignment="1">
      <alignment horizontal="center" vertical="center" wrapText="1"/>
    </xf>
    <xf numFmtId="168" fontId="50" fillId="0" borderId="1" xfId="0" applyNumberFormat="1" applyFont="1" applyFill="1" applyBorder="1" applyAlignment="1">
      <alignment horizontal="center" vertical="center" wrapText="1"/>
    </xf>
    <xf numFmtId="0" fontId="50" fillId="0" borderId="1" xfId="0" applyNumberFormat="1" applyFont="1" applyFill="1" applyBorder="1" applyAlignment="1">
      <alignment horizontal="left" vertical="center" wrapText="1"/>
    </xf>
    <xf numFmtId="168" fontId="50" fillId="0" borderId="1" xfId="0" applyNumberFormat="1" applyFont="1" applyFill="1" applyBorder="1" applyAlignment="1">
      <alignment horizontal="right" vertical="center" wrapText="1"/>
    </xf>
    <xf numFmtId="2" fontId="50" fillId="0" borderId="1" xfId="0" applyNumberFormat="1" applyFont="1" applyFill="1" applyBorder="1" applyAlignment="1">
      <alignment horizontal="right" vertical="center" wrapText="1"/>
    </xf>
    <xf numFmtId="0" fontId="54" fillId="0" borderId="1" xfId="0" applyNumberFormat="1" applyFont="1" applyFill="1" applyBorder="1" applyAlignment="1">
      <alignment horizontal="right" vertical="center" wrapText="1"/>
    </xf>
    <xf numFmtId="0" fontId="54" fillId="0" borderId="1" xfId="0" applyNumberFormat="1" applyFont="1" applyFill="1" applyBorder="1" applyAlignment="1">
      <alignment horizontal="center" vertical="center" wrapText="1"/>
    </xf>
    <xf numFmtId="168" fontId="54" fillId="0" borderId="1" xfId="0" applyNumberFormat="1" applyFont="1" applyFill="1" applyBorder="1" applyAlignment="1">
      <alignment horizontal="right" vertical="center" wrapText="1"/>
    </xf>
    <xf numFmtId="2" fontId="54" fillId="0" borderId="1" xfId="0" applyNumberFormat="1" applyFont="1" applyFill="1" applyBorder="1" applyAlignment="1">
      <alignment horizontal="left" vertical="center" wrapText="1"/>
    </xf>
    <xf numFmtId="168" fontId="54" fillId="0" borderId="0" xfId="0" applyFont="1" applyFill="1" applyBorder="1" applyAlignment="1">
      <alignment horizontal="center" vertical="center" wrapText="1"/>
    </xf>
    <xf numFmtId="168" fontId="50" fillId="0" borderId="1" xfId="0" applyFont="1" applyFill="1" applyBorder="1" applyAlignment="1">
      <alignment horizontal="right" vertical="center"/>
    </xf>
    <xf numFmtId="168" fontId="50" fillId="0" borderId="1" xfId="0" applyFont="1" applyFill="1" applyBorder="1" applyAlignment="1">
      <alignment horizontal="center" vertical="center"/>
    </xf>
    <xf numFmtId="168" fontId="50" fillId="0" borderId="1" xfId="0" applyFont="1" applyFill="1" applyBorder="1" applyAlignment="1">
      <alignment horizontal="left" vertical="center"/>
    </xf>
    <xf numFmtId="168" fontId="50" fillId="0" borderId="1" xfId="0" applyFont="1" applyFill="1" applyBorder="1" applyAlignment="1">
      <alignment vertical="center"/>
    </xf>
    <xf numFmtId="168" fontId="50" fillId="0" borderId="1" xfId="0" applyNumberFormat="1" applyFont="1" applyFill="1" applyBorder="1" applyAlignment="1">
      <alignment vertical="center" wrapText="1"/>
    </xf>
    <xf numFmtId="2" fontId="50" fillId="0" borderId="1" xfId="0" applyNumberFormat="1" applyFont="1" applyFill="1" applyBorder="1" applyAlignment="1">
      <alignment vertical="center" wrapText="1"/>
    </xf>
    <xf numFmtId="169" fontId="50" fillId="0" borderId="1" xfId="0" applyNumberFormat="1" applyFont="1" applyFill="1" applyBorder="1" applyAlignment="1">
      <alignment horizontal="center" vertical="center"/>
    </xf>
    <xf numFmtId="168" fontId="54" fillId="0" borderId="1" xfId="0" applyFont="1" applyFill="1" applyBorder="1" applyAlignment="1">
      <alignment horizontal="right" vertical="center"/>
    </xf>
    <xf numFmtId="168" fontId="54" fillId="0" borderId="1" xfId="0" applyFont="1" applyFill="1" applyBorder="1" applyAlignment="1">
      <alignment horizontal="left" vertical="center"/>
    </xf>
    <xf numFmtId="169" fontId="54" fillId="0" borderId="1" xfId="0" applyNumberFormat="1" applyFont="1" applyFill="1" applyBorder="1" applyAlignment="1">
      <alignment horizontal="center" vertical="center"/>
    </xf>
    <xf numFmtId="168" fontId="54" fillId="0" borderId="1" xfId="0" applyFont="1" applyFill="1" applyBorder="1" applyAlignment="1">
      <alignment horizontal="center" vertical="center"/>
    </xf>
    <xf numFmtId="168" fontId="54" fillId="0" borderId="0" xfId="0" applyFont="1" applyFill="1" applyBorder="1" applyAlignment="1">
      <alignment horizontal="center" vertical="center"/>
    </xf>
    <xf numFmtId="4" fontId="50" fillId="0" borderId="1" xfId="0" applyNumberFormat="1" applyFont="1" applyFill="1" applyBorder="1" applyAlignment="1">
      <alignment horizontal="center" vertical="center" wrapText="1"/>
    </xf>
    <xf numFmtId="170" fontId="50" fillId="0" borderId="1" xfId="0" applyNumberFormat="1" applyFont="1" applyFill="1" applyBorder="1" applyAlignment="1">
      <alignment horizontal="right" vertical="center" wrapText="1"/>
    </xf>
    <xf numFmtId="171" fontId="50" fillId="0" borderId="1" xfId="0" applyNumberFormat="1" applyFont="1" applyFill="1" applyBorder="1" applyAlignment="1">
      <alignment horizontal="right" vertical="center" wrapText="1"/>
    </xf>
    <xf numFmtId="171" fontId="50" fillId="0" borderId="1" xfId="0" applyNumberFormat="1" applyFont="1" applyFill="1" applyBorder="1" applyAlignment="1">
      <alignment horizontal="right" vertical="center"/>
    </xf>
    <xf numFmtId="168" fontId="54" fillId="0" borderId="1" xfId="0" applyFont="1" applyFill="1" applyBorder="1" applyAlignment="1">
      <alignment horizontal="left" vertical="center" wrapText="1"/>
    </xf>
    <xf numFmtId="170" fontId="50" fillId="0" borderId="1" xfId="0" applyNumberFormat="1" applyFont="1" applyFill="1" applyBorder="1" applyAlignment="1">
      <alignment horizontal="center" vertical="center" wrapText="1"/>
    </xf>
    <xf numFmtId="168" fontId="50" fillId="0" borderId="1" xfId="0" applyFont="1" applyFill="1" applyBorder="1" applyAlignment="1">
      <alignment horizontal="left" vertical="center" wrapText="1"/>
    </xf>
    <xf numFmtId="169" fontId="50" fillId="0" borderId="1" xfId="0" applyNumberFormat="1" applyFont="1" applyFill="1" applyBorder="1" applyAlignment="1">
      <alignment horizontal="center" vertical="center" wrapText="1"/>
    </xf>
    <xf numFmtId="169" fontId="54" fillId="0" borderId="1" xfId="0" applyNumberFormat="1" applyFont="1" applyFill="1" applyBorder="1" applyAlignment="1">
      <alignment horizontal="center" vertical="center" wrapText="1"/>
    </xf>
    <xf numFmtId="168" fontId="50" fillId="0" borderId="0" xfId="0" applyFont="1" applyFill="1" applyBorder="1" applyAlignment="1">
      <alignment horizontal="right" vertical="center"/>
    </xf>
    <xf numFmtId="168" fontId="50" fillId="0" borderId="0" xfId="0" applyFont="1" applyFill="1" applyBorder="1" applyAlignment="1">
      <alignment horizontal="left" vertical="center"/>
    </xf>
    <xf numFmtId="169" fontId="50" fillId="0" borderId="0" xfId="0" applyNumberFormat="1" applyFont="1" applyFill="1" applyBorder="1" applyAlignment="1">
      <alignment horizontal="center" vertical="center"/>
    </xf>
    <xf numFmtId="171" fontId="50" fillId="0" borderId="0" xfId="0" applyNumberFormat="1" applyFont="1" applyFill="1" applyBorder="1" applyAlignment="1">
      <alignment horizontal="right" vertical="center"/>
    </xf>
    <xf numFmtId="169" fontId="50" fillId="0" borderId="0" xfId="0" applyNumberFormat="1" applyFont="1" applyFill="1" applyBorder="1" applyAlignment="1">
      <alignment horizontal="center" vertical="center" wrapText="1"/>
    </xf>
    <xf numFmtId="168" fontId="50" fillId="0" borderId="0" xfId="0" applyNumberFormat="1" applyFont="1" applyFill="1" applyBorder="1" applyAlignment="1">
      <alignment horizontal="center" vertical="center" wrapText="1"/>
    </xf>
    <xf numFmtId="0" fontId="50" fillId="0" borderId="0" xfId="0" applyNumberFormat="1" applyFont="1" applyFill="1" applyBorder="1" applyAlignment="1">
      <alignment horizontal="left" vertical="center" wrapText="1"/>
    </xf>
    <xf numFmtId="0" fontId="50" fillId="0" borderId="0" xfId="0" applyNumberFormat="1" applyFont="1" applyFill="1" applyBorder="1" applyAlignment="1">
      <alignment horizontal="center" vertical="center" wrapText="1"/>
    </xf>
    <xf numFmtId="170" fontId="50" fillId="0" borderId="0" xfId="0" applyNumberFormat="1" applyFont="1" applyFill="1" applyBorder="1" applyAlignment="1">
      <alignment horizontal="center" vertical="center" wrapText="1"/>
    </xf>
    <xf numFmtId="170" fontId="50" fillId="0" borderId="0" xfId="0" applyNumberFormat="1" applyFont="1" applyFill="1" applyBorder="1" applyAlignment="1">
      <alignment horizontal="center" vertical="center"/>
    </xf>
    <xf numFmtId="2" fontId="50" fillId="0" borderId="0" xfId="0" applyNumberFormat="1" applyFont="1" applyFill="1" applyBorder="1" applyAlignment="1">
      <alignment horizontal="center" vertical="center" wrapText="1"/>
    </xf>
    <xf numFmtId="0" fontId="50" fillId="6" borderId="1" xfId="0" applyNumberFormat="1" applyFont="1" applyFill="1" applyBorder="1" applyAlignment="1">
      <alignment horizontal="left" vertical="center" wrapText="1"/>
    </xf>
    <xf numFmtId="0" fontId="50" fillId="6" borderId="1" xfId="0" applyNumberFormat="1" applyFont="1" applyFill="1" applyBorder="1" applyAlignment="1">
      <alignment horizontal="center" vertical="center" wrapText="1"/>
    </xf>
    <xf numFmtId="0" fontId="50" fillId="6" borderId="1" xfId="0" applyNumberFormat="1" applyFont="1" applyFill="1" applyBorder="1" applyAlignment="1">
      <alignment horizontal="right" vertical="center" wrapText="1"/>
    </xf>
    <xf numFmtId="168" fontId="50" fillId="6" borderId="1" xfId="0" applyNumberFormat="1" applyFont="1" applyFill="1" applyBorder="1" applyAlignment="1">
      <alignment horizontal="right" vertical="center" wrapText="1"/>
    </xf>
    <xf numFmtId="2" fontId="50" fillId="6" borderId="1" xfId="0" applyNumberFormat="1" applyFont="1" applyFill="1" applyBorder="1" applyAlignment="1">
      <alignment horizontal="right" vertical="center" wrapText="1"/>
    </xf>
    <xf numFmtId="168" fontId="50" fillId="6" borderId="0" xfId="0" applyFont="1" applyFill="1" applyBorder="1" applyAlignment="1">
      <alignment horizontal="center" vertical="center" wrapText="1"/>
    </xf>
    <xf numFmtId="168" fontId="50" fillId="0" borderId="0" xfId="0" applyFont="1" applyFill="1" applyBorder="1" applyAlignment="1">
      <alignment vertical="center"/>
    </xf>
    <xf numFmtId="170" fontId="50" fillId="0" borderId="0" xfId="0" applyNumberFormat="1" applyFont="1" applyFill="1" applyBorder="1" applyAlignment="1">
      <alignment horizontal="right" vertical="center"/>
    </xf>
    <xf numFmtId="0" fontId="50" fillId="0" borderId="0" xfId="0" applyNumberFormat="1" applyFont="1" applyFill="1" applyBorder="1" applyAlignment="1">
      <alignment vertical="center" wrapText="1"/>
    </xf>
    <xf numFmtId="170" fontId="50" fillId="0" borderId="0" xfId="0" applyNumberFormat="1" applyFont="1" applyFill="1" applyBorder="1" applyAlignment="1">
      <alignment horizontal="right" vertical="center" wrapText="1"/>
    </xf>
    <xf numFmtId="168" fontId="50" fillId="0" borderId="0" xfId="0" applyNumberFormat="1" applyFont="1" applyFill="1" applyBorder="1" applyAlignment="1">
      <alignment vertical="center" wrapText="1"/>
    </xf>
    <xf numFmtId="170" fontId="54" fillId="0" borderId="1" xfId="0" applyNumberFormat="1" applyFont="1" applyFill="1" applyBorder="1" applyAlignment="1">
      <alignment horizontal="center" vertical="center" wrapText="1"/>
    </xf>
    <xf numFmtId="168" fontId="50" fillId="0" borderId="1" xfId="0" applyFont="1" applyFill="1" applyBorder="1" applyAlignment="1">
      <alignment horizontal="right" vertical="center" wrapText="1"/>
    </xf>
    <xf numFmtId="168" fontId="50" fillId="0" borderId="1" xfId="0" applyFont="1" applyFill="1" applyBorder="1" applyAlignment="1">
      <alignment horizontal="center" vertical="center" wrapText="1"/>
    </xf>
    <xf numFmtId="168" fontId="50" fillId="6" borderId="1" xfId="0" applyFont="1" applyFill="1" applyBorder="1" applyAlignment="1">
      <alignment horizontal="right" vertical="center" wrapText="1"/>
    </xf>
    <xf numFmtId="2" fontId="50" fillId="6" borderId="1" xfId="0" applyNumberFormat="1" applyFont="1" applyFill="1" applyBorder="1" applyAlignment="1">
      <alignment vertical="center" wrapText="1"/>
    </xf>
    <xf numFmtId="2" fontId="54" fillId="0" borderId="1" xfId="0" applyNumberFormat="1" applyFont="1" applyFill="1" applyBorder="1" applyAlignment="1">
      <alignment vertical="center" wrapText="1"/>
    </xf>
    <xf numFmtId="170" fontId="50" fillId="6" borderId="1" xfId="0" applyNumberFormat="1" applyFont="1" applyFill="1" applyBorder="1" applyAlignment="1">
      <alignment horizontal="right" vertical="center" wrapText="1"/>
    </xf>
    <xf numFmtId="0" fontId="50" fillId="0" borderId="1" xfId="0" applyNumberFormat="1" applyFont="1" applyFill="1" applyBorder="1" applyAlignment="1">
      <alignment vertical="center" wrapText="1"/>
    </xf>
    <xf numFmtId="168" fontId="50" fillId="6" borderId="1" xfId="0" applyNumberFormat="1" applyFont="1" applyFill="1" applyBorder="1" applyAlignment="1">
      <alignment vertical="center" wrapText="1"/>
    </xf>
    <xf numFmtId="168" fontId="54" fillId="0" borderId="1" xfId="0" applyNumberFormat="1" applyFont="1" applyFill="1" applyBorder="1" applyAlignment="1">
      <alignment vertical="center" wrapText="1"/>
    </xf>
    <xf numFmtId="168" fontId="50" fillId="0" borderId="1" xfId="0" applyFont="1" applyFill="1" applyBorder="1" applyAlignment="1">
      <alignment vertical="center" wrapText="1"/>
    </xf>
    <xf numFmtId="169" fontId="50" fillId="6" borderId="1" xfId="0" applyNumberFormat="1" applyFont="1" applyFill="1" applyBorder="1" applyAlignment="1">
      <alignment horizontal="center" vertical="center" wrapText="1"/>
    </xf>
    <xf numFmtId="170" fontId="54" fillId="0" borderId="1" xfId="0" applyNumberFormat="1" applyFont="1" applyFill="1" applyBorder="1" applyAlignment="1">
      <alignment horizontal="right" vertical="center" wrapText="1"/>
    </xf>
    <xf numFmtId="176" fontId="50" fillId="0" borderId="1" xfId="0" applyNumberFormat="1" applyFont="1" applyFill="1" applyBorder="1" applyAlignment="1">
      <alignment vertical="center" wrapText="1"/>
    </xf>
    <xf numFmtId="168" fontId="54" fillId="0" borderId="15" xfId="0" applyFont="1" applyFill="1" applyBorder="1" applyAlignment="1">
      <alignment horizontal="left" vertical="center" wrapText="1"/>
    </xf>
    <xf numFmtId="168" fontId="50" fillId="0" borderId="16" xfId="0" applyFont="1" applyFill="1" applyBorder="1" applyAlignment="1">
      <alignment horizontal="left" vertical="center" wrapText="1"/>
    </xf>
    <xf numFmtId="168" fontId="50" fillId="0" borderId="16" xfId="0" applyFont="1" applyFill="1" applyBorder="1" applyAlignment="1">
      <alignment vertical="center" wrapText="1"/>
    </xf>
    <xf numFmtId="168" fontId="50" fillId="0" borderId="16" xfId="0" applyFont="1" applyFill="1" applyBorder="1" applyAlignment="1">
      <alignment horizontal="right" vertical="center" wrapText="1"/>
    </xf>
    <xf numFmtId="168" fontId="50" fillId="0" borderId="17" xfId="0" applyFont="1" applyFill="1" applyBorder="1" applyAlignment="1">
      <alignment horizontal="right" vertical="center" wrapText="1"/>
    </xf>
    <xf numFmtId="168" fontId="54" fillId="0" borderId="1" xfId="0" applyFont="1" applyFill="1" applyBorder="1" applyAlignment="1">
      <alignment vertical="center" wrapText="1"/>
    </xf>
    <xf numFmtId="169" fontId="50" fillId="0" borderId="1" xfId="0" applyNumberFormat="1" applyFont="1" applyFill="1" applyBorder="1" applyAlignment="1">
      <alignment horizontal="right" vertical="center" wrapText="1"/>
    </xf>
    <xf numFmtId="176" fontId="50" fillId="0" borderId="1" xfId="0" applyNumberFormat="1" applyFont="1" applyFill="1" applyBorder="1" applyAlignment="1">
      <alignment horizontal="right" vertical="center" wrapText="1"/>
    </xf>
    <xf numFmtId="0" fontId="54" fillId="0" borderId="0" xfId="0" applyNumberFormat="1" applyFont="1" applyFill="1" applyBorder="1" applyAlignment="1">
      <alignment horizontal="center" vertical="center" wrapText="1"/>
    </xf>
    <xf numFmtId="2" fontId="50" fillId="0" borderId="1" xfId="1055" applyNumberFormat="1" applyFont="1" applyFill="1" applyBorder="1" applyAlignment="1">
      <alignment horizontal="right" vertical="center" wrapText="1"/>
    </xf>
    <xf numFmtId="168" fontId="54" fillId="0" borderId="1" xfId="24" applyFont="1" applyFill="1" applyBorder="1" applyAlignment="1">
      <alignment horizontal="right" vertical="center" wrapText="1"/>
    </xf>
    <xf numFmtId="168" fontId="50" fillId="0" borderId="1" xfId="24" applyFont="1" applyFill="1" applyBorder="1" applyAlignment="1">
      <alignment horizontal="left" vertical="center" wrapText="1"/>
    </xf>
    <xf numFmtId="169" fontId="50" fillId="0" borderId="1" xfId="24" applyNumberFormat="1" applyFont="1" applyFill="1" applyBorder="1" applyAlignment="1">
      <alignment horizontal="center" vertical="center" wrapText="1"/>
    </xf>
    <xf numFmtId="168" fontId="50" fillId="0" borderId="1" xfId="24" applyFont="1" applyFill="1" applyBorder="1" applyAlignment="1">
      <alignment horizontal="right" vertical="center" wrapText="1"/>
    </xf>
    <xf numFmtId="168" fontId="50" fillId="0" borderId="0" xfId="24" applyFont="1" applyFill="1" applyBorder="1" applyAlignment="1">
      <alignment horizontal="center" vertical="center" wrapText="1"/>
    </xf>
    <xf numFmtId="168" fontId="54" fillId="0" borderId="1" xfId="24" applyFont="1" applyFill="1" applyBorder="1" applyAlignment="1">
      <alignment horizontal="left" vertical="center" wrapText="1"/>
    </xf>
    <xf numFmtId="170" fontId="50" fillId="0" borderId="1" xfId="0" applyNumberFormat="1" applyFont="1" applyFill="1" applyBorder="1" applyAlignment="1">
      <alignment vertical="center" wrapText="1"/>
    </xf>
    <xf numFmtId="175" fontId="54" fillId="8" borderId="1" xfId="0" applyNumberFormat="1" applyFont="1" applyFill="1" applyBorder="1" applyAlignment="1">
      <alignment horizontal="right" vertical="center" wrapText="1"/>
    </xf>
    <xf numFmtId="2" fontId="54" fillId="8" borderId="1" xfId="0" applyNumberFormat="1" applyFont="1" applyFill="1" applyBorder="1" applyAlignment="1">
      <alignment vertical="center" wrapText="1"/>
    </xf>
    <xf numFmtId="0" fontId="54" fillId="8" borderId="0" xfId="0" applyNumberFormat="1" applyFont="1" applyFill="1" applyBorder="1" applyAlignment="1">
      <alignment horizontal="center" vertical="center" wrapText="1"/>
    </xf>
    <xf numFmtId="0" fontId="54" fillId="8" borderId="1" xfId="0" applyNumberFormat="1" applyFont="1" applyFill="1" applyBorder="1" applyAlignment="1">
      <alignment horizontal="left" vertical="center" wrapText="1"/>
    </xf>
    <xf numFmtId="0" fontId="54" fillId="8" borderId="1" xfId="0" applyNumberFormat="1" applyFont="1" applyFill="1" applyBorder="1" applyAlignment="1">
      <alignment horizontal="center" vertical="center" wrapText="1"/>
    </xf>
    <xf numFmtId="0" fontId="54" fillId="8" borderId="1" xfId="0" applyNumberFormat="1" applyFont="1" applyFill="1" applyBorder="1" applyAlignment="1">
      <alignment vertical="center" wrapText="1"/>
    </xf>
    <xf numFmtId="0" fontId="54" fillId="8" borderId="1" xfId="0" applyNumberFormat="1" applyFont="1" applyFill="1" applyBorder="1" applyAlignment="1">
      <alignment horizontal="right" vertical="center" wrapText="1"/>
    </xf>
    <xf numFmtId="170" fontId="54" fillId="8" borderId="1" xfId="0" applyNumberFormat="1" applyFont="1" applyFill="1" applyBorder="1" applyAlignment="1">
      <alignment horizontal="right" vertical="center" wrapText="1"/>
    </xf>
    <xf numFmtId="175" fontId="50" fillId="8" borderId="1" xfId="0" applyNumberFormat="1" applyFont="1" applyFill="1" applyBorder="1" applyAlignment="1">
      <alignment horizontal="right" vertical="center" wrapText="1"/>
    </xf>
    <xf numFmtId="0" fontId="50" fillId="8" borderId="1" xfId="0" applyNumberFormat="1" applyFont="1" applyFill="1" applyBorder="1" applyAlignment="1">
      <alignment horizontal="left" vertical="center" wrapText="1"/>
    </xf>
    <xf numFmtId="0" fontId="50" fillId="8" borderId="1" xfId="0" applyNumberFormat="1" applyFont="1" applyFill="1" applyBorder="1" applyAlignment="1">
      <alignment horizontal="center" vertical="center" wrapText="1"/>
    </xf>
    <xf numFmtId="0" fontId="50" fillId="8" borderId="1" xfId="0" applyNumberFormat="1" applyFont="1" applyFill="1" applyBorder="1" applyAlignment="1">
      <alignment vertical="center" wrapText="1"/>
    </xf>
    <xf numFmtId="0" fontId="50" fillId="8" borderId="1" xfId="0" applyNumberFormat="1" applyFont="1" applyFill="1" applyBorder="1" applyAlignment="1">
      <alignment horizontal="right" vertical="center" wrapText="1"/>
    </xf>
    <xf numFmtId="170" fontId="50" fillId="8" borderId="1" xfId="0" applyNumberFormat="1" applyFont="1" applyFill="1" applyBorder="1" applyAlignment="1">
      <alignment horizontal="right" vertical="center" wrapText="1"/>
    </xf>
    <xf numFmtId="2" fontId="50" fillId="8" borderId="1" xfId="0" applyNumberFormat="1" applyFont="1" applyFill="1" applyBorder="1" applyAlignment="1">
      <alignment vertical="center" wrapText="1"/>
    </xf>
    <xf numFmtId="0" fontId="50" fillId="8" borderId="0" xfId="0" applyNumberFormat="1" applyFont="1" applyFill="1" applyBorder="1" applyAlignment="1">
      <alignment horizontal="center" vertical="center" wrapText="1"/>
    </xf>
    <xf numFmtId="168" fontId="50" fillId="8" borderId="1" xfId="0" applyNumberFormat="1" applyFont="1" applyFill="1" applyBorder="1" applyAlignment="1">
      <alignment horizontal="right" vertical="center" wrapText="1"/>
    </xf>
    <xf numFmtId="2" fontId="50" fillId="8" borderId="1" xfId="0" applyNumberFormat="1" applyFont="1" applyFill="1" applyBorder="1" applyAlignment="1">
      <alignment horizontal="right" vertical="center" wrapText="1"/>
    </xf>
    <xf numFmtId="176" fontId="50" fillId="8" borderId="1" xfId="0" applyNumberFormat="1" applyFont="1" applyFill="1" applyBorder="1" applyAlignment="1">
      <alignment horizontal="right" vertical="center" wrapText="1"/>
    </xf>
    <xf numFmtId="176" fontId="50" fillId="8" borderId="1" xfId="0" applyNumberFormat="1" applyFont="1" applyFill="1" applyBorder="1" applyAlignment="1">
      <alignment horizontal="left" vertical="center" wrapText="1"/>
    </xf>
    <xf numFmtId="1" fontId="50" fillId="8" borderId="1" xfId="0" applyNumberFormat="1" applyFont="1" applyFill="1" applyBorder="1" applyAlignment="1">
      <alignment horizontal="center" vertical="center" wrapText="1"/>
    </xf>
    <xf numFmtId="168" fontId="50" fillId="8" borderId="1" xfId="0" applyFont="1" applyFill="1" applyBorder="1" applyAlignment="1">
      <alignment horizontal="right" vertical="center" wrapText="1"/>
    </xf>
    <xf numFmtId="168" fontId="50" fillId="8" borderId="1" xfId="0" applyFont="1" applyFill="1" applyBorder="1" applyAlignment="1">
      <alignment vertical="center" wrapText="1"/>
    </xf>
    <xf numFmtId="168" fontId="50" fillId="8" borderId="0" xfId="0" applyFont="1" applyFill="1" applyBorder="1" applyAlignment="1">
      <alignment horizontal="center" vertical="center" wrapText="1"/>
    </xf>
    <xf numFmtId="176" fontId="50" fillId="8" borderId="1" xfId="0" applyNumberFormat="1" applyFont="1" applyFill="1" applyBorder="1" applyAlignment="1">
      <alignment vertical="center" wrapText="1"/>
    </xf>
    <xf numFmtId="168" fontId="50" fillId="8" borderId="1" xfId="0" applyFont="1" applyFill="1" applyBorder="1" applyAlignment="1">
      <alignment horizontal="left" vertical="center" wrapText="1"/>
    </xf>
    <xf numFmtId="169" fontId="50" fillId="8" borderId="1" xfId="0" applyNumberFormat="1" applyFont="1" applyFill="1" applyBorder="1" applyAlignment="1">
      <alignment horizontal="center" vertical="center" wrapText="1"/>
    </xf>
    <xf numFmtId="168" fontId="54" fillId="8" borderId="1" xfId="0" applyFont="1" applyFill="1" applyBorder="1" applyAlignment="1">
      <alignment horizontal="right" vertical="center" wrapText="1"/>
    </xf>
    <xf numFmtId="169" fontId="54" fillId="8" borderId="1" xfId="0" applyNumberFormat="1" applyFont="1" applyFill="1" applyBorder="1" applyAlignment="1">
      <alignment horizontal="center" vertical="center" wrapText="1"/>
    </xf>
    <xf numFmtId="169" fontId="54" fillId="8" borderId="1" xfId="0" applyNumberFormat="1" applyFont="1" applyFill="1" applyBorder="1" applyAlignment="1">
      <alignment vertical="center" wrapText="1"/>
    </xf>
    <xf numFmtId="168" fontId="54" fillId="8" borderId="1" xfId="0" applyNumberFormat="1" applyFont="1" applyFill="1" applyBorder="1" applyAlignment="1">
      <alignment horizontal="right" vertical="center" wrapText="1"/>
    </xf>
    <xf numFmtId="168" fontId="54" fillId="8" borderId="1" xfId="0" applyFont="1" applyFill="1" applyBorder="1" applyAlignment="1">
      <alignment vertical="center" wrapText="1"/>
    </xf>
    <xf numFmtId="168" fontId="54" fillId="8" borderId="0" xfId="0" applyFont="1" applyFill="1" applyBorder="1" applyAlignment="1">
      <alignment horizontal="center" vertical="center" wrapText="1"/>
    </xf>
    <xf numFmtId="168" fontId="50" fillId="8" borderId="1" xfId="0" applyNumberFormat="1" applyFont="1" applyFill="1" applyBorder="1" applyAlignment="1">
      <alignment vertical="center" wrapText="1"/>
    </xf>
    <xf numFmtId="169" fontId="50" fillId="8" borderId="0" xfId="0" applyNumberFormat="1" applyFont="1" applyFill="1" applyBorder="1" applyAlignment="1">
      <alignment horizontal="center" vertical="center" wrapText="1"/>
    </xf>
    <xf numFmtId="173" fontId="50" fillId="8" borderId="1" xfId="0" applyNumberFormat="1" applyFont="1" applyFill="1" applyBorder="1" applyAlignment="1">
      <alignment horizontal="right" vertical="center" wrapText="1"/>
    </xf>
    <xf numFmtId="168" fontId="54" fillId="8" borderId="1" xfId="0" applyFont="1" applyFill="1" applyBorder="1" applyAlignment="1">
      <alignment horizontal="left" vertical="center" wrapText="1"/>
    </xf>
    <xf numFmtId="169" fontId="54" fillId="8" borderId="1" xfId="0" applyNumberFormat="1" applyFont="1" applyFill="1" applyBorder="1" applyAlignment="1">
      <alignment horizontal="right" vertical="center" wrapText="1"/>
    </xf>
    <xf numFmtId="2" fontId="54" fillId="8" borderId="0" xfId="0" applyNumberFormat="1" applyFont="1" applyFill="1" applyBorder="1" applyAlignment="1">
      <alignment horizontal="center" vertical="center" wrapText="1"/>
    </xf>
    <xf numFmtId="168" fontId="50" fillId="8" borderId="0" xfId="0" applyFont="1" applyFill="1" applyBorder="1" applyAlignment="1">
      <alignment horizontal="left" vertical="center" wrapText="1"/>
    </xf>
    <xf numFmtId="168" fontId="50" fillId="6" borderId="1" xfId="0" applyFont="1" applyFill="1" applyBorder="1" applyAlignment="1">
      <alignment horizontal="left" vertical="center" wrapText="1"/>
    </xf>
    <xf numFmtId="173" fontId="50" fillId="0" borderId="1" xfId="0" applyNumberFormat="1" applyFont="1" applyFill="1" applyBorder="1" applyAlignment="1">
      <alignment horizontal="right" vertical="center" wrapText="1"/>
    </xf>
    <xf numFmtId="168" fontId="54" fillId="0" borderId="0" xfId="0" applyFont="1" applyFill="1" applyBorder="1" applyAlignment="1">
      <alignment horizontal="left" vertical="center" wrapText="1"/>
    </xf>
    <xf numFmtId="176" fontId="54" fillId="0" borderId="1" xfId="0" applyNumberFormat="1" applyFont="1" applyFill="1" applyBorder="1" applyAlignment="1">
      <alignment horizontal="right" vertical="center" wrapText="1"/>
    </xf>
    <xf numFmtId="0" fontId="50" fillId="0" borderId="1" xfId="0" applyNumberFormat="1" applyFont="1" applyFill="1" applyBorder="1" applyAlignment="1">
      <alignment horizontal="right" vertical="center"/>
    </xf>
    <xf numFmtId="0" fontId="50" fillId="6" borderId="1" xfId="0" applyNumberFormat="1" applyFont="1" applyFill="1" applyBorder="1" applyAlignment="1">
      <alignment horizontal="center" vertical="center"/>
    </xf>
    <xf numFmtId="0" fontId="50" fillId="0" borderId="1" xfId="0" applyNumberFormat="1" applyFont="1" applyFill="1" applyBorder="1" applyAlignment="1">
      <alignment horizontal="center" vertical="center"/>
    </xf>
    <xf numFmtId="0" fontId="50" fillId="0" borderId="1" xfId="0" applyNumberFormat="1" applyFont="1" applyFill="1" applyBorder="1" applyAlignment="1">
      <alignment horizontal="justify" vertical="center"/>
    </xf>
    <xf numFmtId="176" fontId="54" fillId="0" borderId="1" xfId="0" applyNumberFormat="1" applyFont="1" applyFill="1" applyBorder="1" applyAlignment="1">
      <alignment vertical="center" wrapText="1"/>
    </xf>
    <xf numFmtId="168" fontId="54" fillId="6" borderId="1" xfId="0" applyFont="1" applyFill="1" applyBorder="1" applyAlignment="1">
      <alignment horizontal="left" vertical="center" wrapText="1"/>
    </xf>
    <xf numFmtId="175" fontId="50" fillId="0" borderId="1" xfId="0" applyNumberFormat="1" applyFont="1" applyFill="1" applyBorder="1" applyAlignment="1">
      <alignment horizontal="right" vertical="center" wrapText="1"/>
    </xf>
    <xf numFmtId="2" fontId="50" fillId="0" borderId="1" xfId="0" applyNumberFormat="1" applyFont="1" applyFill="1" applyBorder="1" applyAlignment="1">
      <alignment vertical="center"/>
    </xf>
    <xf numFmtId="2" fontId="50" fillId="0" borderId="1" xfId="0" applyNumberFormat="1" applyFont="1" applyFill="1" applyBorder="1" applyAlignment="1">
      <alignment horizontal="right" vertical="center"/>
    </xf>
    <xf numFmtId="170" fontId="50" fillId="0" borderId="1" xfId="0" applyNumberFormat="1" applyFont="1" applyFill="1" applyBorder="1" applyAlignment="1">
      <alignment horizontal="right" vertical="center"/>
    </xf>
    <xf numFmtId="2" fontId="50" fillId="0" borderId="0" xfId="0" applyNumberFormat="1" applyFont="1" applyFill="1" applyBorder="1" applyAlignment="1">
      <alignment horizontal="right" vertical="center"/>
    </xf>
    <xf numFmtId="0" fontId="50" fillId="0" borderId="0" xfId="0" applyNumberFormat="1" applyFont="1" applyFill="1" applyBorder="1" applyAlignment="1">
      <alignment vertical="center"/>
    </xf>
    <xf numFmtId="169" fontId="50" fillId="7" borderId="1" xfId="0" applyNumberFormat="1" applyFont="1" applyFill="1" applyBorder="1" applyAlignment="1">
      <alignment horizontal="center" vertical="center" wrapText="1"/>
    </xf>
    <xf numFmtId="169" fontId="50" fillId="8" borderId="0" xfId="0" applyNumberFormat="1" applyFont="1" applyFill="1" applyBorder="1" applyAlignment="1">
      <alignment horizontal="left" vertical="center" wrapText="1"/>
    </xf>
    <xf numFmtId="168" fontId="54" fillId="8" borderId="0" xfId="0" applyFont="1" applyFill="1" applyBorder="1" applyAlignment="1">
      <alignment horizontal="left" vertical="center" wrapText="1"/>
    </xf>
    <xf numFmtId="1" fontId="50" fillId="0" borderId="1" xfId="0" applyNumberFormat="1" applyFont="1" applyFill="1" applyBorder="1" applyAlignment="1">
      <alignment horizontal="center" vertical="center" wrapText="1"/>
    </xf>
    <xf numFmtId="0" fontId="50" fillId="0" borderId="1" xfId="0" applyNumberFormat="1" applyFont="1" applyFill="1" applyBorder="1" applyAlignment="1">
      <alignment horizontal="justify" vertical="center" wrapText="1"/>
    </xf>
    <xf numFmtId="2" fontId="50" fillId="6" borderId="1" xfId="0" applyNumberFormat="1" applyFont="1" applyFill="1" applyBorder="1" applyAlignment="1">
      <alignment vertical="center"/>
    </xf>
    <xf numFmtId="4" fontId="50" fillId="0" borderId="0" xfId="0" applyNumberFormat="1" applyFont="1" applyFill="1" applyBorder="1" applyAlignment="1">
      <alignment horizontal="left" vertical="center"/>
    </xf>
    <xf numFmtId="0" fontId="50" fillId="0" borderId="0" xfId="0" applyNumberFormat="1" applyFont="1" applyFill="1" applyBorder="1" applyAlignment="1">
      <alignment horizontal="left" vertical="center"/>
    </xf>
    <xf numFmtId="0" fontId="50" fillId="27" borderId="1" xfId="0" applyNumberFormat="1" applyFont="1" applyFill="1" applyBorder="1" applyAlignment="1">
      <alignment horizontal="right" vertical="center"/>
    </xf>
    <xf numFmtId="168" fontId="50" fillId="27" borderId="1" xfId="0" applyFont="1" applyFill="1" applyBorder="1" applyAlignment="1">
      <alignment vertical="center" wrapText="1"/>
    </xf>
    <xf numFmtId="0" fontId="50" fillId="27" borderId="1" xfId="0" applyNumberFormat="1" applyFont="1" applyFill="1" applyBorder="1" applyAlignment="1">
      <alignment horizontal="justify" vertical="center"/>
    </xf>
    <xf numFmtId="0" fontId="50" fillId="27" borderId="1" xfId="0" applyNumberFormat="1" applyFont="1" applyFill="1" applyBorder="1" applyAlignment="1">
      <alignment horizontal="center" vertical="center"/>
    </xf>
    <xf numFmtId="2" fontId="50" fillId="27" borderId="1" xfId="0" applyNumberFormat="1" applyFont="1" applyFill="1" applyBorder="1" applyAlignment="1">
      <alignment vertical="center" wrapText="1"/>
    </xf>
    <xf numFmtId="0" fontId="50" fillId="27" borderId="1" xfId="0" applyNumberFormat="1" applyFont="1" applyFill="1" applyBorder="1" applyAlignment="1">
      <alignment horizontal="right" vertical="center" wrapText="1"/>
    </xf>
    <xf numFmtId="170" fontId="50" fillId="27" borderId="1" xfId="0" applyNumberFormat="1" applyFont="1" applyFill="1" applyBorder="1" applyAlignment="1">
      <alignment horizontal="right" vertical="center" wrapText="1"/>
    </xf>
    <xf numFmtId="0" fontId="50" fillId="27" borderId="1" xfId="0" applyNumberFormat="1" applyFont="1" applyFill="1" applyBorder="1" applyAlignment="1">
      <alignment horizontal="left" vertical="center" wrapText="1"/>
    </xf>
    <xf numFmtId="0" fontId="50" fillId="27" borderId="1" xfId="0" applyNumberFormat="1" applyFont="1" applyFill="1" applyBorder="1" applyAlignment="1">
      <alignment horizontal="center" vertical="center" wrapText="1"/>
    </xf>
    <xf numFmtId="168" fontId="50" fillId="27" borderId="1" xfId="0" applyFont="1" applyFill="1" applyBorder="1" applyAlignment="1">
      <alignment horizontal="right" vertical="center" wrapText="1"/>
    </xf>
    <xf numFmtId="168" fontId="50" fillId="27" borderId="1" xfId="0" applyNumberFormat="1" applyFont="1" applyFill="1" applyBorder="1" applyAlignment="1">
      <alignment horizontal="right" vertical="center" wrapText="1"/>
    </xf>
    <xf numFmtId="0" fontId="50" fillId="8" borderId="1" xfId="0" applyNumberFormat="1" applyFont="1" applyFill="1" applyBorder="1" applyAlignment="1">
      <alignment horizontal="justify" vertical="center" wrapText="1"/>
    </xf>
    <xf numFmtId="0" fontId="50" fillId="8" borderId="1" xfId="0" applyNumberFormat="1" applyFont="1" applyFill="1" applyBorder="1" applyAlignment="1">
      <alignment horizontal="center" vertical="center"/>
    </xf>
    <xf numFmtId="2" fontId="50" fillId="8" borderId="1" xfId="0" applyNumberFormat="1" applyFont="1" applyFill="1" applyBorder="1" applyAlignment="1">
      <alignment vertical="center"/>
    </xf>
    <xf numFmtId="176" fontId="54" fillId="8" borderId="1" xfId="0" applyNumberFormat="1" applyFont="1" applyFill="1" applyBorder="1" applyAlignment="1">
      <alignment vertical="center" wrapText="1"/>
    </xf>
    <xf numFmtId="169" fontId="50" fillId="6" borderId="0" xfId="0" applyNumberFormat="1" applyFont="1" applyFill="1" applyBorder="1" applyAlignment="1">
      <alignment horizontal="center" vertical="center" wrapText="1"/>
    </xf>
    <xf numFmtId="176" fontId="50" fillId="6" borderId="1" xfId="0" applyNumberFormat="1" applyFont="1" applyFill="1" applyBorder="1" applyAlignment="1">
      <alignment horizontal="right" vertical="center" wrapText="1"/>
    </xf>
    <xf numFmtId="175" fontId="50" fillId="0" borderId="1" xfId="0" applyNumberFormat="1" applyFont="1" applyFill="1" applyBorder="1" applyAlignment="1">
      <alignment vertical="center" wrapText="1"/>
    </xf>
    <xf numFmtId="2" fontId="54" fillId="0" borderId="1" xfId="0" applyNumberFormat="1" applyFont="1" applyFill="1" applyBorder="1" applyAlignment="1">
      <alignment horizontal="right" vertical="center" wrapText="1"/>
    </xf>
    <xf numFmtId="168" fontId="54" fillId="6" borderId="1" xfId="0" applyNumberFormat="1" applyFont="1" applyFill="1" applyBorder="1" applyAlignment="1">
      <alignment horizontal="right" vertical="center" wrapText="1"/>
    </xf>
    <xf numFmtId="0" fontId="54" fillId="0" borderId="1" xfId="0" applyNumberFormat="1" applyFont="1" applyFill="1" applyBorder="1" applyAlignment="1">
      <alignment vertical="center" wrapText="1"/>
    </xf>
    <xf numFmtId="168" fontId="50" fillId="0" borderId="0" xfId="0" applyFont="1" applyFill="1" applyBorder="1" applyAlignment="1">
      <alignment vertical="center" wrapText="1"/>
    </xf>
    <xf numFmtId="2" fontId="50" fillId="0" borderId="0" xfId="0" applyNumberFormat="1" applyFont="1" applyFill="1" applyBorder="1" applyAlignment="1">
      <alignment vertical="center" wrapText="1"/>
    </xf>
    <xf numFmtId="168" fontId="76" fillId="0" borderId="0" xfId="1110" applyNumberFormat="1" applyFont="1" applyFill="1" applyBorder="1" applyAlignment="1">
      <alignment horizontal="right" vertical="center"/>
    </xf>
    <xf numFmtId="168" fontId="76" fillId="0" borderId="0" xfId="1110" applyNumberFormat="1" applyFont="1" applyFill="1" applyBorder="1" applyAlignment="1">
      <alignment horizontal="left" vertical="center"/>
    </xf>
    <xf numFmtId="168" fontId="76" fillId="0" borderId="0" xfId="1110" applyNumberFormat="1" applyFont="1" applyFill="1" applyBorder="1" applyAlignment="1">
      <alignment horizontal="center" vertical="center"/>
    </xf>
    <xf numFmtId="168" fontId="77" fillId="0" borderId="0" xfId="1110" applyNumberFormat="1" applyFont="1" applyFill="1" applyBorder="1" applyAlignment="1">
      <alignment horizontal="right" vertical="center"/>
    </xf>
    <xf numFmtId="168" fontId="77" fillId="0" borderId="0" xfId="1110" applyNumberFormat="1" applyFont="1" applyFill="1" applyBorder="1" applyAlignment="1">
      <alignment horizontal="left" vertical="center"/>
    </xf>
    <xf numFmtId="169" fontId="77" fillId="0" borderId="0" xfId="1110" applyNumberFormat="1" applyFont="1" applyFill="1" applyBorder="1" applyAlignment="1">
      <alignment horizontal="center" vertical="center"/>
    </xf>
    <xf numFmtId="168" fontId="78" fillId="0" borderId="1" xfId="1110" applyNumberFormat="1" applyFont="1" applyFill="1" applyBorder="1" applyAlignment="1">
      <alignment horizontal="center" vertical="center" wrapText="1"/>
    </xf>
    <xf numFmtId="168" fontId="78" fillId="0" borderId="1" xfId="1110" applyNumberFormat="1" applyFont="1" applyFill="1" applyBorder="1" applyAlignment="1">
      <alignment horizontal="center" vertical="center"/>
    </xf>
    <xf numFmtId="175" fontId="77" fillId="0" borderId="1" xfId="1192" applyNumberFormat="1" applyFont="1" applyFill="1" applyBorder="1" applyAlignment="1">
      <alignment horizontal="right" vertical="center" wrapText="1"/>
    </xf>
    <xf numFmtId="168" fontId="77" fillId="0" borderId="1" xfId="0" applyFont="1" applyFill="1" applyBorder="1" applyAlignment="1">
      <alignment horizontal="right" vertical="center" wrapText="1"/>
    </xf>
    <xf numFmtId="2" fontId="77" fillId="0" borderId="1" xfId="1192" applyNumberFormat="1" applyFont="1" applyFill="1" applyBorder="1" applyAlignment="1">
      <alignment horizontal="left" vertical="center" wrapText="1"/>
    </xf>
    <xf numFmtId="1" fontId="77" fillId="0" borderId="1" xfId="1192" applyNumberFormat="1" applyFont="1" applyFill="1" applyBorder="1" applyAlignment="1">
      <alignment horizontal="center" vertical="center" wrapText="1"/>
    </xf>
    <xf numFmtId="1" fontId="77" fillId="0" borderId="1" xfId="0" applyNumberFormat="1" applyFont="1" applyFill="1" applyBorder="1" applyAlignment="1">
      <alignment horizontal="center" vertical="center" wrapText="1"/>
    </xf>
    <xf numFmtId="168" fontId="77" fillId="0" borderId="1" xfId="0" applyFont="1" applyFill="1" applyBorder="1" applyAlignment="1">
      <alignment horizontal="right" vertical="center"/>
    </xf>
    <xf numFmtId="168" fontId="77" fillId="0" borderId="1" xfId="0" applyFont="1" applyFill="1" applyBorder="1" applyAlignment="1">
      <alignment horizontal="left" vertical="center" wrapText="1"/>
    </xf>
    <xf numFmtId="169" fontId="77" fillId="0" borderId="1" xfId="0" applyNumberFormat="1" applyFont="1" applyFill="1" applyBorder="1" applyAlignment="1">
      <alignment horizontal="center" vertical="center"/>
    </xf>
    <xf numFmtId="168" fontId="77" fillId="0" borderId="1" xfId="1110" applyNumberFormat="1" applyFont="1" applyFill="1" applyBorder="1" applyAlignment="1">
      <alignment horizontal="right" vertical="center"/>
    </xf>
    <xf numFmtId="168" fontId="77" fillId="0" borderId="1" xfId="1110" applyNumberFormat="1" applyFont="1" applyFill="1" applyBorder="1" applyAlignment="1">
      <alignment horizontal="left" vertical="center"/>
    </xf>
    <xf numFmtId="169" fontId="77" fillId="0" borderId="1" xfId="1110" applyNumberFormat="1" applyFont="1" applyFill="1" applyBorder="1" applyAlignment="1">
      <alignment horizontal="center" vertical="center"/>
    </xf>
    <xf numFmtId="168" fontId="78" fillId="0" borderId="1" xfId="1110" applyNumberFormat="1" applyFont="1" applyFill="1" applyBorder="1" applyAlignment="1">
      <alignment horizontal="right" vertical="center"/>
    </xf>
    <xf numFmtId="168" fontId="78" fillId="0" borderId="1" xfId="1110" applyNumberFormat="1" applyFont="1" applyFill="1" applyBorder="1" applyAlignment="1">
      <alignment horizontal="right" vertical="center" wrapText="1"/>
    </xf>
    <xf numFmtId="171" fontId="77" fillId="0" borderId="1" xfId="0" applyNumberFormat="1" applyFont="1" applyFill="1" applyBorder="1" applyAlignment="1">
      <alignment horizontal="right" vertical="center" wrapText="1"/>
    </xf>
    <xf numFmtId="168" fontId="78" fillId="0" borderId="1" xfId="0" applyFont="1" applyFill="1" applyBorder="1" applyAlignment="1">
      <alignment horizontal="right" vertical="center" wrapText="1"/>
    </xf>
    <xf numFmtId="171" fontId="77" fillId="0" borderId="1" xfId="0" applyNumberFormat="1" applyFont="1" applyFill="1" applyBorder="1" applyAlignment="1">
      <alignment horizontal="right" vertical="center"/>
    </xf>
    <xf numFmtId="171" fontId="77" fillId="0" borderId="1" xfId="1192" applyNumberFormat="1" applyFont="1" applyFill="1" applyBorder="1" applyAlignment="1">
      <alignment horizontal="right" vertical="center" wrapText="1"/>
    </xf>
    <xf numFmtId="168" fontId="78" fillId="0" borderId="1" xfId="0" applyFont="1" applyFill="1" applyBorder="1" applyAlignment="1">
      <alignment horizontal="left" vertical="center" wrapText="1"/>
    </xf>
    <xf numFmtId="168" fontId="77" fillId="0" borderId="1" xfId="0" applyNumberFormat="1" applyFont="1" applyFill="1" applyBorder="1" applyAlignment="1">
      <alignment horizontal="right" vertical="center" wrapText="1"/>
    </xf>
    <xf numFmtId="168" fontId="77" fillId="0" borderId="1" xfId="0" applyFont="1" applyFill="1" applyBorder="1" applyAlignment="1">
      <alignment horizontal="center" vertical="center"/>
    </xf>
    <xf numFmtId="168" fontId="77" fillId="0" borderId="1" xfId="1110" applyNumberFormat="1" applyFont="1" applyFill="1" applyBorder="1" applyAlignment="1">
      <alignment horizontal="right" vertical="center" wrapText="1"/>
    </xf>
    <xf numFmtId="168" fontId="78" fillId="0" borderId="1" xfId="0" applyFont="1" applyFill="1" applyBorder="1" applyAlignment="1">
      <alignment horizontal="right" vertical="center"/>
    </xf>
    <xf numFmtId="2" fontId="77" fillId="0" borderId="1" xfId="0" applyNumberFormat="1" applyFont="1" applyFill="1" applyBorder="1" applyAlignment="1">
      <alignment vertical="center" wrapText="1"/>
    </xf>
    <xf numFmtId="170" fontId="78" fillId="0" borderId="1" xfId="0" applyNumberFormat="1" applyFont="1" applyFill="1" applyBorder="1" applyAlignment="1">
      <alignment horizontal="right" vertical="center" wrapText="1"/>
    </xf>
    <xf numFmtId="168" fontId="52" fillId="0" borderId="0" xfId="0" applyFont="1" applyAlignment="1">
      <alignment horizontal="right" vertical="center"/>
    </xf>
    <xf numFmtId="168" fontId="52" fillId="0" borderId="0" xfId="0" applyFont="1" applyAlignment="1">
      <alignment horizontal="center" vertical="center"/>
    </xf>
    <xf numFmtId="168" fontId="77" fillId="0" borderId="0" xfId="0" applyFont="1" applyAlignment="1">
      <alignment vertical="center"/>
    </xf>
    <xf numFmtId="183" fontId="77" fillId="0" borderId="0" xfId="0" applyNumberFormat="1" applyFont="1" applyAlignment="1">
      <alignment horizontal="right" vertical="center"/>
    </xf>
    <xf numFmtId="183" fontId="77" fillId="0" borderId="0" xfId="0" applyNumberFormat="1" applyFont="1" applyAlignment="1">
      <alignment vertical="center"/>
    </xf>
    <xf numFmtId="183" fontId="78" fillId="0" borderId="0" xfId="0" applyNumberFormat="1" applyFont="1" applyAlignment="1">
      <alignment vertical="center"/>
    </xf>
    <xf numFmtId="183" fontId="77" fillId="0" borderId="0" xfId="0" applyNumberFormat="1" applyFont="1" applyAlignment="1">
      <alignment vertical="center" wrapText="1"/>
    </xf>
    <xf numFmtId="183" fontId="78" fillId="0" borderId="0" xfId="0" applyNumberFormat="1" applyFont="1" applyAlignment="1">
      <alignment horizontal="right" vertical="center"/>
    </xf>
    <xf numFmtId="168" fontId="77" fillId="0" borderId="0" xfId="0" applyFont="1" applyAlignment="1">
      <alignment horizontal="right" vertical="center"/>
    </xf>
    <xf numFmtId="183" fontId="78" fillId="0" borderId="0" xfId="0" applyNumberFormat="1" applyFont="1" applyAlignment="1">
      <alignment vertical="center" wrapText="1"/>
    </xf>
    <xf numFmtId="168" fontId="52" fillId="0" borderId="0" xfId="0" applyFont="1" applyFill="1" applyBorder="1" applyAlignment="1">
      <alignment horizontal="center" vertical="center"/>
    </xf>
    <xf numFmtId="0" fontId="77" fillId="0" borderId="0" xfId="0" applyNumberFormat="1" applyFont="1" applyAlignment="1">
      <alignment vertical="center"/>
    </xf>
    <xf numFmtId="9" fontId="77" fillId="0" borderId="0" xfId="40" applyFont="1" applyAlignment="1">
      <alignment horizontal="right" vertical="center"/>
    </xf>
    <xf numFmtId="9" fontId="77" fillId="0" borderId="0" xfId="40" applyFont="1" applyAlignment="1">
      <alignment vertical="center"/>
    </xf>
    <xf numFmtId="9" fontId="78" fillId="0" borderId="0" xfId="40" applyFont="1" applyAlignment="1">
      <alignment vertical="center"/>
    </xf>
    <xf numFmtId="185" fontId="77" fillId="0" borderId="0" xfId="0" applyNumberFormat="1" applyFont="1" applyAlignment="1">
      <alignment vertical="center"/>
    </xf>
    <xf numFmtId="186" fontId="77" fillId="0" borderId="0" xfId="1" applyNumberFormat="1" applyFont="1" applyAlignment="1">
      <alignment vertical="center"/>
    </xf>
    <xf numFmtId="184" fontId="77" fillId="0" borderId="0" xfId="0" applyNumberFormat="1" applyFont="1" applyAlignment="1">
      <alignment horizontal="right" vertical="center"/>
    </xf>
    <xf numFmtId="185" fontId="77" fillId="0" borderId="0" xfId="0" applyNumberFormat="1" applyFont="1" applyAlignment="1">
      <alignment horizontal="right" vertical="center"/>
    </xf>
    <xf numFmtId="168" fontId="50" fillId="0" borderId="0" xfId="0" applyFont="1" applyFill="1" applyAlignment="1">
      <alignment horizontal="left" vertical="center"/>
    </xf>
    <xf numFmtId="168" fontId="50" fillId="0" borderId="0" xfId="0" applyFont="1" applyFill="1" applyAlignment="1">
      <alignment horizontal="center" vertical="center"/>
    </xf>
    <xf numFmtId="168" fontId="50" fillId="0" borderId="0" xfId="0" applyFont="1" applyFill="1" applyAlignment="1">
      <alignment vertical="center"/>
    </xf>
    <xf numFmtId="168" fontId="54" fillId="0" borderId="0" xfId="0" applyFont="1" applyFill="1" applyAlignment="1">
      <alignment horizontal="left" vertical="center"/>
    </xf>
    <xf numFmtId="170" fontId="50" fillId="0" borderId="0" xfId="0" applyNumberFormat="1" applyFont="1" applyFill="1" applyAlignment="1">
      <alignment vertical="center"/>
    </xf>
    <xf numFmtId="168" fontId="54" fillId="0" borderId="0" xfId="0" applyFont="1" applyFill="1" applyAlignment="1">
      <alignment vertical="center"/>
    </xf>
    <xf numFmtId="168" fontId="50" fillId="0" borderId="0" xfId="0" applyFont="1" applyFill="1" applyAlignment="1">
      <alignment horizontal="fill" vertical="center"/>
    </xf>
    <xf numFmtId="168" fontId="54" fillId="0" borderId="0" xfId="0" applyFont="1" applyFill="1" applyAlignment="1">
      <alignment horizontal="right" vertical="center"/>
    </xf>
    <xf numFmtId="168" fontId="54" fillId="0" borderId="0" xfId="0" applyFont="1" applyFill="1" applyAlignment="1">
      <alignment horizontal="center" vertical="center"/>
    </xf>
    <xf numFmtId="168" fontId="54" fillId="0" borderId="0" xfId="0" quotePrefix="1" applyFont="1" applyFill="1" applyAlignment="1">
      <alignment horizontal="right" vertical="center"/>
    </xf>
    <xf numFmtId="168" fontId="54" fillId="0" borderId="0" xfId="0" quotePrefix="1" applyFont="1" applyFill="1" applyAlignment="1">
      <alignment horizontal="center" vertical="center"/>
    </xf>
    <xf numFmtId="168" fontId="50" fillId="0" borderId="0" xfId="0" applyFont="1" applyFill="1" applyAlignment="1">
      <alignment horizontal="right" vertical="center"/>
    </xf>
    <xf numFmtId="169" fontId="50" fillId="0" borderId="0" xfId="0" applyNumberFormat="1" applyFont="1" applyFill="1" applyAlignment="1">
      <alignment vertical="center"/>
    </xf>
    <xf numFmtId="169" fontId="50" fillId="0" borderId="0" xfId="0" applyNumberFormat="1" applyFont="1" applyFill="1" applyAlignment="1">
      <alignment horizontal="center" vertical="center"/>
    </xf>
    <xf numFmtId="168" fontId="50" fillId="0" borderId="0" xfId="0" applyFont="1" applyFill="1" applyAlignment="1">
      <alignment horizontal="left" vertical="center" wrapText="1"/>
    </xf>
    <xf numFmtId="171" fontId="50" fillId="0" borderId="0" xfId="0" applyNumberFormat="1" applyFont="1" applyFill="1" applyAlignment="1">
      <alignment horizontal="center" vertical="center"/>
    </xf>
    <xf numFmtId="0" fontId="50" fillId="0" borderId="0" xfId="0" applyNumberFormat="1" applyFont="1" applyFill="1" applyAlignment="1">
      <alignment vertical="center"/>
    </xf>
    <xf numFmtId="168" fontId="50" fillId="0" borderId="0" xfId="0" quotePrefix="1" applyFont="1" applyFill="1" applyAlignment="1">
      <alignment vertical="center"/>
    </xf>
    <xf numFmtId="0" fontId="50" fillId="0" borderId="0" xfId="0" applyNumberFormat="1" applyFont="1" applyFill="1" applyAlignment="1">
      <alignment vertical="center" wrapText="1"/>
    </xf>
    <xf numFmtId="168" fontId="50" fillId="0" borderId="0" xfId="0" applyFont="1" applyFill="1" applyAlignment="1">
      <alignment vertical="center" wrapText="1"/>
    </xf>
    <xf numFmtId="170" fontId="50" fillId="0" borderId="0" xfId="0" applyNumberFormat="1" applyFont="1" applyFill="1" applyAlignment="1">
      <alignment horizontal="center" vertical="center"/>
    </xf>
    <xf numFmtId="171" fontId="50" fillId="0" borderId="0" xfId="0" applyNumberFormat="1" applyFont="1" applyFill="1" applyAlignment="1">
      <alignment horizontal="left" vertical="center"/>
    </xf>
    <xf numFmtId="170" fontId="50" fillId="0" borderId="0" xfId="0" applyNumberFormat="1" applyFont="1" applyFill="1" applyAlignment="1">
      <alignment horizontal="left" vertical="center"/>
    </xf>
    <xf numFmtId="168" fontId="54" fillId="0" borderId="0" xfId="0" applyFont="1" applyFill="1" applyAlignment="1">
      <alignment horizontal="left" vertical="center" wrapText="1"/>
    </xf>
    <xf numFmtId="168" fontId="54" fillId="0" borderId="0" xfId="0" applyFont="1" applyFill="1" applyAlignment="1">
      <alignment horizontal="fill" vertical="center"/>
    </xf>
    <xf numFmtId="169" fontId="54" fillId="0" borderId="0" xfId="0" applyNumberFormat="1" applyFont="1" applyFill="1" applyAlignment="1">
      <alignment horizontal="center" vertical="center"/>
    </xf>
    <xf numFmtId="171" fontId="50" fillId="0" borderId="0" xfId="0" applyNumberFormat="1" applyFont="1" applyFill="1" applyAlignment="1">
      <alignment vertical="center"/>
    </xf>
    <xf numFmtId="172" fontId="50" fillId="0" borderId="0" xfId="0" applyNumberFormat="1" applyFont="1" applyFill="1" applyAlignment="1">
      <alignment vertical="center"/>
    </xf>
    <xf numFmtId="173" fontId="50" fillId="0" borderId="0" xfId="0" applyNumberFormat="1" applyFont="1" applyFill="1" applyAlignment="1">
      <alignment vertical="center"/>
    </xf>
    <xf numFmtId="169" fontId="50" fillId="0" borderId="0" xfId="0" applyNumberFormat="1" applyFont="1" applyFill="1" applyAlignment="1">
      <alignment vertical="center" wrapText="1"/>
    </xf>
    <xf numFmtId="169" fontId="50" fillId="0" borderId="0" xfId="0" applyNumberFormat="1" applyFont="1" applyFill="1" applyAlignment="1">
      <alignment horizontal="left" vertical="center" wrapText="1"/>
    </xf>
    <xf numFmtId="169" fontId="50" fillId="0" borderId="0" xfId="0" applyNumberFormat="1" applyFont="1" applyFill="1" applyAlignment="1">
      <alignment horizontal="left" vertical="center"/>
    </xf>
    <xf numFmtId="170" fontId="50" fillId="0" borderId="0" xfId="0" applyNumberFormat="1" applyFont="1" applyFill="1" applyAlignment="1">
      <alignment horizontal="right" vertical="center"/>
    </xf>
    <xf numFmtId="168" fontId="54" fillId="0" borderId="0" xfId="0" applyFont="1" applyFill="1" applyAlignment="1">
      <alignment vertical="center" wrapText="1"/>
    </xf>
    <xf numFmtId="173" fontId="50" fillId="0" borderId="0" xfId="0" quotePrefix="1" applyNumberFormat="1" applyFont="1" applyFill="1" applyAlignment="1">
      <alignment vertical="center"/>
    </xf>
    <xf numFmtId="171" fontId="50" fillId="0" borderId="0" xfId="0" applyNumberFormat="1" applyFont="1" applyFill="1" applyAlignment="1">
      <alignment horizontal="center" vertical="center" wrapText="1"/>
    </xf>
    <xf numFmtId="168" fontId="50" fillId="0" borderId="0" xfId="0" applyFont="1" applyFill="1" applyAlignment="1">
      <alignment horizontal="justify" vertical="center" wrapText="1"/>
    </xf>
    <xf numFmtId="172" fontId="50" fillId="0" borderId="0" xfId="0" applyNumberFormat="1" applyFont="1" applyFill="1" applyAlignment="1">
      <alignment horizontal="left" vertical="center"/>
    </xf>
    <xf numFmtId="174" fontId="50" fillId="0" borderId="0" xfId="0" applyNumberFormat="1" applyFont="1" applyFill="1" applyAlignment="1">
      <alignment vertical="center"/>
    </xf>
    <xf numFmtId="172" fontId="50" fillId="0" borderId="0" xfId="0" applyNumberFormat="1" applyFont="1" applyFill="1" applyAlignment="1">
      <alignment horizontal="fill" vertical="center"/>
    </xf>
    <xf numFmtId="170" fontId="50" fillId="0" borderId="0" xfId="0" applyNumberFormat="1" applyFont="1" applyFill="1" applyAlignment="1">
      <alignment horizontal="fill" vertical="center"/>
    </xf>
    <xf numFmtId="2" fontId="54" fillId="0" borderId="2" xfId="39" applyNumberFormat="1" applyFont="1" applyFill="1" applyBorder="1" applyAlignment="1">
      <alignment vertical="center" wrapText="1"/>
    </xf>
    <xf numFmtId="170" fontId="54" fillId="0" borderId="0" xfId="0" applyNumberFormat="1" applyFont="1" applyFill="1" applyAlignment="1">
      <alignment horizontal="right" vertical="center"/>
    </xf>
    <xf numFmtId="168" fontId="50" fillId="0" borderId="6" xfId="0" applyFont="1" applyFill="1" applyBorder="1" applyAlignment="1">
      <alignment vertical="center"/>
    </xf>
    <xf numFmtId="168" fontId="50" fillId="0" borderId="8" xfId="0" applyFont="1" applyFill="1" applyBorder="1" applyAlignment="1">
      <alignment vertical="center"/>
    </xf>
    <xf numFmtId="168" fontId="50" fillId="0" borderId="10" xfId="0" applyFont="1" applyFill="1" applyBorder="1" applyAlignment="1">
      <alignment vertical="center"/>
    </xf>
    <xf numFmtId="169" fontId="50" fillId="0" borderId="4" xfId="0" applyNumberFormat="1" applyFont="1" applyFill="1" applyBorder="1" applyAlignment="1">
      <alignment horizontal="center" vertical="center"/>
    </xf>
    <xf numFmtId="168" fontId="50" fillId="0" borderId="5" xfId="0" applyFont="1" applyFill="1" applyBorder="1" applyAlignment="1">
      <alignment vertical="center"/>
    </xf>
    <xf numFmtId="168" fontId="50" fillId="0" borderId="5" xfId="0" applyFont="1" applyFill="1" applyBorder="1" applyAlignment="1">
      <alignment horizontal="left" vertical="center"/>
    </xf>
    <xf numFmtId="168" fontId="50" fillId="0" borderId="7" xfId="0" applyFont="1" applyFill="1" applyBorder="1" applyAlignment="1">
      <alignment vertical="center"/>
    </xf>
    <xf numFmtId="168" fontId="50" fillId="0" borderId="9" xfId="0" applyFont="1" applyFill="1" applyBorder="1" applyAlignment="1">
      <alignment vertical="center"/>
    </xf>
    <xf numFmtId="168" fontId="50" fillId="0" borderId="3" xfId="0" applyFont="1" applyFill="1" applyBorder="1" applyAlignment="1">
      <alignment vertical="center"/>
    </xf>
    <xf numFmtId="168" fontId="50" fillId="0" borderId="3" xfId="0" applyFont="1" applyFill="1" applyBorder="1" applyAlignment="1">
      <alignment horizontal="left" vertical="center"/>
    </xf>
    <xf numFmtId="168" fontId="50" fillId="0" borderId="3" xfId="0" applyFont="1" applyFill="1" applyBorder="1" applyAlignment="1">
      <alignment horizontal="fill" vertical="center"/>
    </xf>
    <xf numFmtId="168" fontId="50" fillId="0" borderId="4" xfId="0" applyFont="1" applyFill="1" applyBorder="1" applyAlignment="1">
      <alignment horizontal="center" vertical="center"/>
    </xf>
    <xf numFmtId="170" fontId="50" fillId="0" borderId="7" xfId="0" applyNumberFormat="1" applyFont="1" applyFill="1" applyBorder="1" applyAlignment="1">
      <alignment vertical="center"/>
    </xf>
    <xf numFmtId="170" fontId="50" fillId="0" borderId="9" xfId="0" applyNumberFormat="1" applyFont="1" applyFill="1" applyBorder="1" applyAlignment="1">
      <alignment vertical="center"/>
    </xf>
    <xf numFmtId="168" fontId="54" fillId="0" borderId="3" xfId="0" applyFont="1" applyFill="1" applyBorder="1" applyAlignment="1">
      <alignment horizontal="center" vertical="center"/>
    </xf>
    <xf numFmtId="168" fontId="54" fillId="0" borderId="3" xfId="0" applyFont="1" applyFill="1" applyBorder="1" applyAlignment="1">
      <alignment vertical="center"/>
    </xf>
    <xf numFmtId="168" fontId="54" fillId="0" borderId="3" xfId="0" applyFont="1" applyFill="1" applyBorder="1" applyAlignment="1">
      <alignment horizontal="left" vertical="center"/>
    </xf>
    <xf numFmtId="168" fontId="54" fillId="0" borderId="11" xfId="0" applyFont="1" applyFill="1" applyBorder="1" applyAlignment="1">
      <alignment vertical="center"/>
    </xf>
    <xf numFmtId="168" fontId="50" fillId="0" borderId="12" xfId="0" applyFont="1" applyFill="1" applyBorder="1" applyAlignment="1">
      <alignment horizontal="fill" vertical="center"/>
    </xf>
    <xf numFmtId="170" fontId="54" fillId="0" borderId="0" xfId="0" applyNumberFormat="1" applyFont="1" applyFill="1" applyAlignment="1">
      <alignment vertical="center"/>
    </xf>
    <xf numFmtId="170" fontId="50" fillId="0" borderId="0" xfId="0" applyNumberFormat="1" applyFont="1" applyFill="1" applyAlignment="1">
      <alignment vertical="center" wrapText="1"/>
    </xf>
    <xf numFmtId="168" fontId="50" fillId="0" borderId="0" xfId="0" applyFont="1" applyFill="1" applyAlignment="1">
      <alignment horizontal="fill" vertical="center" wrapText="1"/>
    </xf>
    <xf numFmtId="2" fontId="50" fillId="0" borderId="2" xfId="38" applyNumberFormat="1" applyFont="1" applyFill="1" applyBorder="1" applyAlignment="1">
      <alignment vertical="center" wrapText="1"/>
    </xf>
    <xf numFmtId="168" fontId="50" fillId="0" borderId="0" xfId="0" applyFont="1" applyFill="1" applyAlignment="1">
      <alignment vertical="center"/>
    </xf>
    <xf numFmtId="168" fontId="50" fillId="0" borderId="0" xfId="0" quotePrefix="1" applyFont="1" applyFill="1" applyAlignment="1">
      <alignment horizontal="fill" vertical="center"/>
    </xf>
    <xf numFmtId="168" fontId="54" fillId="0" borderId="0" xfId="0" quotePrefix="1" applyFont="1" applyFill="1" applyAlignment="1">
      <alignment vertical="center"/>
    </xf>
    <xf numFmtId="171" fontId="54" fillId="0" borderId="0" xfId="0" applyNumberFormat="1" applyFont="1" applyFill="1" applyAlignment="1">
      <alignment vertical="center"/>
    </xf>
    <xf numFmtId="173" fontId="54" fillId="0" borderId="0" xfId="0" applyNumberFormat="1" applyFont="1" applyFill="1" applyAlignment="1">
      <alignment vertical="center"/>
    </xf>
    <xf numFmtId="173" fontId="54" fillId="0" borderId="0" xfId="0" applyNumberFormat="1" applyFont="1" applyFill="1" applyAlignment="1">
      <alignment horizontal="right" vertical="center"/>
    </xf>
    <xf numFmtId="2" fontId="50" fillId="0" borderId="0" xfId="0" applyNumberFormat="1" applyFont="1" applyFill="1" applyAlignment="1">
      <alignment vertical="center"/>
    </xf>
    <xf numFmtId="2" fontId="54" fillId="0" borderId="0" xfId="0" applyNumberFormat="1" applyFont="1" applyFill="1" applyAlignment="1">
      <alignment vertical="center"/>
    </xf>
    <xf numFmtId="168" fontId="50" fillId="0" borderId="4" xfId="0" applyFont="1" applyFill="1" applyBorder="1" applyAlignment="1">
      <alignment vertical="center"/>
    </xf>
    <xf numFmtId="171" fontId="50" fillId="0" borderId="7" xfId="0" applyNumberFormat="1" applyFont="1" applyFill="1" applyBorder="1" applyAlignment="1">
      <alignment horizontal="center" vertical="center"/>
    </xf>
    <xf numFmtId="172" fontId="50" fillId="0" borderId="0" xfId="0" applyNumberFormat="1" applyFont="1" applyFill="1" applyAlignment="1">
      <alignment horizontal="center" vertical="center"/>
    </xf>
    <xf numFmtId="168" fontId="50" fillId="0" borderId="3" xfId="0" applyFont="1" applyFill="1" applyBorder="1" applyAlignment="1">
      <alignment horizontal="center" vertical="center"/>
    </xf>
    <xf numFmtId="178" fontId="54" fillId="0" borderId="0" xfId="0" applyNumberFormat="1" applyFont="1" applyFill="1" applyAlignment="1">
      <alignment vertical="center"/>
    </xf>
    <xf numFmtId="172" fontId="54" fillId="0" borderId="0" xfId="0" applyNumberFormat="1" applyFont="1" applyFill="1" applyAlignment="1">
      <alignment vertical="center"/>
    </xf>
    <xf numFmtId="172" fontId="50" fillId="0" borderId="0" xfId="0" applyNumberFormat="1" applyFont="1" applyFill="1" applyAlignment="1">
      <alignment horizontal="right" vertical="center"/>
    </xf>
    <xf numFmtId="172" fontId="54" fillId="0" borderId="0" xfId="0" applyNumberFormat="1" applyFont="1" applyFill="1" applyAlignment="1">
      <alignment horizontal="right" vertical="center"/>
    </xf>
    <xf numFmtId="173" fontId="50" fillId="0" borderId="0" xfId="0" applyNumberFormat="1" applyFont="1" applyFill="1" applyAlignment="1">
      <alignment horizontal="right" vertical="center"/>
    </xf>
    <xf numFmtId="168" fontId="50" fillId="0" borderId="0" xfId="0" quotePrefix="1" applyFont="1" applyFill="1" applyAlignment="1">
      <alignment horizontal="left" vertical="center"/>
    </xf>
    <xf numFmtId="174" fontId="50" fillId="0" borderId="0" xfId="0" applyNumberFormat="1" applyFont="1" applyFill="1" applyAlignment="1">
      <alignment horizontal="right" vertical="center"/>
    </xf>
    <xf numFmtId="169" fontId="54" fillId="0" borderId="0" xfId="0" applyNumberFormat="1" applyFont="1" applyFill="1" applyAlignment="1">
      <alignment vertical="center"/>
    </xf>
    <xf numFmtId="2" fontId="50" fillId="0" borderId="0" xfId="38" applyNumberFormat="1" applyFont="1" applyFill="1" applyAlignment="1">
      <alignment vertical="center" wrapText="1"/>
    </xf>
    <xf numFmtId="168" fontId="54" fillId="0" borderId="0" xfId="0" applyFont="1" applyFill="1" applyAlignment="1">
      <alignment horizontal="center" vertical="center" wrapText="1"/>
    </xf>
    <xf numFmtId="0" fontId="50" fillId="0" borderId="0" xfId="0" applyNumberFormat="1" applyFont="1" applyFill="1" applyAlignment="1">
      <alignment horizontal="center" vertical="center"/>
    </xf>
    <xf numFmtId="0" fontId="50" fillId="0" borderId="0" xfId="0" applyNumberFormat="1" applyFont="1" applyFill="1" applyAlignment="1">
      <alignment horizontal="center" vertical="center" wrapText="1"/>
    </xf>
    <xf numFmtId="0" fontId="54" fillId="0" borderId="0" xfId="0" applyNumberFormat="1" applyFont="1" applyFill="1" applyAlignment="1">
      <alignment vertical="center"/>
    </xf>
    <xf numFmtId="0" fontId="54" fillId="0" borderId="0" xfId="0" applyNumberFormat="1" applyFont="1" applyFill="1" applyAlignment="1">
      <alignment horizontal="right" vertical="center"/>
    </xf>
    <xf numFmtId="0" fontId="54" fillId="0" borderId="0" xfId="0" applyNumberFormat="1" applyFont="1" applyFill="1" applyAlignment="1">
      <alignment horizontal="center" vertical="center"/>
    </xf>
    <xf numFmtId="173" fontId="50" fillId="0" borderId="0" xfId="0" applyNumberFormat="1" applyFont="1" applyFill="1" applyAlignment="1">
      <alignment horizontal="center" vertical="center"/>
    </xf>
    <xf numFmtId="168" fontId="77" fillId="0" borderId="1" xfId="0" applyFont="1" applyBorder="1" applyAlignment="1">
      <alignment vertical="center"/>
    </xf>
    <xf numFmtId="168" fontId="79" fillId="0" borderId="1" xfId="0" applyFont="1" applyBorder="1" applyAlignment="1">
      <alignment vertical="center"/>
    </xf>
    <xf numFmtId="168" fontId="78" fillId="0" borderId="1" xfId="0" applyFont="1" applyBorder="1" applyAlignment="1">
      <alignment vertical="center"/>
    </xf>
    <xf numFmtId="168" fontId="77" fillId="0" borderId="0" xfId="1111" applyNumberFormat="1" applyFont="1" applyFill="1" applyBorder="1" applyAlignment="1">
      <alignment horizontal="center" vertical="center"/>
    </xf>
    <xf numFmtId="168" fontId="52" fillId="0" borderId="0" xfId="0" applyFont="1" applyFill="1" applyBorder="1" applyAlignment="1">
      <alignment horizontal="right" vertical="center"/>
    </xf>
    <xf numFmtId="168" fontId="78" fillId="0" borderId="0" xfId="1111" applyNumberFormat="1" applyFont="1" applyFill="1" applyBorder="1" applyAlignment="1">
      <alignment horizontal="left" vertical="center"/>
    </xf>
    <xf numFmtId="168" fontId="76" fillId="0" borderId="0" xfId="1111" applyNumberFormat="1" applyFont="1" applyFill="1" applyBorder="1" applyAlignment="1">
      <alignment horizontal="center" vertical="center"/>
    </xf>
    <xf numFmtId="168" fontId="76" fillId="0" borderId="0" xfId="1111" applyNumberFormat="1" applyFont="1" applyFill="1" applyBorder="1" applyAlignment="1">
      <alignment horizontal="left" vertical="center"/>
    </xf>
    <xf numFmtId="168" fontId="76" fillId="0" borderId="0" xfId="1111" applyNumberFormat="1" applyFont="1" applyFill="1" applyBorder="1" applyAlignment="1">
      <alignment horizontal="right" vertical="center"/>
    </xf>
    <xf numFmtId="168" fontId="78" fillId="0" borderId="1" xfId="1111" applyNumberFormat="1" applyFont="1" applyFill="1" applyBorder="1" applyAlignment="1">
      <alignment horizontal="center" vertical="center" wrapText="1"/>
    </xf>
    <xf numFmtId="168" fontId="78" fillId="0" borderId="1" xfId="1111" applyNumberFormat="1" applyFont="1" applyFill="1" applyBorder="1" applyAlignment="1">
      <alignment horizontal="center" vertical="center"/>
    </xf>
    <xf numFmtId="168" fontId="78" fillId="0" borderId="0" xfId="1111" applyNumberFormat="1" applyFont="1" applyFill="1" applyBorder="1" applyAlignment="1">
      <alignment horizontal="center" vertical="center"/>
    </xf>
    <xf numFmtId="175" fontId="77" fillId="0" borderId="1" xfId="1192" applyNumberFormat="1" applyFont="1" applyFill="1" applyBorder="1" applyAlignment="1">
      <alignment vertical="center" wrapText="1"/>
    </xf>
    <xf numFmtId="168" fontId="78" fillId="0" borderId="1" xfId="0" applyFont="1" applyFill="1" applyBorder="1" applyAlignment="1">
      <alignment horizontal="left" vertical="center"/>
    </xf>
    <xf numFmtId="168" fontId="77" fillId="0" borderId="0" xfId="0" applyFont="1" applyFill="1" applyBorder="1" applyAlignment="1">
      <alignment vertical="center"/>
    </xf>
    <xf numFmtId="168" fontId="77" fillId="0" borderId="1" xfId="0" applyFont="1" applyFill="1" applyBorder="1" applyAlignment="1">
      <alignment vertical="center"/>
    </xf>
    <xf numFmtId="2" fontId="78" fillId="0" borderId="1" xfId="1192" applyNumberFormat="1" applyFont="1" applyFill="1" applyBorder="1" applyAlignment="1">
      <alignment horizontal="left" vertical="center" wrapText="1"/>
    </xf>
    <xf numFmtId="1" fontId="77" fillId="0" borderId="1" xfId="0" applyNumberFormat="1" applyFont="1" applyFill="1" applyBorder="1" applyAlignment="1">
      <alignment horizontal="center" vertical="center"/>
    </xf>
    <xf numFmtId="168" fontId="77" fillId="6" borderId="1" xfId="0" applyFont="1" applyFill="1" applyBorder="1" applyAlignment="1">
      <alignment horizontal="right" vertical="center"/>
    </xf>
    <xf numFmtId="168" fontId="77" fillId="0" borderId="1" xfId="1322" applyNumberFormat="1" applyFont="1" applyFill="1" applyBorder="1" applyAlignment="1">
      <alignment horizontal="right" vertical="center"/>
    </xf>
    <xf numFmtId="168" fontId="77" fillId="0" borderId="1" xfId="1111" applyNumberFormat="1" applyFont="1" applyFill="1" applyBorder="1" applyAlignment="1">
      <alignment horizontal="center" vertical="center"/>
    </xf>
    <xf numFmtId="168" fontId="77" fillId="0" borderId="1" xfId="1111" applyNumberFormat="1" applyFont="1" applyFill="1" applyBorder="1" applyAlignment="1">
      <alignment horizontal="left" vertical="center"/>
    </xf>
    <xf numFmtId="169" fontId="77" fillId="0" borderId="1" xfId="1111" applyNumberFormat="1" applyFont="1" applyFill="1" applyBorder="1" applyAlignment="1">
      <alignment horizontal="center" vertical="center"/>
    </xf>
    <xf numFmtId="168" fontId="77" fillId="0" borderId="1" xfId="1111" applyNumberFormat="1" applyFont="1" applyFill="1" applyBorder="1" applyAlignment="1">
      <alignment horizontal="right" vertical="center"/>
    </xf>
    <xf numFmtId="168" fontId="78" fillId="0" borderId="1" xfId="1111" applyNumberFormat="1" applyFont="1" applyFill="1" applyBorder="1" applyAlignment="1">
      <alignment horizontal="right" vertical="center"/>
    </xf>
    <xf numFmtId="168" fontId="78" fillId="0" borderId="1" xfId="1111" applyNumberFormat="1" applyFont="1" applyFill="1" applyBorder="1" applyAlignment="1">
      <alignment horizontal="left" vertical="center"/>
    </xf>
    <xf numFmtId="168" fontId="80" fillId="0" borderId="1" xfId="0" applyFont="1" applyFill="1" applyBorder="1" applyAlignment="1">
      <alignment horizontal="left" vertical="center"/>
    </xf>
    <xf numFmtId="168" fontId="78" fillId="0" borderId="1" xfId="1322" applyNumberFormat="1" applyFont="1" applyFill="1" applyBorder="1" applyAlignment="1">
      <alignment horizontal="right" vertical="center"/>
    </xf>
    <xf numFmtId="168" fontId="77" fillId="0" borderId="1" xfId="0" applyNumberFormat="1" applyFont="1" applyFill="1" applyBorder="1" applyAlignment="1">
      <alignment horizontal="right" vertical="center"/>
    </xf>
    <xf numFmtId="2" fontId="81" fillId="0" borderId="1" xfId="1192" applyNumberFormat="1" applyFont="1" applyFill="1" applyBorder="1" applyAlignment="1">
      <alignment vertical="center" wrapText="1"/>
    </xf>
    <xf numFmtId="170" fontId="77" fillId="0" borderId="1" xfId="0" applyNumberFormat="1" applyFont="1" applyFill="1" applyBorder="1" applyAlignment="1">
      <alignment horizontal="right" vertical="center"/>
    </xf>
    <xf numFmtId="169" fontId="77" fillId="0" borderId="1" xfId="0" applyNumberFormat="1" applyFont="1" applyFill="1" applyBorder="1" applyAlignment="1">
      <alignment horizontal="right" vertical="center"/>
    </xf>
    <xf numFmtId="168" fontId="77" fillId="0" borderId="0" xfId="1111" applyNumberFormat="1" applyFont="1" applyFill="1" applyBorder="1" applyAlignment="1">
      <alignment horizontal="left" vertical="center"/>
    </xf>
    <xf numFmtId="169" fontId="77" fillId="0" borderId="0" xfId="1111" applyNumberFormat="1" applyFont="1" applyFill="1" applyBorder="1" applyAlignment="1">
      <alignment horizontal="center" vertical="center"/>
    </xf>
    <xf numFmtId="168" fontId="77" fillId="0" borderId="0" xfId="1111" applyNumberFormat="1" applyFont="1" applyFill="1" applyBorder="1" applyAlignment="1">
      <alignment horizontal="right" vertical="center"/>
    </xf>
    <xf numFmtId="168" fontId="83" fillId="0" borderId="0" xfId="0" applyFont="1" applyFill="1" applyBorder="1" applyAlignment="1">
      <alignment vertical="center"/>
    </xf>
    <xf numFmtId="168" fontId="84" fillId="0" borderId="0" xfId="0" applyFont="1" applyFill="1" applyBorder="1" applyAlignment="1">
      <alignment vertical="center"/>
    </xf>
    <xf numFmtId="0" fontId="83" fillId="0" borderId="1" xfId="1323" applyNumberFormat="1" applyFont="1" applyFill="1" applyBorder="1" applyAlignment="1">
      <alignment horizontal="center" vertical="center"/>
    </xf>
    <xf numFmtId="1" fontId="84" fillId="0" borderId="1" xfId="1192" applyNumberFormat="1" applyFont="1" applyFill="1" applyBorder="1" applyAlignment="1">
      <alignment horizontal="center" vertical="center" wrapText="1"/>
    </xf>
    <xf numFmtId="168" fontId="84" fillId="0" borderId="1" xfId="1323" applyNumberFormat="1" applyFont="1" applyFill="1" applyBorder="1" applyAlignment="1">
      <alignment horizontal="right" vertical="center"/>
    </xf>
    <xf numFmtId="168" fontId="83" fillId="0" borderId="1" xfId="0" applyFont="1" applyFill="1" applyBorder="1" applyAlignment="1">
      <alignment vertical="center" wrapText="1"/>
    </xf>
    <xf numFmtId="169" fontId="84" fillId="0" borderId="1" xfId="1323" applyNumberFormat="1" applyFont="1" applyFill="1" applyBorder="1" applyAlignment="1">
      <alignment horizontal="center" vertical="center"/>
    </xf>
    <xf numFmtId="2" fontId="84" fillId="0" borderId="1" xfId="1192" applyNumberFormat="1" applyFont="1" applyFill="1" applyBorder="1" applyAlignment="1">
      <alignment horizontal="left" vertical="center" wrapText="1"/>
    </xf>
    <xf numFmtId="1" fontId="84" fillId="0" borderId="1" xfId="1323" applyNumberFormat="1" applyFont="1" applyFill="1" applyBorder="1" applyAlignment="1">
      <alignment horizontal="center" vertical="center"/>
    </xf>
    <xf numFmtId="168" fontId="84" fillId="0" borderId="1" xfId="1323" applyNumberFormat="1" applyFont="1" applyFill="1" applyBorder="1" applyAlignment="1">
      <alignment horizontal="left" vertical="center" wrapText="1"/>
    </xf>
    <xf numFmtId="168" fontId="84" fillId="0" borderId="0" xfId="1323" applyNumberFormat="1" applyFont="1" applyFill="1" applyBorder="1" applyAlignment="1">
      <alignment horizontal="left" vertical="center"/>
    </xf>
    <xf numFmtId="1" fontId="84" fillId="0" borderId="0" xfId="1323" applyNumberFormat="1" applyFont="1" applyFill="1" applyBorder="1" applyAlignment="1">
      <alignment horizontal="center" vertical="center"/>
    </xf>
    <xf numFmtId="169" fontId="84" fillId="0" borderId="0" xfId="1323" applyNumberFormat="1" applyFont="1" applyFill="1" applyBorder="1" applyAlignment="1">
      <alignment horizontal="center" vertical="center"/>
    </xf>
    <xf numFmtId="168" fontId="84" fillId="0" borderId="0" xfId="1323" applyNumberFormat="1" applyFont="1" applyFill="1" applyBorder="1" applyAlignment="1">
      <alignment horizontal="center" vertical="center"/>
    </xf>
    <xf numFmtId="168" fontId="84" fillId="0" borderId="1" xfId="1323" applyNumberFormat="1" applyFont="1" applyFill="1" applyBorder="1" applyAlignment="1">
      <alignment horizontal="center" vertical="center"/>
    </xf>
    <xf numFmtId="171" fontId="84" fillId="0" borderId="1" xfId="1323" applyNumberFormat="1" applyFont="1" applyFill="1" applyBorder="1" applyAlignment="1">
      <alignment horizontal="center" vertical="center"/>
    </xf>
    <xf numFmtId="168" fontId="83" fillId="0" borderId="1" xfId="1323" applyNumberFormat="1" applyFont="1" applyFill="1" applyBorder="1" applyAlignment="1">
      <alignment horizontal="right" vertical="center"/>
    </xf>
    <xf numFmtId="168" fontId="83" fillId="0" borderId="1" xfId="1323" applyNumberFormat="1" applyFont="1" applyFill="1" applyBorder="1" applyAlignment="1">
      <alignment horizontal="left" vertical="center"/>
    </xf>
    <xf numFmtId="1" fontId="84" fillId="28" borderId="1" xfId="1192" applyNumberFormat="1" applyFont="1" applyFill="1" applyBorder="1" applyAlignment="1">
      <alignment horizontal="center" vertical="center" wrapText="1"/>
    </xf>
    <xf numFmtId="168" fontId="83" fillId="28" borderId="1" xfId="1323" applyNumberFormat="1" applyFont="1" applyFill="1" applyBorder="1" applyAlignment="1">
      <alignment horizontal="right" vertical="center"/>
    </xf>
    <xf numFmtId="168" fontId="84" fillId="28" borderId="0" xfId="0" applyFont="1" applyFill="1" applyBorder="1" applyAlignment="1">
      <alignment vertical="center"/>
    </xf>
    <xf numFmtId="2" fontId="84" fillId="28" borderId="1" xfId="1192" applyNumberFormat="1" applyFont="1" applyFill="1" applyBorder="1" applyAlignment="1">
      <alignment horizontal="left" vertical="center" wrapText="1"/>
    </xf>
    <xf numFmtId="169" fontId="84" fillId="28" borderId="1" xfId="1323" applyNumberFormat="1" applyFont="1" applyFill="1" applyBorder="1" applyAlignment="1">
      <alignment horizontal="center" vertical="center"/>
    </xf>
    <xf numFmtId="168" fontId="84" fillId="28" borderId="1" xfId="1323" applyNumberFormat="1" applyFont="1" applyFill="1" applyBorder="1" applyAlignment="1">
      <alignment horizontal="right" vertical="center"/>
    </xf>
    <xf numFmtId="1" fontId="84" fillId="0" borderId="1" xfId="0" applyNumberFormat="1" applyFont="1" applyFill="1" applyBorder="1" applyAlignment="1">
      <alignment horizontal="center" vertical="center"/>
    </xf>
    <xf numFmtId="168" fontId="84" fillId="0" borderId="1" xfId="0" applyFont="1" applyFill="1" applyBorder="1" applyAlignment="1">
      <alignment horizontal="right" vertical="center"/>
    </xf>
    <xf numFmtId="168" fontId="84" fillId="0" borderId="1" xfId="0" applyFont="1" applyFill="1" applyBorder="1" applyAlignment="1">
      <alignment horizontal="center" vertical="center"/>
    </xf>
    <xf numFmtId="0" fontId="84" fillId="0" borderId="1" xfId="1323" applyNumberFormat="1" applyFont="1" applyFill="1" applyBorder="1" applyAlignment="1">
      <alignment horizontal="center" vertical="center"/>
    </xf>
    <xf numFmtId="168" fontId="84" fillId="0" borderId="1" xfId="0" applyFont="1" applyFill="1" applyBorder="1" applyAlignment="1">
      <alignment vertical="center" wrapText="1"/>
    </xf>
    <xf numFmtId="168" fontId="84" fillId="0" borderId="0" xfId="0" applyFont="1" applyFill="1" applyBorder="1" applyAlignment="1">
      <alignment horizontal="center" vertical="center"/>
    </xf>
    <xf numFmtId="1" fontId="84" fillId="0" borderId="0" xfId="0" applyNumberFormat="1" applyFont="1" applyFill="1" applyBorder="1" applyAlignment="1">
      <alignment horizontal="center" vertical="center"/>
    </xf>
    <xf numFmtId="168" fontId="84" fillId="0" borderId="0" xfId="0" applyFont="1" applyFill="1" applyBorder="1" applyAlignment="1">
      <alignment vertical="center" wrapText="1"/>
    </xf>
    <xf numFmtId="168" fontId="84" fillId="0" borderId="0" xfId="0" applyFont="1" applyFill="1" applyBorder="1" applyAlignment="1">
      <alignment horizontal="right" vertical="center"/>
    </xf>
    <xf numFmtId="168" fontId="24" fillId="0" borderId="1" xfId="0" applyFont="1" applyBorder="1" applyAlignment="1">
      <alignment horizontal="center" vertical="center"/>
    </xf>
    <xf numFmtId="1" fontId="25" fillId="0" borderId="36" xfId="1192" applyNumberFormat="1" applyFont="1" applyFill="1" applyBorder="1" applyAlignment="1">
      <alignment horizontal="center" vertical="center" wrapText="1"/>
    </xf>
    <xf numFmtId="2" fontId="25" fillId="0" borderId="37" xfId="0" applyNumberFormat="1" applyFont="1" applyFill="1" applyBorder="1" applyAlignment="1">
      <alignment horizontal="center" vertical="center"/>
    </xf>
    <xf numFmtId="0" fontId="25" fillId="0" borderId="0" xfId="0" applyNumberFormat="1" applyFont="1" applyFill="1" applyBorder="1" applyAlignment="1">
      <alignment horizontal="center" vertical="center"/>
    </xf>
    <xf numFmtId="169" fontId="25" fillId="0" borderId="36" xfId="0" applyNumberFormat="1" applyFont="1" applyFill="1" applyBorder="1" applyAlignment="1">
      <alignment horizontal="center" vertical="center"/>
    </xf>
    <xf numFmtId="0" fontId="25" fillId="0" borderId="1" xfId="0" applyNumberFormat="1" applyFont="1" applyFill="1" applyBorder="1" applyAlignment="1">
      <alignment horizontal="justify" vertical="center" wrapText="1"/>
    </xf>
    <xf numFmtId="0" fontId="25" fillId="0" borderId="1" xfId="0" applyNumberFormat="1" applyFont="1" applyFill="1" applyBorder="1" applyAlignment="1">
      <alignment horizontal="center" vertical="center"/>
    </xf>
    <xf numFmtId="2" fontId="25" fillId="0" borderId="1" xfId="0" applyNumberFormat="1" applyFont="1" applyFill="1" applyBorder="1" applyAlignment="1">
      <alignment horizontal="center" vertical="center"/>
    </xf>
    <xf numFmtId="2" fontId="25" fillId="0" borderId="0" xfId="0" applyNumberFormat="1" applyFont="1" applyFill="1" applyBorder="1" applyAlignment="1">
      <alignment horizontal="center" vertical="center"/>
    </xf>
    <xf numFmtId="0" fontId="25" fillId="0" borderId="1" xfId="0" applyNumberFormat="1" applyFont="1" applyFill="1" applyBorder="1" applyAlignment="1">
      <alignment horizontal="justify" vertical="center"/>
    </xf>
    <xf numFmtId="2" fontId="24" fillId="0" borderId="1" xfId="0" applyNumberFormat="1" applyFont="1" applyFill="1" applyBorder="1" applyAlignment="1">
      <alignment horizontal="center" vertical="center"/>
    </xf>
    <xf numFmtId="2" fontId="24" fillId="0" borderId="37" xfId="0" applyNumberFormat="1" applyFont="1" applyFill="1" applyBorder="1" applyAlignment="1">
      <alignment horizontal="center" vertical="center"/>
    </xf>
    <xf numFmtId="2" fontId="25" fillId="6" borderId="37" xfId="0" applyNumberFormat="1" applyFont="1" applyFill="1" applyBorder="1" applyAlignment="1">
      <alignment horizontal="center" vertical="center"/>
    </xf>
    <xf numFmtId="168" fontId="25" fillId="0" borderId="0" xfId="0" applyFont="1" applyFill="1" applyBorder="1" applyAlignment="1">
      <alignment horizontal="center" vertical="center"/>
    </xf>
    <xf numFmtId="168" fontId="25" fillId="0" borderId="1" xfId="0" applyFont="1" applyFill="1" applyBorder="1" applyAlignment="1">
      <alignment horizontal="justify" vertical="center" wrapText="1"/>
    </xf>
    <xf numFmtId="169" fontId="25" fillId="0" borderId="1" xfId="0" applyNumberFormat="1" applyFont="1" applyFill="1" applyBorder="1" applyAlignment="1">
      <alignment horizontal="center" vertical="center"/>
    </xf>
    <xf numFmtId="168" fontId="25" fillId="0" borderId="37" xfId="0" applyFont="1" applyFill="1" applyBorder="1" applyAlignment="1">
      <alignment horizontal="center" vertical="center"/>
    </xf>
    <xf numFmtId="168" fontId="24" fillId="0" borderId="1" xfId="0" applyFont="1" applyFill="1" applyBorder="1" applyAlignment="1">
      <alignment horizontal="center" vertical="center"/>
    </xf>
    <xf numFmtId="168" fontId="24" fillId="0" borderId="1" xfId="0" applyNumberFormat="1" applyFont="1" applyFill="1" applyBorder="1" applyAlignment="1">
      <alignment horizontal="center" vertical="center"/>
    </xf>
    <xf numFmtId="168" fontId="24" fillId="0" borderId="37" xfId="0" applyFont="1" applyFill="1" applyBorder="1" applyAlignment="1">
      <alignment horizontal="center" vertical="center"/>
    </xf>
    <xf numFmtId="169" fontId="25" fillId="0" borderId="36" xfId="0" applyNumberFormat="1" applyFont="1" applyBorder="1" applyAlignment="1">
      <alignment horizontal="center" vertical="top"/>
    </xf>
    <xf numFmtId="168" fontId="25" fillId="0" borderId="1" xfId="0" applyFont="1" applyBorder="1" applyAlignment="1">
      <alignment vertical="top" wrapText="1"/>
    </xf>
    <xf numFmtId="169" fontId="25" fillId="0" borderId="1" xfId="0" applyNumberFormat="1" applyFont="1" applyBorder="1" applyAlignment="1">
      <alignment horizontal="center" vertical="top"/>
    </xf>
    <xf numFmtId="168" fontId="25" fillId="0" borderId="1" xfId="0" applyFont="1" applyBorder="1" applyAlignment="1">
      <alignment horizontal="center" vertical="top"/>
    </xf>
    <xf numFmtId="168" fontId="25" fillId="0" borderId="37" xfId="0" applyFont="1" applyBorder="1" applyAlignment="1">
      <alignment horizontal="center" vertical="top"/>
    </xf>
    <xf numFmtId="168" fontId="25" fillId="0" borderId="0" xfId="0" applyFont="1" applyBorder="1" applyAlignment="1">
      <alignment vertical="top"/>
    </xf>
    <xf numFmtId="168" fontId="24" fillId="0" borderId="1" xfId="0" applyFont="1" applyBorder="1" applyAlignment="1">
      <alignment horizontal="center" vertical="top"/>
    </xf>
    <xf numFmtId="168" fontId="24" fillId="0" borderId="37" xfId="0" applyFont="1" applyBorder="1" applyAlignment="1">
      <alignment horizontal="center" vertical="top"/>
    </xf>
    <xf numFmtId="168" fontId="25" fillId="0" borderId="0" xfId="0" applyFont="1" applyAlignment="1">
      <alignment vertical="top" wrapText="1"/>
    </xf>
    <xf numFmtId="168" fontId="77" fillId="0" borderId="0" xfId="0" applyFont="1" applyFill="1" applyBorder="1" applyAlignment="1">
      <alignment horizontal="center" vertical="center"/>
    </xf>
    <xf numFmtId="0" fontId="78" fillId="0" borderId="1" xfId="0" applyNumberFormat="1" applyFont="1" applyFill="1" applyBorder="1" applyAlignment="1">
      <alignment horizontal="center" vertical="center"/>
    </xf>
    <xf numFmtId="168" fontId="78" fillId="0" borderId="0" xfId="0" applyFont="1" applyFill="1" applyBorder="1" applyAlignment="1">
      <alignment horizontal="center" vertical="center"/>
    </xf>
    <xf numFmtId="168" fontId="77" fillId="0" borderId="1" xfId="0" applyFont="1" applyFill="1" applyBorder="1" applyAlignment="1">
      <alignment horizontal="justify" vertical="center" wrapText="1"/>
    </xf>
    <xf numFmtId="2" fontId="77" fillId="0" borderId="1" xfId="1192" applyNumberFormat="1" applyFont="1" applyFill="1" applyBorder="1" applyAlignment="1">
      <alignment horizontal="center" vertical="center" wrapText="1"/>
    </xf>
    <xf numFmtId="168" fontId="78" fillId="0" borderId="1" xfId="0" applyFont="1" applyFill="1" applyBorder="1" applyAlignment="1">
      <alignment vertical="center"/>
    </xf>
    <xf numFmtId="168" fontId="78" fillId="0" borderId="1" xfId="0" applyFont="1" applyFill="1" applyBorder="1" applyAlignment="1">
      <alignment horizontal="center"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right" vertical="center"/>
    </xf>
    <xf numFmtId="2" fontId="77" fillId="0" borderId="1" xfId="1192" applyNumberFormat="1" applyFont="1" applyFill="1" applyBorder="1" applyAlignment="1">
      <alignment vertical="center" wrapText="1"/>
    </xf>
    <xf numFmtId="0" fontId="2" fillId="0" borderId="1" xfId="0" applyNumberFormat="1" applyFont="1" applyFill="1" applyBorder="1" applyAlignment="1">
      <alignment horizontal="center" vertical="center"/>
    </xf>
    <xf numFmtId="2" fontId="2" fillId="0" borderId="1" xfId="0" applyNumberFormat="1" applyFont="1" applyFill="1" applyBorder="1" applyAlignment="1">
      <alignment horizontal="right" vertical="center"/>
    </xf>
    <xf numFmtId="2" fontId="34" fillId="0" borderId="1" xfId="0" applyNumberFormat="1" applyFont="1" applyFill="1" applyBorder="1" applyAlignment="1">
      <alignment horizontal="left" vertical="center"/>
    </xf>
    <xf numFmtId="0" fontId="77" fillId="0" borderId="1" xfId="0" applyNumberFormat="1" applyFont="1" applyFill="1" applyBorder="1" applyAlignment="1">
      <alignment horizontal="center" vertical="center" wrapText="1"/>
    </xf>
    <xf numFmtId="168" fontId="78" fillId="0" borderId="1" xfId="0" applyFont="1" applyFill="1" applyBorder="1" applyAlignment="1">
      <alignment horizontal="justify" vertical="center" wrapText="1"/>
    </xf>
    <xf numFmtId="169"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horizontal="left" vertical="center" wrapText="1"/>
    </xf>
    <xf numFmtId="0" fontId="78" fillId="0" borderId="1" xfId="0" applyNumberFormat="1" applyFont="1" applyFill="1" applyBorder="1" applyAlignment="1">
      <alignment horizontal="left" vertical="center" wrapText="1"/>
    </xf>
    <xf numFmtId="1"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vertical="center" wrapText="1"/>
    </xf>
    <xf numFmtId="2" fontId="78" fillId="0" borderId="1" xfId="0" applyNumberFormat="1" applyFont="1" applyFill="1" applyBorder="1" applyAlignment="1">
      <alignment horizontal="right" vertical="center"/>
    </xf>
    <xf numFmtId="0" fontId="77" fillId="0" borderId="1" xfId="0" applyNumberFormat="1" applyFont="1" applyFill="1" applyBorder="1" applyAlignment="1">
      <alignment vertical="center" wrapText="1"/>
    </xf>
    <xf numFmtId="0" fontId="77" fillId="0" borderId="1" xfId="0" applyNumberFormat="1" applyFont="1" applyFill="1" applyBorder="1" applyAlignment="1">
      <alignment horizontal="center" vertical="center"/>
    </xf>
    <xf numFmtId="2" fontId="77" fillId="0" borderId="1" xfId="0" applyNumberFormat="1" applyFont="1" applyFill="1" applyBorder="1" applyAlignment="1">
      <alignment horizontal="right" vertical="center"/>
    </xf>
    <xf numFmtId="0" fontId="77" fillId="0" borderId="1" xfId="1192" applyNumberFormat="1" applyFont="1" applyFill="1" applyBorder="1" applyAlignment="1">
      <alignment horizontal="center" vertical="center" wrapText="1"/>
    </xf>
    <xf numFmtId="0" fontId="77" fillId="0" borderId="1" xfId="0" applyNumberFormat="1" applyFont="1" applyFill="1" applyBorder="1" applyAlignment="1">
      <alignment horizontal="right" vertical="center" wrapText="1"/>
    </xf>
    <xf numFmtId="1" fontId="77" fillId="0" borderId="0" xfId="0" applyNumberFormat="1" applyFont="1" applyFill="1" applyBorder="1" applyAlignment="1">
      <alignment horizontal="center" vertical="center"/>
    </xf>
    <xf numFmtId="168" fontId="77" fillId="0" borderId="0" xfId="0" applyFont="1" applyFill="1" applyBorder="1" applyAlignment="1">
      <alignment horizontal="right" vertical="center"/>
    </xf>
    <xf numFmtId="168" fontId="78" fillId="0" borderId="0" xfId="0" applyFont="1" applyFill="1" applyBorder="1" applyAlignment="1">
      <alignment vertical="center"/>
    </xf>
    <xf numFmtId="0" fontId="87" fillId="0" borderId="0" xfId="0" applyNumberFormat="1" applyFont="1" applyFill="1" applyBorder="1" applyAlignment="1">
      <alignment horizontal="center" vertical="center" wrapText="1"/>
    </xf>
    <xf numFmtId="0" fontId="52" fillId="0" borderId="0" xfId="0" applyNumberFormat="1" applyFont="1" applyFill="1" applyBorder="1" applyAlignment="1">
      <alignment horizontal="center" vertical="center" wrapText="1"/>
    </xf>
    <xf numFmtId="0" fontId="86" fillId="0" borderId="0" xfId="0" applyNumberFormat="1" applyFont="1" applyFill="1" applyBorder="1" applyAlignment="1">
      <alignment horizontal="center" vertical="center" wrapText="1"/>
    </xf>
    <xf numFmtId="0" fontId="89" fillId="0" borderId="0" xfId="0" applyNumberFormat="1" applyFont="1" applyFill="1" applyBorder="1" applyAlignment="1">
      <alignment horizontal="center" vertical="center" wrapText="1"/>
    </xf>
    <xf numFmtId="0" fontId="54" fillId="0" borderId="0" xfId="0" applyNumberFormat="1" applyFont="1" applyFill="1" applyBorder="1" applyAlignment="1">
      <alignment horizontal="center" vertical="center"/>
    </xf>
    <xf numFmtId="0" fontId="53" fillId="0" borderId="1" xfId="0" applyNumberFormat="1" applyFont="1" applyFill="1" applyBorder="1" applyAlignment="1">
      <alignment horizontal="center" vertical="center"/>
    </xf>
    <xf numFmtId="168" fontId="90" fillId="0" borderId="1" xfId="0" applyFont="1" applyFill="1" applyBorder="1" applyAlignment="1">
      <alignment vertical="center" wrapText="1"/>
    </xf>
    <xf numFmtId="0" fontId="50" fillId="28" borderId="1" xfId="0" applyNumberFormat="1" applyFont="1" applyFill="1" applyBorder="1" applyAlignment="1">
      <alignment horizontal="left" vertical="center" wrapText="1"/>
    </xf>
    <xf numFmtId="0" fontId="54" fillId="28" borderId="1" xfId="0" applyNumberFormat="1" applyFont="1" applyFill="1" applyBorder="1" applyAlignment="1">
      <alignment horizontal="left" vertical="center" wrapText="1"/>
    </xf>
    <xf numFmtId="1" fontId="50" fillId="0" borderId="0" xfId="0" applyNumberFormat="1" applyFont="1" applyFill="1" applyBorder="1" applyAlignment="1">
      <alignment horizontal="center" vertical="center"/>
    </xf>
    <xf numFmtId="168" fontId="54" fillId="0" borderId="0" xfId="0" applyFont="1" applyFill="1" applyBorder="1" applyAlignment="1">
      <alignment vertical="center"/>
    </xf>
    <xf numFmtId="168" fontId="12" fillId="0" borderId="0" xfId="0" applyFont="1" applyFill="1" applyAlignment="1">
      <alignment vertical="center"/>
    </xf>
    <xf numFmtId="2" fontId="91" fillId="0" borderId="0" xfId="1115" applyNumberFormat="1" applyFont="1" applyFill="1" applyBorder="1" applyAlignment="1">
      <alignment vertical="center"/>
    </xf>
    <xf numFmtId="168" fontId="12" fillId="0" borderId="0" xfId="0" applyFont="1" applyFill="1" applyBorder="1" applyAlignment="1">
      <alignment vertical="center"/>
    </xf>
    <xf numFmtId="0" fontId="92" fillId="0" borderId="0" xfId="1115" applyFont="1" applyFill="1" applyBorder="1" applyAlignment="1">
      <alignment horizontal="left" vertical="center"/>
    </xf>
    <xf numFmtId="2" fontId="92" fillId="0" borderId="1" xfId="1115" applyNumberFormat="1" applyFont="1" applyFill="1" applyBorder="1" applyAlignment="1">
      <alignment horizontal="right" vertical="center"/>
    </xf>
    <xf numFmtId="176" fontId="92" fillId="0" borderId="1" xfId="1115" applyNumberFormat="1" applyFont="1" applyFill="1" applyBorder="1" applyAlignment="1">
      <alignment horizontal="right" vertical="center"/>
    </xf>
    <xf numFmtId="2" fontId="91" fillId="0" borderId="1" xfId="1115" applyNumberFormat="1" applyFont="1" applyFill="1" applyBorder="1" applyAlignment="1">
      <alignment horizontal="right" vertical="center"/>
    </xf>
    <xf numFmtId="0" fontId="91" fillId="0" borderId="1" xfId="1115" applyFont="1" applyFill="1" applyBorder="1" applyAlignment="1">
      <alignment horizontal="center" vertical="center"/>
    </xf>
    <xf numFmtId="0" fontId="91" fillId="0" borderId="1" xfId="1115" applyFont="1" applyFill="1" applyBorder="1" applyAlignment="1">
      <alignment horizontal="justify" vertical="center" wrapText="1"/>
    </xf>
    <xf numFmtId="0" fontId="91" fillId="0" borderId="1" xfId="1115" applyFont="1" applyFill="1" applyBorder="1" applyAlignment="1">
      <alignment horizontal="right" vertical="center"/>
    </xf>
    <xf numFmtId="2" fontId="91" fillId="0" borderId="1" xfId="1115" applyNumberFormat="1" applyFont="1" applyFill="1" applyBorder="1" applyAlignment="1">
      <alignment vertical="center"/>
    </xf>
    <xf numFmtId="2" fontId="91" fillId="0" borderId="15" xfId="1115" applyNumberFormat="1" applyFont="1" applyFill="1" applyBorder="1" applyAlignment="1">
      <alignment vertical="center"/>
    </xf>
    <xf numFmtId="168" fontId="12" fillId="6" borderId="0" xfId="0" applyFont="1" applyFill="1" applyAlignment="1">
      <alignment vertical="center"/>
    </xf>
    <xf numFmtId="0" fontId="92" fillId="6" borderId="0" xfId="1115" applyFont="1" applyFill="1" applyBorder="1" applyAlignment="1">
      <alignment horizontal="left" vertical="center"/>
    </xf>
    <xf numFmtId="2" fontId="91" fillId="6" borderId="1" xfId="1115" applyNumberFormat="1" applyFont="1" applyFill="1" applyBorder="1" applyAlignment="1">
      <alignment horizontal="right" vertical="center"/>
    </xf>
    <xf numFmtId="2" fontId="91" fillId="6" borderId="17" xfId="1115" applyNumberFormat="1" applyFont="1" applyFill="1" applyBorder="1" applyAlignment="1">
      <alignment vertical="center"/>
    </xf>
    <xf numFmtId="2" fontId="91" fillId="6" borderId="1" xfId="1115" applyNumberFormat="1" applyFont="1" applyFill="1" applyBorder="1" applyAlignment="1">
      <alignment vertical="center"/>
    </xf>
    <xf numFmtId="2" fontId="91" fillId="6" borderId="15" xfId="1115" applyNumberFormat="1" applyFont="1" applyFill="1" applyBorder="1" applyAlignment="1">
      <alignment vertical="center"/>
    </xf>
    <xf numFmtId="0" fontId="91" fillId="6" borderId="1" xfId="1115" applyFont="1" applyFill="1" applyBorder="1" applyAlignment="1">
      <alignment horizontal="center" vertical="center"/>
    </xf>
    <xf numFmtId="0" fontId="91" fillId="6" borderId="1" xfId="1115" applyFont="1" applyFill="1" applyBorder="1" applyAlignment="1">
      <alignment horizontal="justify" vertical="center" wrapText="1"/>
    </xf>
    <xf numFmtId="0" fontId="91" fillId="6" borderId="1" xfId="1115" applyFont="1" applyFill="1" applyBorder="1" applyAlignment="1">
      <alignment horizontal="right" vertical="center"/>
    </xf>
    <xf numFmtId="175" fontId="91" fillId="0" borderId="1" xfId="1115" applyNumberFormat="1" applyFont="1" applyFill="1" applyBorder="1" applyAlignment="1">
      <alignment horizontal="right" vertical="center"/>
    </xf>
    <xf numFmtId="176" fontId="91" fillId="0" borderId="1" xfId="1115" applyNumberFormat="1" applyFont="1" applyFill="1" applyBorder="1" applyAlignment="1">
      <alignment horizontal="right" vertical="center"/>
    </xf>
    <xf numFmtId="2" fontId="93" fillId="0" borderId="1" xfId="1115" applyNumberFormat="1" applyFont="1" applyFill="1" applyBorder="1" applyAlignment="1">
      <alignment horizontal="right" vertical="center"/>
    </xf>
    <xf numFmtId="0" fontId="91" fillId="0" borderId="1" xfId="1055" applyFont="1" applyFill="1" applyBorder="1" applyAlignment="1">
      <alignment horizontal="right" vertical="center" wrapText="1"/>
    </xf>
    <xf numFmtId="168" fontId="94" fillId="0" borderId="0" xfId="0" applyFont="1" applyFill="1" applyAlignment="1">
      <alignment vertical="center"/>
    </xf>
    <xf numFmtId="176" fontId="92" fillId="0" borderId="1" xfId="1115" applyNumberFormat="1" applyFont="1" applyFill="1" applyBorder="1" applyAlignment="1">
      <alignment horizontal="center" vertical="center"/>
    </xf>
    <xf numFmtId="0" fontId="92" fillId="0" borderId="1" xfId="1115" applyFont="1" applyFill="1" applyBorder="1" applyAlignment="1">
      <alignment horizontal="center" vertical="center"/>
    </xf>
    <xf numFmtId="0" fontId="95" fillId="0" borderId="0" xfId="1115" applyFont="1" applyFill="1" applyBorder="1" applyAlignment="1">
      <alignment vertical="center"/>
    </xf>
    <xf numFmtId="0" fontId="96" fillId="0" borderId="0" xfId="1115" applyFont="1" applyFill="1" applyBorder="1" applyAlignment="1">
      <alignment horizontal="center" vertical="center"/>
    </xf>
    <xf numFmtId="0" fontId="97" fillId="0" borderId="0" xfId="1115" applyFont="1" applyFill="1" applyBorder="1" applyAlignment="1">
      <alignment vertical="center" wrapText="1"/>
    </xf>
    <xf numFmtId="168" fontId="99" fillId="0" borderId="0" xfId="0" applyFont="1" applyFill="1" applyBorder="1" applyAlignment="1">
      <alignment vertical="center"/>
    </xf>
    <xf numFmtId="0" fontId="98" fillId="0" borderId="0" xfId="0" applyNumberFormat="1" applyFont="1" applyFill="1" applyBorder="1" applyAlignment="1">
      <alignment horizontal="center" vertical="center" wrapText="1"/>
    </xf>
    <xf numFmtId="0" fontId="100" fillId="0" borderId="1" xfId="0" applyNumberFormat="1" applyFont="1" applyFill="1" applyBorder="1" applyAlignment="1">
      <alignment horizontal="center" vertical="center"/>
    </xf>
    <xf numFmtId="1" fontId="99" fillId="0" borderId="1" xfId="1192" applyNumberFormat="1" applyFont="1" applyFill="1" applyBorder="1" applyAlignment="1">
      <alignment horizontal="center" vertical="center" wrapText="1"/>
    </xf>
    <xf numFmtId="168" fontId="99" fillId="0" borderId="1" xfId="0" applyFont="1" applyFill="1" applyBorder="1" applyAlignment="1">
      <alignment horizontal="right" vertical="center"/>
    </xf>
    <xf numFmtId="168" fontId="99" fillId="0" borderId="1" xfId="0" applyFont="1" applyFill="1" applyBorder="1" applyAlignment="1">
      <alignment vertical="center"/>
    </xf>
    <xf numFmtId="1" fontId="99" fillId="0" borderId="1" xfId="0" applyNumberFormat="1" applyFont="1" applyFill="1" applyBorder="1" applyAlignment="1">
      <alignment horizontal="center" vertical="center"/>
    </xf>
    <xf numFmtId="168" fontId="100" fillId="0" borderId="1" xfId="0" applyFont="1" applyFill="1" applyBorder="1" applyAlignment="1">
      <alignment horizontal="right" vertical="center"/>
    </xf>
    <xf numFmtId="168" fontId="100" fillId="0" borderId="1" xfId="0" applyFont="1" applyFill="1" applyBorder="1" applyAlignment="1">
      <alignment horizontal="left" vertical="center"/>
    </xf>
    <xf numFmtId="168" fontId="99" fillId="0" borderId="1" xfId="0" applyNumberFormat="1" applyFont="1" applyFill="1" applyBorder="1" applyAlignment="1">
      <alignment horizontal="right" vertical="center"/>
    </xf>
    <xf numFmtId="170" fontId="99" fillId="0" borderId="1" xfId="0" applyNumberFormat="1" applyFont="1" applyFill="1" applyBorder="1" applyAlignment="1">
      <alignment horizontal="right" vertical="center"/>
    </xf>
    <xf numFmtId="175" fontId="99" fillId="0" borderId="1" xfId="0" applyNumberFormat="1" applyFont="1" applyFill="1" applyBorder="1" applyAlignment="1">
      <alignment horizontal="center" vertical="center"/>
    </xf>
    <xf numFmtId="2" fontId="99" fillId="0" borderId="1" xfId="1192" applyNumberFormat="1" applyFont="1" applyFill="1" applyBorder="1" applyAlignment="1">
      <alignment vertical="center" wrapText="1"/>
    </xf>
    <xf numFmtId="168" fontId="99" fillId="0" borderId="1" xfId="0" applyFont="1" applyFill="1" applyBorder="1" applyAlignment="1">
      <alignment horizontal="left" vertical="center" wrapText="1"/>
    </xf>
    <xf numFmtId="168" fontId="99" fillId="0" borderId="1" xfId="0" applyFont="1" applyFill="1" applyBorder="1" applyAlignment="1">
      <alignment horizontal="left" vertical="center"/>
    </xf>
    <xf numFmtId="168" fontId="99" fillId="0" borderId="1" xfId="0" applyFont="1" applyFill="1" applyBorder="1" applyAlignment="1">
      <alignment horizontal="justify" vertical="center"/>
    </xf>
    <xf numFmtId="168" fontId="99" fillId="0" borderId="1" xfId="0" applyFont="1" applyFill="1" applyBorder="1" applyAlignment="1">
      <alignment vertical="center" wrapText="1"/>
    </xf>
    <xf numFmtId="1" fontId="99" fillId="6" borderId="1" xfId="1192" applyNumberFormat="1" applyFont="1" applyFill="1" applyBorder="1" applyAlignment="1">
      <alignment horizontal="center" vertical="center" wrapText="1"/>
    </xf>
    <xf numFmtId="2" fontId="99" fillId="6" borderId="1" xfId="1192" applyNumberFormat="1" applyFont="1" applyFill="1" applyBorder="1" applyAlignment="1">
      <alignment vertical="center" wrapText="1"/>
    </xf>
    <xf numFmtId="2" fontId="99" fillId="6" borderId="1" xfId="0" applyNumberFormat="1" applyFont="1" applyFill="1" applyBorder="1" applyAlignment="1">
      <alignment vertical="center"/>
    </xf>
    <xf numFmtId="168" fontId="99" fillId="6" borderId="1" xfId="0" applyFont="1" applyFill="1" applyBorder="1" applyAlignment="1">
      <alignment horizontal="center" vertical="center"/>
    </xf>
    <xf numFmtId="168" fontId="99" fillId="6" borderId="1" xfId="0" applyFont="1" applyFill="1" applyBorder="1" applyAlignment="1">
      <alignment horizontal="right" vertical="center"/>
    </xf>
    <xf numFmtId="168" fontId="99" fillId="6" borderId="0" xfId="0" applyFont="1" applyFill="1" applyBorder="1" applyAlignment="1">
      <alignment vertical="center"/>
    </xf>
    <xf numFmtId="1" fontId="99" fillId="6" borderId="1" xfId="0" applyNumberFormat="1" applyFont="1" applyFill="1" applyBorder="1" applyAlignment="1">
      <alignment horizontal="center" vertical="center"/>
    </xf>
    <xf numFmtId="168" fontId="100" fillId="6" borderId="1" xfId="0" applyFont="1" applyFill="1" applyBorder="1" applyAlignment="1">
      <alignment horizontal="right" vertical="center"/>
    </xf>
    <xf numFmtId="170" fontId="100" fillId="6" borderId="1" xfId="0" applyNumberFormat="1" applyFont="1" applyFill="1" applyBorder="1" applyAlignment="1">
      <alignment horizontal="right" vertical="center"/>
    </xf>
    <xf numFmtId="168" fontId="100" fillId="6" borderId="1" xfId="0" applyFont="1" applyFill="1" applyBorder="1" applyAlignment="1">
      <alignment horizontal="left" vertical="center"/>
    </xf>
    <xf numFmtId="168" fontId="100" fillId="0" borderId="1" xfId="0" applyFont="1" applyFill="1" applyBorder="1" applyAlignment="1">
      <alignment vertical="center" wrapText="1"/>
    </xf>
    <xf numFmtId="168" fontId="99" fillId="0" borderId="1" xfId="0" applyFont="1" applyFill="1" applyBorder="1" applyAlignment="1">
      <alignment horizontal="center" vertical="center"/>
    </xf>
    <xf numFmtId="170" fontId="99" fillId="0" borderId="1" xfId="0" applyNumberFormat="1" applyFont="1" applyFill="1" applyBorder="1" applyAlignment="1">
      <alignment horizontal="left" vertical="center"/>
    </xf>
    <xf numFmtId="1" fontId="99" fillId="0" borderId="0" xfId="1192" applyNumberFormat="1" applyFont="1" applyFill="1" applyBorder="1" applyAlignment="1">
      <alignment horizontal="center" vertical="center" wrapText="1"/>
    </xf>
    <xf numFmtId="168" fontId="99" fillId="0" borderId="0" xfId="0" applyFont="1" applyFill="1" applyBorder="1" applyAlignment="1">
      <alignment vertical="center" wrapText="1"/>
    </xf>
    <xf numFmtId="1" fontId="99" fillId="0" borderId="0" xfId="0" applyNumberFormat="1" applyFont="1" applyFill="1" applyBorder="1" applyAlignment="1">
      <alignment horizontal="center" vertical="center"/>
    </xf>
    <xf numFmtId="168" fontId="99" fillId="0" borderId="0" xfId="0" applyFont="1" applyFill="1" applyBorder="1" applyAlignment="1">
      <alignment horizontal="right" vertical="center"/>
    </xf>
    <xf numFmtId="168" fontId="100" fillId="0" borderId="0" xfId="0" applyFont="1" applyFill="1" applyBorder="1" applyAlignment="1">
      <alignment horizontal="right" vertical="center"/>
    </xf>
    <xf numFmtId="168" fontId="100" fillId="0" borderId="0" xfId="0" applyFont="1" applyFill="1" applyBorder="1" applyAlignment="1">
      <alignment horizontal="left" vertical="center"/>
    </xf>
    <xf numFmtId="168" fontId="99" fillId="0" borderId="0" xfId="0" applyFont="1" applyFill="1" applyBorder="1" applyAlignment="1">
      <alignment horizontal="center" vertical="center"/>
    </xf>
    <xf numFmtId="0" fontId="77" fillId="0" borderId="0" xfId="1325" applyFont="1" applyFill="1" applyAlignment="1">
      <alignment vertical="center"/>
    </xf>
    <xf numFmtId="0" fontId="86" fillId="0" borderId="0" xfId="1325" applyFont="1" applyFill="1" applyBorder="1" applyAlignment="1">
      <alignment horizontal="center" vertical="center" wrapText="1"/>
    </xf>
    <xf numFmtId="0" fontId="51" fillId="0" borderId="0" xfId="1325" applyFont="1" applyFill="1" applyAlignment="1">
      <alignment vertical="center"/>
    </xf>
    <xf numFmtId="0" fontId="53" fillId="0" borderId="0" xfId="1325" applyFont="1" applyFill="1" applyAlignment="1">
      <alignment horizontal="left" vertical="center"/>
    </xf>
    <xf numFmtId="0" fontId="101" fillId="0" borderId="0" xfId="1325" applyNumberFormat="1" applyFont="1" applyFill="1" applyAlignment="1">
      <alignment horizontal="center" vertical="center"/>
    </xf>
    <xf numFmtId="0" fontId="102" fillId="0" borderId="1" xfId="1325" applyNumberFormat="1" applyFont="1" applyFill="1" applyBorder="1" applyAlignment="1">
      <alignment horizontal="center" vertical="center" wrapText="1"/>
    </xf>
    <xf numFmtId="0" fontId="102" fillId="0" borderId="1" xfId="1325" applyNumberFormat="1" applyFont="1" applyFill="1" applyBorder="1" applyAlignment="1">
      <alignment horizontal="center" vertical="center"/>
    </xf>
    <xf numFmtId="0" fontId="78" fillId="0" borderId="1" xfId="1325" applyFont="1" applyFill="1" applyBorder="1" applyAlignment="1">
      <alignment horizontal="center" vertical="center"/>
    </xf>
    <xf numFmtId="0" fontId="80" fillId="0" borderId="1" xfId="1325" applyFont="1" applyFill="1" applyBorder="1" applyAlignment="1">
      <alignment horizontal="center" vertical="center"/>
    </xf>
    <xf numFmtId="0" fontId="103" fillId="0" borderId="1" xfId="1325" applyNumberFormat="1" applyFont="1" applyFill="1" applyBorder="1" applyAlignment="1">
      <alignment horizontal="center" vertical="center"/>
    </xf>
    <xf numFmtId="0" fontId="77" fillId="0" borderId="1" xfId="1325" applyFont="1" applyFill="1" applyBorder="1" applyAlignment="1">
      <alignment vertical="center"/>
    </xf>
    <xf numFmtId="0" fontId="102" fillId="0" borderId="1" xfId="1325" applyNumberFormat="1" applyFont="1" applyFill="1" applyBorder="1" applyAlignment="1">
      <alignment horizontal="left" vertical="center"/>
    </xf>
    <xf numFmtId="2" fontId="102" fillId="0" borderId="1" xfId="1325" applyNumberFormat="1" applyFont="1" applyFill="1" applyBorder="1" applyAlignment="1">
      <alignment horizontal="left" vertical="center" wrapText="1"/>
    </xf>
    <xf numFmtId="0" fontId="103" fillId="0" borderId="1" xfId="1325" applyNumberFormat="1" applyFont="1" applyFill="1" applyBorder="1" applyAlignment="1">
      <alignment horizontal="right" vertical="center"/>
    </xf>
    <xf numFmtId="0" fontId="103" fillId="0" borderId="1" xfId="1325" applyNumberFormat="1" applyFont="1" applyFill="1" applyBorder="1" applyAlignment="1">
      <alignment horizontal="left" vertical="center"/>
    </xf>
    <xf numFmtId="169" fontId="77" fillId="0" borderId="1" xfId="1325" applyNumberFormat="1" applyFont="1" applyFill="1" applyBorder="1" applyAlignment="1">
      <alignment horizontal="center" vertical="center"/>
    </xf>
    <xf numFmtId="2" fontId="103" fillId="0" borderId="1" xfId="1325" applyNumberFormat="1" applyFont="1" applyFill="1" applyBorder="1" applyAlignment="1">
      <alignment horizontal="right" vertical="center"/>
    </xf>
    <xf numFmtId="0" fontId="81" fillId="0" borderId="1" xfId="1325" applyFont="1" applyFill="1" applyBorder="1" applyAlignment="1">
      <alignment vertical="center"/>
    </xf>
    <xf numFmtId="2" fontId="102" fillId="0" borderId="1" xfId="1325" applyNumberFormat="1" applyFont="1" applyFill="1" applyBorder="1" applyAlignment="1">
      <alignment horizontal="left" vertical="center"/>
    </xf>
    <xf numFmtId="0" fontId="103" fillId="0" borderId="1" xfId="1325" applyNumberFormat="1" applyFont="1" applyFill="1" applyBorder="1" applyAlignment="1">
      <alignment horizontal="left" vertical="center" wrapText="1"/>
    </xf>
    <xf numFmtId="0" fontId="102" fillId="0" borderId="1" xfId="1325" applyNumberFormat="1" applyFont="1" applyFill="1" applyBorder="1" applyAlignment="1">
      <alignment horizontal="left" vertical="center" wrapText="1"/>
    </xf>
    <xf numFmtId="0" fontId="103" fillId="0" borderId="1" xfId="1325" applyNumberFormat="1" applyFont="1" applyFill="1" applyBorder="1" applyAlignment="1">
      <alignment horizontal="left" vertical="top" wrapText="1"/>
    </xf>
    <xf numFmtId="0" fontId="78" fillId="0" borderId="1" xfId="1325" applyFont="1" applyFill="1" applyBorder="1" applyAlignment="1">
      <alignment horizontal="left" vertical="center"/>
    </xf>
    <xf numFmtId="169" fontId="103" fillId="0" borderId="1" xfId="1325" applyNumberFormat="1" applyFont="1" applyFill="1" applyBorder="1" applyAlignment="1">
      <alignment horizontal="center" vertical="center"/>
    </xf>
    <xf numFmtId="0" fontId="102" fillId="0" borderId="1" xfId="1325" applyNumberFormat="1" applyFont="1" applyFill="1" applyBorder="1" applyAlignment="1">
      <alignment horizontal="right" vertical="center"/>
    </xf>
    <xf numFmtId="2" fontId="102" fillId="0" borderId="1" xfId="1325" applyNumberFormat="1" applyFont="1" applyFill="1" applyBorder="1" applyAlignment="1">
      <alignment horizontal="right" vertical="center"/>
    </xf>
    <xf numFmtId="2" fontId="78" fillId="0" borderId="1" xfId="1192" applyNumberFormat="1" applyFont="1" applyFill="1" applyBorder="1" applyAlignment="1">
      <alignment vertical="center" wrapText="1"/>
    </xf>
    <xf numFmtId="2" fontId="103" fillId="0" borderId="1" xfId="1325" applyNumberFormat="1" applyFont="1" applyFill="1" applyBorder="1" applyAlignment="1">
      <alignment horizontal="left" vertical="center" wrapText="1"/>
    </xf>
    <xf numFmtId="2" fontId="103" fillId="6" borderId="1" xfId="1325" applyNumberFormat="1" applyFont="1" applyFill="1" applyBorder="1" applyAlignment="1">
      <alignment horizontal="right" vertical="center"/>
    </xf>
    <xf numFmtId="176" fontId="103" fillId="0" borderId="1" xfId="1325" applyNumberFormat="1" applyFont="1" applyFill="1" applyBorder="1" applyAlignment="1">
      <alignment horizontal="right" vertical="center"/>
    </xf>
    <xf numFmtId="0" fontId="77" fillId="0" borderId="1" xfId="1325" applyNumberFormat="1" applyFont="1" applyFill="1" applyBorder="1" applyAlignment="1">
      <alignment horizontal="center" vertical="center"/>
    </xf>
    <xf numFmtId="0" fontId="77" fillId="0" borderId="1" xfId="1325" applyNumberFormat="1" applyFont="1" applyFill="1" applyBorder="1" applyAlignment="1">
      <alignment horizontal="left" vertical="center"/>
    </xf>
    <xf numFmtId="0" fontId="77" fillId="0" borderId="1" xfId="1325" applyNumberFormat="1" applyFont="1" applyFill="1" applyBorder="1" applyAlignment="1">
      <alignment horizontal="right" vertical="center"/>
    </xf>
    <xf numFmtId="2" fontId="77" fillId="0" borderId="1" xfId="1325" applyNumberFormat="1" applyFont="1" applyFill="1" applyBorder="1" applyAlignment="1">
      <alignment horizontal="right" vertical="center"/>
    </xf>
    <xf numFmtId="0" fontId="77" fillId="6" borderId="1" xfId="1325" applyNumberFormat="1" applyFont="1" applyFill="1" applyBorder="1" applyAlignment="1">
      <alignment horizontal="center" vertical="center"/>
    </xf>
    <xf numFmtId="0" fontId="77" fillId="6" borderId="1" xfId="1325" applyNumberFormat="1" applyFont="1" applyFill="1" applyBorder="1" applyAlignment="1">
      <alignment horizontal="left" vertical="center" wrapText="1"/>
    </xf>
    <xf numFmtId="169" fontId="77" fillId="6" borderId="1" xfId="1325" applyNumberFormat="1" applyFont="1" applyFill="1" applyBorder="1" applyAlignment="1">
      <alignment horizontal="center" vertical="center"/>
    </xf>
    <xf numFmtId="168" fontId="77" fillId="6" borderId="1" xfId="1325" applyNumberFormat="1" applyFont="1" applyFill="1" applyBorder="1" applyAlignment="1">
      <alignment horizontal="right" vertical="center"/>
    </xf>
    <xf numFmtId="2" fontId="77" fillId="6" borderId="1" xfId="1325" applyNumberFormat="1" applyFont="1" applyFill="1" applyBorder="1" applyAlignment="1">
      <alignment horizontal="right" vertical="center"/>
    </xf>
    <xf numFmtId="0" fontId="77" fillId="6" borderId="1" xfId="1325" applyNumberFormat="1" applyFont="1" applyFill="1" applyBorder="1" applyAlignment="1">
      <alignment horizontal="right" vertical="center"/>
    </xf>
    <xf numFmtId="0" fontId="77" fillId="6" borderId="1" xfId="1325" applyFont="1" applyFill="1" applyBorder="1" applyAlignment="1">
      <alignment vertical="center"/>
    </xf>
    <xf numFmtId="2" fontId="78" fillId="6" borderId="1" xfId="1325" applyNumberFormat="1" applyFont="1" applyFill="1" applyBorder="1" applyAlignment="1">
      <alignment horizontal="left" vertical="center"/>
    </xf>
    <xf numFmtId="0" fontId="77" fillId="6" borderId="0" xfId="1325" applyFont="1" applyFill="1" applyAlignment="1">
      <alignment vertical="center"/>
    </xf>
    <xf numFmtId="0" fontId="77" fillId="0" borderId="1" xfId="1325" applyFont="1" applyFill="1" applyBorder="1" applyAlignment="1">
      <alignment horizontal="center" vertical="center"/>
    </xf>
    <xf numFmtId="0" fontId="77" fillId="0" borderId="1" xfId="1325" applyFont="1" applyFill="1" applyBorder="1" applyAlignment="1">
      <alignment horizontal="left" vertical="center"/>
    </xf>
    <xf numFmtId="0" fontId="77" fillId="0" borderId="1" xfId="1325" applyFont="1" applyFill="1" applyBorder="1" applyAlignment="1">
      <alignment horizontal="right" vertical="center"/>
    </xf>
    <xf numFmtId="176" fontId="78" fillId="0" borderId="1" xfId="1325" applyNumberFormat="1" applyFont="1" applyFill="1" applyBorder="1" applyAlignment="1">
      <alignment horizontal="right" vertical="center"/>
    </xf>
    <xf numFmtId="0" fontId="78" fillId="0" borderId="1" xfId="1325" applyFont="1" applyFill="1" applyBorder="1" applyAlignment="1">
      <alignment horizontal="right" vertical="center"/>
    </xf>
    <xf numFmtId="168" fontId="77" fillId="0" borderId="1" xfId="1325" applyNumberFormat="1" applyFont="1" applyFill="1" applyBorder="1" applyAlignment="1">
      <alignment horizontal="right" vertical="center"/>
    </xf>
    <xf numFmtId="168" fontId="103" fillId="0" borderId="1" xfId="1325" applyNumberFormat="1" applyFont="1" applyFill="1" applyBorder="1" applyAlignment="1">
      <alignment horizontal="right" vertical="center"/>
    </xf>
    <xf numFmtId="2" fontId="78" fillId="0" borderId="1" xfId="1325" applyNumberFormat="1" applyFont="1" applyFill="1" applyBorder="1" applyAlignment="1">
      <alignment horizontal="right" vertical="center"/>
    </xf>
    <xf numFmtId="168" fontId="103" fillId="6" borderId="1" xfId="1325" applyNumberFormat="1" applyFont="1" applyFill="1" applyBorder="1" applyAlignment="1">
      <alignment horizontal="right" vertical="center"/>
    </xf>
    <xf numFmtId="0" fontId="77" fillId="0" borderId="1" xfId="1325" applyFont="1" applyFill="1" applyBorder="1" applyAlignment="1">
      <alignment horizontal="left" vertical="center" wrapText="1"/>
    </xf>
    <xf numFmtId="170" fontId="77" fillId="0" borderId="1" xfId="1325" applyNumberFormat="1" applyFont="1" applyFill="1" applyBorder="1" applyAlignment="1">
      <alignment horizontal="right" vertical="center" wrapText="1"/>
    </xf>
    <xf numFmtId="170" fontId="77" fillId="0" borderId="1" xfId="1325" applyNumberFormat="1" applyFont="1" applyFill="1" applyBorder="1" applyAlignment="1">
      <alignment horizontal="right" vertical="center"/>
    </xf>
    <xf numFmtId="2" fontId="78" fillId="0" borderId="1" xfId="1325" applyNumberFormat="1" applyFont="1" applyFill="1" applyBorder="1" applyAlignment="1">
      <alignment horizontal="left" vertical="center"/>
    </xf>
    <xf numFmtId="171" fontId="77" fillId="0" borderId="1" xfId="1325" applyNumberFormat="1" applyFont="1" applyFill="1" applyBorder="1" applyAlignment="1">
      <alignment horizontal="center" vertical="center"/>
    </xf>
    <xf numFmtId="0" fontId="77" fillId="0" borderId="0" xfId="1325" applyFont="1" applyFill="1" applyAlignment="1">
      <alignment horizontal="center" vertical="center"/>
    </xf>
    <xf numFmtId="169" fontId="77" fillId="0" borderId="1" xfId="1325" applyNumberFormat="1" applyFont="1" applyFill="1" applyBorder="1" applyAlignment="1">
      <alignment vertical="center"/>
    </xf>
    <xf numFmtId="0" fontId="77" fillId="0" borderId="1" xfId="1325" applyFont="1" applyFill="1" applyBorder="1" applyAlignment="1">
      <alignment vertical="center" wrapText="1"/>
    </xf>
    <xf numFmtId="175" fontId="78" fillId="0" borderId="1" xfId="1325" applyNumberFormat="1" applyFont="1" applyFill="1" applyBorder="1" applyAlignment="1">
      <alignment horizontal="left" vertical="center"/>
    </xf>
    <xf numFmtId="0" fontId="77" fillId="0" borderId="0" xfId="1325" applyFont="1" applyFill="1" applyAlignment="1">
      <alignment horizontal="right" vertical="center"/>
    </xf>
    <xf numFmtId="0" fontId="78" fillId="0" borderId="0" xfId="1325" applyFont="1" applyFill="1" applyAlignment="1">
      <alignment horizontal="left" vertical="center"/>
    </xf>
    <xf numFmtId="171" fontId="106" fillId="0" borderId="0" xfId="0" applyNumberFormat="1" applyFont="1" applyFill="1" applyAlignment="1">
      <alignment vertical="center"/>
    </xf>
    <xf numFmtId="168" fontId="106" fillId="0" borderId="0" xfId="0" applyFont="1" applyFill="1" applyAlignment="1">
      <alignment horizontal="right" vertical="center"/>
    </xf>
    <xf numFmtId="171" fontId="50" fillId="0" borderId="1" xfId="0" applyNumberFormat="1" applyFont="1" applyFill="1" applyBorder="1" applyAlignment="1">
      <alignment horizontal="center" vertical="center"/>
    </xf>
    <xf numFmtId="168" fontId="54" fillId="0" borderId="1" xfId="0" applyFont="1" applyBorder="1" applyAlignment="1">
      <alignment horizontal="right" vertical="center" wrapText="1"/>
    </xf>
    <xf numFmtId="171" fontId="50" fillId="0" borderId="0" xfId="0" applyNumberFormat="1" applyFont="1" applyFill="1" applyBorder="1" applyAlignment="1">
      <alignment horizontal="center" vertical="center"/>
    </xf>
    <xf numFmtId="168" fontId="54" fillId="0" borderId="0" xfId="0" applyFont="1" applyFill="1" applyBorder="1" applyAlignment="1">
      <alignment horizontal="right" vertical="center"/>
    </xf>
    <xf numFmtId="0" fontId="107" fillId="0" borderId="0" xfId="1326" applyNumberFormat="1" applyFont="1" applyFill="1" applyBorder="1" applyAlignment="1">
      <alignment horizontal="left" vertical="center"/>
    </xf>
    <xf numFmtId="0" fontId="50" fillId="0" borderId="0" xfId="1326" applyFont="1" applyFill="1" applyAlignment="1">
      <alignment vertical="center"/>
    </xf>
    <xf numFmtId="0" fontId="108" fillId="0" borderId="0" xfId="1326" applyNumberFormat="1" applyFont="1" applyFill="1" applyBorder="1" applyAlignment="1">
      <alignment horizontal="center" vertical="center"/>
    </xf>
    <xf numFmtId="0" fontId="108" fillId="0" borderId="0" xfId="1326" applyNumberFormat="1" applyFont="1" applyFill="1" applyBorder="1" applyAlignment="1">
      <alignment horizontal="left" vertical="center"/>
    </xf>
    <xf numFmtId="0" fontId="86" fillId="0" borderId="0" xfId="1326" applyFont="1" applyFill="1" applyBorder="1" applyAlignment="1">
      <alignment horizontal="left" vertical="center" wrapText="1"/>
    </xf>
    <xf numFmtId="0" fontId="76" fillId="0" borderId="0" xfId="1326" applyFont="1" applyFill="1" applyBorder="1" applyAlignment="1">
      <alignment horizontal="center" vertical="center" wrapText="1"/>
    </xf>
    <xf numFmtId="0" fontId="76" fillId="0" borderId="0" xfId="1326" applyFont="1" applyFill="1" applyBorder="1" applyAlignment="1">
      <alignment horizontal="left" vertical="center" wrapText="1"/>
    </xf>
    <xf numFmtId="2" fontId="109" fillId="0" borderId="0" xfId="1326" applyNumberFormat="1" applyFont="1" applyFill="1" applyBorder="1" applyAlignment="1">
      <alignment horizontal="right" vertical="center"/>
    </xf>
    <xf numFmtId="2" fontId="109" fillId="0" borderId="0" xfId="1326" applyNumberFormat="1" applyFont="1" applyFill="1" applyBorder="1" applyAlignment="1">
      <alignment horizontal="left" vertical="center"/>
    </xf>
    <xf numFmtId="2" fontId="110" fillId="0" borderId="0" xfId="1326" applyNumberFormat="1" applyFont="1" applyFill="1" applyBorder="1" applyAlignment="1">
      <alignment horizontal="right" vertical="center"/>
    </xf>
    <xf numFmtId="2" fontId="110" fillId="0" borderId="0" xfId="1326" applyNumberFormat="1" applyFont="1" applyFill="1" applyBorder="1" applyAlignment="1">
      <alignment horizontal="left" vertical="center"/>
    </xf>
    <xf numFmtId="0" fontId="111" fillId="0" borderId="0" xfId="1326" applyNumberFormat="1" applyFont="1" applyFill="1" applyBorder="1" applyAlignment="1">
      <alignment horizontal="left" vertical="center"/>
    </xf>
    <xf numFmtId="0" fontId="110" fillId="0" borderId="1" xfId="1326" applyNumberFormat="1" applyFont="1" applyFill="1" applyBorder="1" applyAlignment="1">
      <alignment horizontal="center" vertical="center" wrapText="1"/>
    </xf>
    <xf numFmtId="0" fontId="110" fillId="0" borderId="1" xfId="1326" applyNumberFormat="1" applyFont="1" applyFill="1" applyBorder="1" applyAlignment="1">
      <alignment horizontal="center" vertical="center"/>
    </xf>
    <xf numFmtId="0" fontId="110" fillId="0" borderId="15" xfId="1326" applyNumberFormat="1" applyFont="1" applyFill="1" applyBorder="1" applyAlignment="1">
      <alignment horizontal="center" vertical="center"/>
    </xf>
    <xf numFmtId="1" fontId="103" fillId="0" borderId="1" xfId="1326" applyNumberFormat="1" applyFont="1" applyFill="1" applyBorder="1" applyAlignment="1">
      <alignment horizontal="center" vertical="center"/>
    </xf>
    <xf numFmtId="0" fontId="103" fillId="0" borderId="15" xfId="1326" applyNumberFormat="1" applyFont="1" applyFill="1" applyBorder="1" applyAlignment="1">
      <alignment horizontal="right" vertical="center"/>
    </xf>
    <xf numFmtId="0" fontId="103" fillId="0" borderId="1" xfId="1326" applyNumberFormat="1" applyFont="1" applyFill="1" applyBorder="1" applyAlignment="1">
      <alignment horizontal="left" vertical="center"/>
    </xf>
    <xf numFmtId="0" fontId="103" fillId="0" borderId="1" xfId="1326" applyNumberFormat="1" applyFont="1" applyFill="1" applyBorder="1" applyAlignment="1">
      <alignment horizontal="left" vertical="center" wrapText="1"/>
    </xf>
    <xf numFmtId="0" fontId="103" fillId="0" borderId="1" xfId="1326" applyNumberFormat="1" applyFont="1" applyFill="1" applyBorder="1" applyAlignment="1">
      <alignment horizontal="center" vertical="center"/>
    </xf>
    <xf numFmtId="169" fontId="77" fillId="0" borderId="1" xfId="1326" applyNumberFormat="1" applyFont="1" applyFill="1" applyBorder="1" applyAlignment="1">
      <alignment horizontal="center" vertical="center"/>
    </xf>
    <xf numFmtId="2" fontId="103" fillId="0" borderId="1" xfId="1326" applyNumberFormat="1" applyFont="1" applyFill="1" applyBorder="1" applyAlignment="1">
      <alignment horizontal="right" vertical="center"/>
    </xf>
    <xf numFmtId="2" fontId="103" fillId="0" borderId="15" xfId="1326" applyNumberFormat="1" applyFont="1" applyFill="1" applyBorder="1" applyAlignment="1">
      <alignment horizontal="right" vertical="center"/>
    </xf>
    <xf numFmtId="2" fontId="103" fillId="0" borderId="1" xfId="1326" applyNumberFormat="1" applyFont="1" applyFill="1" applyBorder="1" applyAlignment="1">
      <alignment horizontal="left" vertical="center"/>
    </xf>
    <xf numFmtId="168" fontId="77" fillId="0" borderId="1" xfId="1326" applyNumberFormat="1" applyFont="1" applyFill="1" applyBorder="1" applyAlignment="1">
      <alignment horizontal="center" vertical="center"/>
    </xf>
    <xf numFmtId="0" fontId="102" fillId="0" borderId="1" xfId="1326" applyNumberFormat="1" applyFont="1" applyFill="1" applyBorder="1" applyAlignment="1">
      <alignment horizontal="right" vertical="center"/>
    </xf>
    <xf numFmtId="2" fontId="102" fillId="0" borderId="15" xfId="1326" applyNumberFormat="1" applyFont="1" applyFill="1" applyBorder="1" applyAlignment="1">
      <alignment horizontal="right" vertical="center"/>
    </xf>
    <xf numFmtId="2" fontId="102" fillId="0" borderId="1" xfId="1326" applyNumberFormat="1" applyFont="1" applyFill="1" applyBorder="1" applyAlignment="1">
      <alignment horizontal="left" vertical="center"/>
    </xf>
    <xf numFmtId="0" fontId="103" fillId="0" borderId="1" xfId="1326" applyNumberFormat="1" applyFont="1" applyFill="1" applyBorder="1" applyAlignment="1">
      <alignment horizontal="right" vertical="center"/>
    </xf>
    <xf numFmtId="2" fontId="103" fillId="0" borderId="1" xfId="1326" applyNumberFormat="1" applyFont="1" applyFill="1" applyBorder="1" applyAlignment="1">
      <alignment horizontal="left" vertical="center" wrapText="1"/>
    </xf>
    <xf numFmtId="169" fontId="50" fillId="0" borderId="0" xfId="1326" applyNumberFormat="1" applyFont="1" applyFill="1" applyAlignment="1">
      <alignment vertical="center"/>
    </xf>
    <xf numFmtId="0" fontId="77" fillId="0" borderId="1" xfId="1326" applyFont="1" applyFill="1" applyBorder="1" applyAlignment="1">
      <alignment horizontal="center" vertical="center"/>
    </xf>
    <xf numFmtId="2" fontId="77" fillId="0" borderId="1" xfId="38" applyNumberFormat="1" applyFont="1" applyFill="1" applyBorder="1" applyAlignment="1">
      <alignment horizontal="left" vertical="center" wrapText="1"/>
    </xf>
    <xf numFmtId="0" fontId="109" fillId="0" borderId="0" xfId="1326" applyNumberFormat="1" applyFont="1" applyFill="1" applyBorder="1" applyAlignment="1">
      <alignment horizontal="left" vertical="center" wrapText="1"/>
    </xf>
    <xf numFmtId="0" fontId="102" fillId="0" borderId="1" xfId="1326" applyNumberFormat="1" applyFont="1" applyFill="1" applyBorder="1" applyAlignment="1">
      <alignment horizontal="left" vertical="center"/>
    </xf>
    <xf numFmtId="169" fontId="103" fillId="0" borderId="1" xfId="1326" applyNumberFormat="1" applyFont="1" applyFill="1" applyBorder="1" applyAlignment="1">
      <alignment horizontal="center" vertical="center"/>
    </xf>
    <xf numFmtId="2" fontId="50" fillId="0" borderId="0" xfId="1326" applyNumberFormat="1" applyFont="1" applyFill="1" applyAlignment="1">
      <alignment vertical="center"/>
    </xf>
    <xf numFmtId="1" fontId="77" fillId="0" borderId="1" xfId="1326" applyNumberFormat="1" applyFont="1" applyFill="1" applyBorder="1" applyAlignment="1">
      <alignment horizontal="center" vertical="center"/>
    </xf>
    <xf numFmtId="0" fontId="77" fillId="0" borderId="1" xfId="1326" applyFont="1" applyFill="1" applyBorder="1" applyAlignment="1">
      <alignment horizontal="left" vertical="center"/>
    </xf>
    <xf numFmtId="0" fontId="102" fillId="0" borderId="1" xfId="1326" applyNumberFormat="1" applyFont="1" applyFill="1" applyBorder="1" applyAlignment="1">
      <alignment vertical="center"/>
    </xf>
    <xf numFmtId="176" fontId="78" fillId="0" borderId="15" xfId="1326" applyNumberFormat="1" applyFont="1" applyFill="1" applyBorder="1" applyAlignment="1">
      <alignment horizontal="right" vertical="center"/>
    </xf>
    <xf numFmtId="176" fontId="78" fillId="0" borderId="1" xfId="1326" applyNumberFormat="1" applyFont="1" applyFill="1" applyBorder="1" applyAlignment="1">
      <alignment horizontal="left" vertical="center"/>
    </xf>
    <xf numFmtId="0" fontId="78" fillId="0" borderId="15" xfId="1326" applyFont="1" applyFill="1" applyBorder="1" applyAlignment="1">
      <alignment horizontal="right" vertical="center"/>
    </xf>
    <xf numFmtId="0" fontId="78" fillId="0" borderId="1" xfId="1326" applyFont="1" applyFill="1" applyBorder="1" applyAlignment="1">
      <alignment horizontal="left" vertical="center"/>
    </xf>
    <xf numFmtId="0" fontId="77" fillId="0" borderId="1" xfId="1326" applyFont="1" applyFill="1" applyBorder="1" applyAlignment="1">
      <alignment horizontal="right" vertical="center"/>
    </xf>
    <xf numFmtId="0" fontId="78" fillId="0" borderId="1" xfId="1326" applyFont="1" applyFill="1" applyBorder="1" applyAlignment="1">
      <alignment horizontal="right" vertical="center"/>
    </xf>
    <xf numFmtId="168" fontId="103" fillId="0" borderId="1" xfId="1326" applyNumberFormat="1" applyFont="1" applyFill="1" applyBorder="1" applyAlignment="1">
      <alignment horizontal="right" vertical="center"/>
    </xf>
    <xf numFmtId="0" fontId="77" fillId="0" borderId="15" xfId="1326" applyFont="1" applyFill="1" applyBorder="1" applyAlignment="1">
      <alignment horizontal="right" vertical="center"/>
    </xf>
    <xf numFmtId="2" fontId="78" fillId="0" borderId="15" xfId="1326" applyNumberFormat="1" applyFont="1" applyFill="1" applyBorder="1" applyAlignment="1">
      <alignment horizontal="right" vertical="center"/>
    </xf>
    <xf numFmtId="2" fontId="78" fillId="0" borderId="1" xfId="1326" applyNumberFormat="1" applyFont="1" applyFill="1" applyBorder="1" applyAlignment="1">
      <alignment horizontal="left" vertical="center"/>
    </xf>
    <xf numFmtId="2" fontId="77" fillId="0" borderId="15" xfId="1326" applyNumberFormat="1" applyFont="1" applyFill="1" applyBorder="1" applyAlignment="1">
      <alignment horizontal="right" vertical="center"/>
    </xf>
    <xf numFmtId="2" fontId="77" fillId="0" borderId="1" xfId="1326" applyNumberFormat="1" applyFont="1" applyFill="1" applyBorder="1" applyAlignment="1">
      <alignment horizontal="left" vertical="center"/>
    </xf>
    <xf numFmtId="0" fontId="77" fillId="0" borderId="1" xfId="1326" applyFont="1" applyFill="1" applyBorder="1" applyAlignment="1">
      <alignment horizontal="left" vertical="center" wrapText="1"/>
    </xf>
    <xf numFmtId="2" fontId="77" fillId="0" borderId="1" xfId="1326" applyNumberFormat="1" applyFont="1" applyFill="1" applyBorder="1" applyAlignment="1">
      <alignment horizontal="right" vertical="center"/>
    </xf>
    <xf numFmtId="2" fontId="78" fillId="0" borderId="1" xfId="38" applyNumberFormat="1" applyFont="1" applyFill="1" applyBorder="1" applyAlignment="1">
      <alignment horizontal="left" vertical="center" wrapText="1"/>
    </xf>
    <xf numFmtId="0" fontId="102" fillId="0" borderId="1" xfId="1326" applyNumberFormat="1" applyFont="1" applyFill="1" applyBorder="1" applyAlignment="1">
      <alignment horizontal="left" vertical="center" wrapText="1"/>
    </xf>
    <xf numFmtId="0" fontId="50" fillId="0" borderId="0" xfId="1326" applyFont="1" applyFill="1" applyAlignment="1">
      <alignment horizontal="center" vertical="center"/>
    </xf>
    <xf numFmtId="2" fontId="78" fillId="0" borderId="1" xfId="1326" applyNumberFormat="1" applyFont="1" applyFill="1" applyBorder="1" applyAlignment="1">
      <alignment horizontal="right" vertical="center"/>
    </xf>
    <xf numFmtId="0" fontId="113" fillId="0" borderId="0" xfId="1326" applyFont="1" applyFill="1" applyAlignment="1">
      <alignment vertical="center"/>
    </xf>
    <xf numFmtId="1" fontId="50" fillId="0" borderId="0" xfId="1326" applyNumberFormat="1" applyFont="1" applyFill="1" applyBorder="1" applyAlignment="1">
      <alignment horizontal="center" vertical="center"/>
    </xf>
    <xf numFmtId="2" fontId="113" fillId="0" borderId="0" xfId="1326" applyNumberFormat="1" applyFont="1" applyFill="1" applyBorder="1" applyAlignment="1">
      <alignment horizontal="left" vertical="center" wrapText="1"/>
    </xf>
    <xf numFmtId="169" fontId="50" fillId="0" borderId="0" xfId="1326" applyNumberFormat="1" applyFont="1" applyFill="1" applyBorder="1" applyAlignment="1">
      <alignment horizontal="center" vertical="center"/>
    </xf>
    <xf numFmtId="169" fontId="50" fillId="0" borderId="0" xfId="1326" applyNumberFormat="1" applyFont="1" applyFill="1" applyBorder="1" applyAlignment="1">
      <alignment horizontal="left" vertical="center"/>
    </xf>
    <xf numFmtId="0" fontId="50" fillId="0" borderId="0" xfId="1326" applyFont="1" applyFill="1" applyAlignment="1">
      <alignment horizontal="left" vertical="center"/>
    </xf>
    <xf numFmtId="0" fontId="50" fillId="0" borderId="0" xfId="1326" applyFont="1" applyFill="1" applyAlignment="1">
      <alignment horizontal="right" vertical="center"/>
    </xf>
    <xf numFmtId="183" fontId="77" fillId="6" borderId="0" xfId="0" applyNumberFormat="1" applyFont="1" applyFill="1" applyAlignment="1">
      <alignment horizontal="right" vertical="center"/>
    </xf>
    <xf numFmtId="183" fontId="77" fillId="6" borderId="0" xfId="0" applyNumberFormat="1" applyFont="1" applyFill="1" applyAlignment="1">
      <alignment vertical="center"/>
    </xf>
    <xf numFmtId="168" fontId="77" fillId="6" borderId="0" xfId="0" applyFont="1" applyFill="1" applyAlignment="1">
      <alignment vertical="center"/>
    </xf>
    <xf numFmtId="183" fontId="78" fillId="6" borderId="0" xfId="0" applyNumberFormat="1" applyFont="1" applyFill="1" applyAlignment="1">
      <alignment vertical="center"/>
    </xf>
    <xf numFmtId="0" fontId="77" fillId="0" borderId="1" xfId="1055" applyNumberFormat="1" applyFont="1" applyBorder="1" applyAlignment="1">
      <alignment vertical="center" wrapText="1"/>
    </xf>
    <xf numFmtId="2" fontId="77" fillId="0" borderId="1" xfId="1055" applyNumberFormat="1" applyFont="1" applyBorder="1" applyAlignment="1">
      <alignment horizontal="right" vertical="center"/>
    </xf>
    <xf numFmtId="0" fontId="113" fillId="0" borderId="1" xfId="0" applyNumberFormat="1" applyFont="1" applyBorder="1" applyAlignment="1">
      <alignment horizontal="center" vertical="center"/>
    </xf>
    <xf numFmtId="0" fontId="113" fillId="0" borderId="1" xfId="0" applyNumberFormat="1" applyFont="1" applyBorder="1" applyAlignment="1">
      <alignment horizontal="right" vertical="center"/>
    </xf>
    <xf numFmtId="168" fontId="50" fillId="0" borderId="0" xfId="0" applyFont="1" applyAlignment="1">
      <alignment vertical="center"/>
    </xf>
    <xf numFmtId="0" fontId="37" fillId="0" borderId="1" xfId="0" applyNumberFormat="1" applyFont="1" applyBorder="1" applyAlignment="1">
      <alignment horizontal="center" vertical="center"/>
    </xf>
    <xf numFmtId="2" fontId="113" fillId="0" borderId="1" xfId="0" applyNumberFormat="1" applyFont="1" applyBorder="1" applyAlignment="1">
      <alignment horizontal="right" vertical="center"/>
    </xf>
    <xf numFmtId="0" fontId="113" fillId="0" borderId="1" xfId="0" applyNumberFormat="1" applyFont="1" applyBorder="1" applyAlignment="1">
      <alignment vertical="center"/>
    </xf>
    <xf numFmtId="2" fontId="37" fillId="0" borderId="1" xfId="0" applyNumberFormat="1" applyFont="1" applyBorder="1" applyAlignment="1">
      <alignment horizontal="right" vertical="center"/>
    </xf>
    <xf numFmtId="168" fontId="83" fillId="0" borderId="1" xfId="1323" applyNumberFormat="1" applyFont="1" applyFill="1" applyBorder="1" applyAlignment="1">
      <alignment vertical="center" wrapText="1"/>
    </xf>
    <xf numFmtId="0" fontId="37" fillId="0" borderId="1" xfId="0" applyNumberFormat="1" applyFont="1" applyBorder="1" applyAlignment="1">
      <alignment horizontal="left" vertical="center"/>
    </xf>
    <xf numFmtId="169" fontId="77" fillId="0" borderId="1" xfId="0" applyNumberFormat="1" applyFont="1" applyFill="1" applyBorder="1" applyAlignment="1">
      <alignment horizontal="center" vertical="center"/>
    </xf>
    <xf numFmtId="2" fontId="1" fillId="0" borderId="1" xfId="0" applyNumberFormat="1" applyFont="1" applyFill="1" applyBorder="1" applyAlignment="1">
      <alignment horizontal="right" vertical="center"/>
    </xf>
    <xf numFmtId="2" fontId="34" fillId="0" borderId="15" xfId="0" applyNumberFormat="1" applyFont="1" applyFill="1" applyBorder="1" applyAlignment="1">
      <alignment horizontal="right" vertical="center"/>
    </xf>
    <xf numFmtId="168" fontId="34" fillId="0" borderId="1" xfId="0" applyFont="1" applyFill="1" applyBorder="1" applyAlignment="1">
      <alignment horizontal="left" vertical="center"/>
    </xf>
    <xf numFmtId="1" fontId="50" fillId="0" borderId="1" xfId="0" applyNumberFormat="1" applyFont="1" applyFill="1" applyBorder="1" applyAlignment="1">
      <alignment horizontal="center" vertical="center"/>
    </xf>
    <xf numFmtId="168" fontId="50" fillId="0" borderId="0" xfId="0" applyFont="1" applyFill="1" applyBorder="1" applyAlignment="1">
      <alignment horizontal="left" vertical="center" wrapText="1"/>
    </xf>
    <xf numFmtId="2" fontId="77" fillId="0" borderId="1" xfId="1192" applyNumberFormat="1" applyFont="1" applyFill="1" applyBorder="1" applyAlignment="1">
      <alignment horizontal="left" vertical="center" wrapText="1"/>
    </xf>
    <xf numFmtId="169" fontId="77" fillId="0" borderId="1" xfId="0" applyNumberFormat="1" applyFont="1" applyFill="1" applyBorder="1" applyAlignment="1">
      <alignment horizontal="center" vertical="center"/>
    </xf>
    <xf numFmtId="2" fontId="103" fillId="6" borderId="15" xfId="1326" applyNumberFormat="1" applyFont="1" applyFill="1" applyBorder="1" applyAlignment="1">
      <alignment horizontal="right" vertical="center"/>
    </xf>
    <xf numFmtId="168" fontId="77" fillId="6" borderId="0" xfId="0" applyFont="1" applyFill="1" applyBorder="1" applyAlignment="1">
      <alignment vertical="center"/>
    </xf>
    <xf numFmtId="168" fontId="84" fillId="0" borderId="1" xfId="1323" applyNumberFormat="1" applyFont="1" applyFill="1" applyBorder="1" applyAlignment="1">
      <alignment horizontal="right" vertical="center" wrapText="1"/>
    </xf>
    <xf numFmtId="2" fontId="103" fillId="0" borderId="1" xfId="1326" applyNumberFormat="1" applyFont="1" applyFill="1" applyBorder="1" applyAlignment="1">
      <alignment horizontal="center" vertical="center"/>
    </xf>
    <xf numFmtId="168" fontId="77" fillId="0" borderId="0" xfId="0" applyFont="1" applyBorder="1" applyAlignment="1">
      <alignment vertical="center"/>
    </xf>
    <xf numFmtId="168" fontId="76" fillId="0" borderId="0" xfId="0" applyFont="1" applyBorder="1" applyAlignment="1">
      <alignment horizontal="center" vertical="center"/>
    </xf>
    <xf numFmtId="171" fontId="77" fillId="0" borderId="1" xfId="0" applyNumberFormat="1" applyFont="1" applyBorder="1" applyAlignment="1">
      <alignment horizontal="right" vertical="center"/>
    </xf>
    <xf numFmtId="168" fontId="77" fillId="0" borderId="1" xfId="0" applyFont="1" applyBorder="1" applyAlignment="1">
      <alignment horizontal="right" vertical="center"/>
    </xf>
    <xf numFmtId="168" fontId="77" fillId="0" borderId="1" xfId="0" applyFont="1" applyBorder="1" applyAlignment="1">
      <alignment horizontal="left" vertical="center"/>
    </xf>
    <xf numFmtId="168" fontId="77" fillId="0" borderId="1" xfId="0" applyFont="1" applyBorder="1" applyAlignment="1">
      <alignment vertical="center" wrapText="1"/>
    </xf>
    <xf numFmtId="169" fontId="77" fillId="0" borderId="1" xfId="0" applyNumberFormat="1" applyFont="1" applyBorder="1" applyAlignment="1">
      <alignment horizontal="center" vertical="center"/>
    </xf>
    <xf numFmtId="168" fontId="77" fillId="0" borderId="1" xfId="0" applyNumberFormat="1" applyFont="1" applyBorder="1" applyAlignment="1">
      <alignment horizontal="center" vertical="center"/>
    </xf>
    <xf numFmtId="168" fontId="78" fillId="0" borderId="1" xfId="0" applyFont="1" applyBorder="1" applyAlignment="1">
      <alignment horizontal="right" vertical="center"/>
    </xf>
    <xf numFmtId="168" fontId="78" fillId="0" borderId="1" xfId="0" applyFont="1" applyBorder="1" applyAlignment="1">
      <alignment horizontal="left" vertical="center"/>
    </xf>
    <xf numFmtId="171" fontId="77" fillId="6" borderId="1" xfId="0" applyNumberFormat="1" applyFont="1" applyFill="1" applyBorder="1" applyAlignment="1">
      <alignment horizontal="right" vertical="center"/>
    </xf>
    <xf numFmtId="168" fontId="77" fillId="6" borderId="1" xfId="0" applyFont="1" applyFill="1" applyBorder="1" applyAlignment="1">
      <alignment horizontal="left" vertical="center"/>
    </xf>
    <xf numFmtId="170" fontId="78" fillId="0" borderId="1" xfId="0" applyNumberFormat="1" applyFont="1" applyBorder="1" applyAlignment="1">
      <alignment horizontal="right" vertical="center"/>
    </xf>
    <xf numFmtId="168" fontId="77" fillId="0" borderId="1" xfId="0" applyFont="1" applyBorder="1" applyAlignment="1">
      <alignment horizontal="center" vertical="center"/>
    </xf>
    <xf numFmtId="171" fontId="77" fillId="0" borderId="0" xfId="0" applyNumberFormat="1" applyFont="1" applyBorder="1" applyAlignment="1">
      <alignment horizontal="right" vertical="center"/>
    </xf>
    <xf numFmtId="168" fontId="77" fillId="0" borderId="0" xfId="0" applyFont="1" applyBorder="1" applyAlignment="1">
      <alignment vertical="center" wrapText="1"/>
    </xf>
    <xf numFmtId="169" fontId="77" fillId="0" borderId="0" xfId="0" applyNumberFormat="1" applyFont="1" applyBorder="1" applyAlignment="1">
      <alignment horizontal="center" vertical="center"/>
    </xf>
    <xf numFmtId="168" fontId="77" fillId="0" borderId="0" xfId="0" applyFont="1" applyBorder="1" applyAlignment="1">
      <alignment horizontal="right" vertical="center"/>
    </xf>
    <xf numFmtId="168" fontId="77" fillId="0" borderId="0" xfId="0" applyFont="1" applyBorder="1" applyAlignment="1">
      <alignment horizontal="left" vertical="center"/>
    </xf>
    <xf numFmtId="168" fontId="19" fillId="0" borderId="0" xfId="0" applyFont="1" applyFill="1" applyBorder="1" applyAlignment="1">
      <alignment horizontal="center" vertical="center"/>
    </xf>
    <xf numFmtId="0" fontId="19" fillId="0" borderId="0" xfId="0" applyNumberFormat="1" applyFont="1" applyFill="1" applyBorder="1" applyAlignment="1">
      <alignment horizontal="center" vertical="center" wrapText="1"/>
    </xf>
    <xf numFmtId="1" fontId="20" fillId="0" borderId="1" xfId="0" applyNumberFormat="1" applyFont="1" applyFill="1" applyBorder="1" applyAlignment="1">
      <alignment horizontal="center" vertical="center" wrapText="1"/>
    </xf>
    <xf numFmtId="0" fontId="20" fillId="0" borderId="1" xfId="0" applyNumberFormat="1" applyFont="1" applyFill="1" applyBorder="1" applyAlignment="1">
      <alignment horizontal="center" vertical="center" wrapText="1"/>
    </xf>
    <xf numFmtId="2" fontId="20" fillId="0" borderId="1" xfId="0" applyNumberFormat="1" applyFont="1" applyFill="1" applyBorder="1" applyAlignment="1">
      <alignment horizontal="center" vertical="center" wrapText="1"/>
    </xf>
    <xf numFmtId="0" fontId="20" fillId="0" borderId="0" xfId="0" applyNumberFormat="1" applyFont="1" applyFill="1" applyBorder="1" applyAlignment="1">
      <alignment horizontal="center" vertical="center" wrapText="1"/>
    </xf>
    <xf numFmtId="169" fontId="19" fillId="0" borderId="1" xfId="0" applyNumberFormat="1" applyFont="1" applyFill="1" applyBorder="1" applyAlignment="1">
      <alignment horizontal="center" vertical="center"/>
    </xf>
    <xf numFmtId="168" fontId="19" fillId="0" borderId="1" xfId="0" applyFont="1" applyFill="1" applyBorder="1" applyAlignment="1">
      <alignment horizontal="justify" vertical="center" wrapText="1"/>
    </xf>
    <xf numFmtId="168" fontId="19" fillId="0" borderId="1" xfId="0" applyFont="1" applyFill="1" applyBorder="1" applyAlignment="1">
      <alignment horizontal="right" vertical="center"/>
    </xf>
    <xf numFmtId="168" fontId="19" fillId="0" borderId="1" xfId="1328" applyNumberFormat="1" applyFont="1" applyFill="1" applyBorder="1" applyAlignment="1">
      <alignment horizontal="justify" vertical="center" wrapText="1"/>
    </xf>
    <xf numFmtId="168" fontId="19" fillId="0" borderId="1" xfId="1328" applyNumberFormat="1" applyFont="1" applyFill="1" applyBorder="1" applyAlignment="1">
      <alignment horizontal="right" vertical="center"/>
    </xf>
    <xf numFmtId="168" fontId="20" fillId="0" borderId="1" xfId="0" applyFont="1" applyFill="1" applyBorder="1" applyAlignment="1">
      <alignment horizontal="right" vertical="center"/>
    </xf>
    <xf numFmtId="168" fontId="20" fillId="0" borderId="1" xfId="0" applyFont="1" applyFill="1" applyBorder="1" applyAlignment="1">
      <alignment horizontal="left" vertical="center"/>
    </xf>
    <xf numFmtId="169" fontId="117" fillId="0" borderId="1" xfId="0" applyNumberFormat="1" applyFont="1" applyFill="1" applyBorder="1" applyAlignment="1">
      <alignment horizontal="center" vertical="center"/>
    </xf>
    <xf numFmtId="0" fontId="117" fillId="0" borderId="1" xfId="0" applyNumberFormat="1" applyFont="1" applyFill="1" applyBorder="1" applyAlignment="1">
      <alignment horizontal="justify" vertical="center" wrapText="1"/>
    </xf>
    <xf numFmtId="0" fontId="117" fillId="0" borderId="1" xfId="0" applyNumberFormat="1" applyFont="1" applyFill="1" applyBorder="1" applyAlignment="1">
      <alignment horizontal="center" vertical="center"/>
    </xf>
    <xf numFmtId="2" fontId="117" fillId="0" borderId="1" xfId="0" applyNumberFormat="1" applyFont="1" applyFill="1" applyBorder="1" applyAlignment="1">
      <alignment horizontal="right" vertical="center"/>
    </xf>
    <xf numFmtId="0" fontId="117" fillId="0" borderId="1" xfId="0" applyNumberFormat="1" applyFont="1" applyFill="1" applyBorder="1" applyAlignment="1">
      <alignment horizontal="right" vertical="center"/>
    </xf>
    <xf numFmtId="0" fontId="19" fillId="0" borderId="0" xfId="0" applyNumberFormat="1" applyFont="1" applyFill="1" applyBorder="1" applyAlignment="1">
      <alignment horizontal="center" vertical="center"/>
    </xf>
    <xf numFmtId="2" fontId="118" fillId="0" borderId="1" xfId="0" applyNumberFormat="1" applyFont="1" applyFill="1" applyBorder="1" applyAlignment="1">
      <alignment horizontal="right" vertical="center"/>
    </xf>
    <xf numFmtId="2" fontId="118" fillId="0" borderId="1" xfId="0" applyNumberFormat="1" applyFont="1" applyFill="1" applyBorder="1" applyAlignment="1">
      <alignment horizontal="left" vertical="center"/>
    </xf>
    <xf numFmtId="1" fontId="19" fillId="0" borderId="1" xfId="1327" applyNumberFormat="1" applyFont="1" applyFill="1" applyBorder="1" applyAlignment="1">
      <alignment horizontal="center" vertical="center" wrapText="1"/>
    </xf>
    <xf numFmtId="169" fontId="19" fillId="0" borderId="1" xfId="1328" applyNumberFormat="1" applyFont="1" applyFill="1" applyBorder="1" applyAlignment="1">
      <alignment horizontal="center" vertical="center"/>
    </xf>
    <xf numFmtId="168" fontId="19" fillId="0" borderId="1" xfId="1328" applyNumberFormat="1" applyFont="1" applyFill="1" applyBorder="1" applyAlignment="1">
      <alignment horizontal="center" vertical="center"/>
    </xf>
    <xf numFmtId="1" fontId="19" fillId="0" borderId="1" xfId="1328" applyNumberFormat="1" applyFont="1" applyFill="1" applyBorder="1" applyAlignment="1">
      <alignment horizontal="center" vertical="center"/>
    </xf>
    <xf numFmtId="2" fontId="19" fillId="0" borderId="1" xfId="1327" applyNumberFormat="1" applyFont="1" applyFill="1" applyBorder="1" applyAlignment="1">
      <alignment horizontal="justify" vertical="center" wrapText="1"/>
    </xf>
    <xf numFmtId="0" fontId="19" fillId="0" borderId="1" xfId="0" applyNumberFormat="1" applyFont="1" applyFill="1" applyBorder="1" applyAlignment="1">
      <alignment horizontal="center" vertical="center"/>
    </xf>
    <xf numFmtId="2" fontId="19" fillId="0" borderId="1" xfId="0" applyNumberFormat="1" applyFont="1" applyFill="1" applyBorder="1" applyAlignment="1">
      <alignment horizontal="right" vertical="center"/>
    </xf>
    <xf numFmtId="2" fontId="20" fillId="0" borderId="1" xfId="0" applyNumberFormat="1" applyFont="1" applyFill="1" applyBorder="1" applyAlignment="1">
      <alignment horizontal="right" vertical="center"/>
    </xf>
    <xf numFmtId="168" fontId="20" fillId="0" borderId="1" xfId="1328" applyNumberFormat="1" applyFont="1" applyFill="1" applyBorder="1" applyAlignment="1">
      <alignment horizontal="left" vertical="center"/>
    </xf>
    <xf numFmtId="1" fontId="19" fillId="0" borderId="1" xfId="0" applyNumberFormat="1" applyFont="1" applyFill="1" applyBorder="1" applyAlignment="1">
      <alignment horizontal="center" vertical="center"/>
    </xf>
    <xf numFmtId="175" fontId="19" fillId="0" borderId="1" xfId="0" applyNumberFormat="1" applyFont="1" applyFill="1" applyBorder="1" applyAlignment="1">
      <alignment horizontal="right" vertical="center"/>
    </xf>
    <xf numFmtId="175" fontId="19" fillId="0" borderId="1" xfId="0" applyNumberFormat="1" applyFont="1" applyFill="1" applyBorder="1" applyAlignment="1">
      <alignment horizontal="center" vertical="center"/>
    </xf>
    <xf numFmtId="171" fontId="19" fillId="0" borderId="1" xfId="1328" applyNumberFormat="1" applyFont="1" applyFill="1" applyBorder="1" applyAlignment="1">
      <alignment horizontal="center" vertical="center"/>
    </xf>
    <xf numFmtId="168" fontId="20" fillId="0" borderId="1" xfId="1328" applyNumberFormat="1" applyFont="1" applyFill="1" applyBorder="1" applyAlignment="1">
      <alignment horizontal="right" vertical="center"/>
    </xf>
    <xf numFmtId="2" fontId="19" fillId="0" borderId="1" xfId="0" applyNumberFormat="1" applyFont="1" applyFill="1" applyBorder="1" applyAlignment="1">
      <alignment horizontal="center" vertical="center"/>
    </xf>
    <xf numFmtId="0" fontId="19" fillId="0" borderId="1" xfId="0" applyNumberFormat="1" applyFont="1" applyFill="1" applyBorder="1" applyAlignment="1">
      <alignment horizontal="right" vertical="center"/>
    </xf>
    <xf numFmtId="177" fontId="19" fillId="0" borderId="1" xfId="0" applyNumberFormat="1" applyFont="1" applyFill="1" applyBorder="1" applyAlignment="1">
      <alignment horizontal="right" vertical="center"/>
    </xf>
    <xf numFmtId="168" fontId="19" fillId="0" borderId="1" xfId="0" applyFont="1" applyFill="1" applyBorder="1" applyAlignment="1">
      <alignment horizontal="center" vertical="center"/>
    </xf>
    <xf numFmtId="170" fontId="19" fillId="0" borderId="0" xfId="0" applyNumberFormat="1" applyFont="1" applyFill="1" applyBorder="1" applyAlignment="1">
      <alignment horizontal="center" vertical="center"/>
    </xf>
    <xf numFmtId="168" fontId="19" fillId="6" borderId="1" xfId="0" applyFont="1" applyFill="1" applyBorder="1" applyAlignment="1">
      <alignment horizontal="center" vertical="center"/>
    </xf>
    <xf numFmtId="168" fontId="19" fillId="6" borderId="1" xfId="0" applyFont="1" applyFill="1" applyBorder="1" applyAlignment="1">
      <alignment horizontal="justify" vertical="center" wrapText="1"/>
    </xf>
    <xf numFmtId="168" fontId="19" fillId="6" borderId="1" xfId="0" applyFont="1" applyFill="1" applyBorder="1" applyAlignment="1">
      <alignment vertical="center"/>
    </xf>
    <xf numFmtId="168" fontId="19" fillId="6" borderId="1" xfId="0" applyFont="1" applyFill="1" applyBorder="1" applyAlignment="1">
      <alignment horizontal="right" vertical="center"/>
    </xf>
    <xf numFmtId="168" fontId="19" fillId="6" borderId="1" xfId="0" applyFont="1" applyFill="1" applyBorder="1" applyAlignment="1">
      <alignment horizontal="left" vertical="center"/>
    </xf>
    <xf numFmtId="168" fontId="19" fillId="6" borderId="0" xfId="0" applyFont="1" applyFill="1" applyBorder="1" applyAlignment="1">
      <alignment horizontal="center" vertical="center"/>
    </xf>
    <xf numFmtId="170" fontId="19" fillId="6" borderId="0" xfId="0" applyNumberFormat="1" applyFont="1" applyFill="1" applyBorder="1" applyAlignment="1">
      <alignment horizontal="center" vertical="center"/>
    </xf>
    <xf numFmtId="170" fontId="20" fillId="0" borderId="1" xfId="0" applyNumberFormat="1" applyFont="1" applyFill="1" applyBorder="1" applyAlignment="1">
      <alignment horizontal="right" vertical="center"/>
    </xf>
    <xf numFmtId="168" fontId="19" fillId="0" borderId="0" xfId="0" applyFont="1" applyFill="1" applyAlignment="1">
      <alignment vertical="center" wrapText="1"/>
    </xf>
    <xf numFmtId="168" fontId="20" fillId="0" borderId="1" xfId="0" applyNumberFormat="1" applyFont="1" applyFill="1" applyBorder="1" applyAlignment="1">
      <alignment horizontal="right" vertical="center"/>
    </xf>
    <xf numFmtId="168" fontId="19" fillId="0" borderId="1" xfId="0" applyNumberFormat="1" applyFont="1" applyFill="1" applyBorder="1" applyAlignment="1">
      <alignment horizontal="center" vertical="center"/>
    </xf>
    <xf numFmtId="168" fontId="20" fillId="0" borderId="1" xfId="0" applyFont="1" applyFill="1" applyBorder="1" applyAlignment="1">
      <alignment horizontal="justify" vertical="center" wrapText="1"/>
    </xf>
    <xf numFmtId="168" fontId="19" fillId="0" borderId="15" xfId="0" applyFont="1" applyFill="1" applyBorder="1" applyAlignment="1">
      <alignment horizontal="right" vertical="center"/>
    </xf>
    <xf numFmtId="168" fontId="19" fillId="0" borderId="17" xfId="0" applyFont="1" applyFill="1" applyBorder="1" applyAlignment="1">
      <alignment horizontal="right" vertical="center"/>
    </xf>
    <xf numFmtId="2" fontId="19" fillId="0" borderId="17" xfId="0" applyNumberFormat="1" applyFont="1" applyFill="1" applyBorder="1" applyAlignment="1">
      <alignment horizontal="right" vertical="center"/>
    </xf>
    <xf numFmtId="169" fontId="19" fillId="7" borderId="1" xfId="0" applyNumberFormat="1" applyFont="1" applyFill="1" applyBorder="1" applyAlignment="1">
      <alignment horizontal="center" vertical="center"/>
    </xf>
    <xf numFmtId="2" fontId="119" fillId="7" borderId="1" xfId="38" applyNumberFormat="1" applyFont="1" applyFill="1" applyBorder="1" applyAlignment="1">
      <alignment vertical="center" wrapText="1"/>
    </xf>
    <xf numFmtId="168" fontId="19" fillId="7" borderId="1" xfId="0" applyFont="1" applyFill="1" applyBorder="1" applyAlignment="1">
      <alignment horizontal="center" vertical="center"/>
    </xf>
    <xf numFmtId="168" fontId="19" fillId="7" borderId="1" xfId="0" applyFont="1" applyFill="1" applyBorder="1" applyAlignment="1">
      <alignment horizontal="right" vertical="center"/>
    </xf>
    <xf numFmtId="168" fontId="19" fillId="7" borderId="0" xfId="0" applyFont="1" applyFill="1" applyBorder="1" applyAlignment="1">
      <alignment horizontal="center" vertical="center"/>
    </xf>
    <xf numFmtId="2" fontId="119" fillId="0" borderId="1" xfId="38" applyNumberFormat="1" applyFont="1" applyFill="1" applyBorder="1" applyAlignment="1">
      <alignment vertical="center" wrapText="1"/>
    </xf>
    <xf numFmtId="168" fontId="19" fillId="0" borderId="1" xfId="0" applyFont="1" applyFill="1" applyBorder="1" applyAlignment="1">
      <alignment horizontal="center" vertical="center" wrapText="1"/>
    </xf>
    <xf numFmtId="2" fontId="19" fillId="0" borderId="0" xfId="0" applyNumberFormat="1" applyFont="1" applyFill="1" applyBorder="1" applyAlignment="1">
      <alignment horizontal="right" vertical="center"/>
    </xf>
    <xf numFmtId="169" fontId="25" fillId="0" borderId="1" xfId="0" applyNumberFormat="1" applyFont="1" applyBorder="1" applyAlignment="1">
      <alignment horizontal="justify" vertical="top" wrapText="1"/>
    </xf>
    <xf numFmtId="0" fontId="37" fillId="0" borderId="1" xfId="0" applyNumberFormat="1" applyFont="1" applyFill="1" applyBorder="1" applyAlignment="1">
      <alignment vertical="center"/>
    </xf>
    <xf numFmtId="0" fontId="54" fillId="0" borderId="1" xfId="0" applyNumberFormat="1" applyFont="1" applyFill="1" applyBorder="1" applyAlignment="1">
      <alignment horizontal="right" vertical="center"/>
    </xf>
    <xf numFmtId="0" fontId="50" fillId="0" borderId="1" xfId="0" applyNumberFormat="1" applyFont="1" applyFill="1" applyBorder="1" applyAlignment="1">
      <alignment horizontal="left" vertical="center"/>
    </xf>
    <xf numFmtId="2" fontId="37" fillId="0" borderId="1" xfId="0" applyNumberFormat="1" applyFont="1" applyFill="1" applyBorder="1" applyAlignment="1">
      <alignment horizontal="right" vertical="center"/>
    </xf>
    <xf numFmtId="2" fontId="37" fillId="0" borderId="1" xfId="0" applyNumberFormat="1" applyFont="1" applyFill="1" applyBorder="1" applyAlignment="1">
      <alignment horizontal="left" vertical="center"/>
    </xf>
    <xf numFmtId="175" fontId="113" fillId="0" borderId="1" xfId="0" applyNumberFormat="1" applyFont="1" applyFill="1" applyBorder="1" applyAlignment="1">
      <alignment horizontal="right" vertical="center" wrapText="1"/>
    </xf>
    <xf numFmtId="0" fontId="113" fillId="0" borderId="1" xfId="0" applyNumberFormat="1" applyFont="1" applyFill="1" applyBorder="1" applyAlignment="1">
      <alignment vertical="center"/>
    </xf>
    <xf numFmtId="2" fontId="84" fillId="0" borderId="1" xfId="1192" applyNumberFormat="1" applyFont="1" applyFill="1" applyBorder="1" applyAlignment="1">
      <alignment horizontal="left" vertical="center" wrapText="1"/>
    </xf>
    <xf numFmtId="0" fontId="83" fillId="0" borderId="1" xfId="1323" applyNumberFormat="1" applyFont="1" applyFill="1" applyBorder="1" applyAlignment="1">
      <alignment horizontal="center" vertical="center"/>
    </xf>
    <xf numFmtId="169" fontId="25" fillId="6" borderId="36" xfId="0" applyNumberFormat="1" applyFont="1" applyFill="1" applyBorder="1" applyAlignment="1">
      <alignment horizontal="center" vertical="top"/>
    </xf>
    <xf numFmtId="168" fontId="25" fillId="6" borderId="1" xfId="0" applyFont="1" applyFill="1" applyBorder="1" applyAlignment="1">
      <alignment vertical="top" wrapText="1"/>
    </xf>
    <xf numFmtId="169" fontId="25" fillId="6" borderId="1" xfId="0" applyNumberFormat="1" applyFont="1" applyFill="1" applyBorder="1" applyAlignment="1">
      <alignment horizontal="center" vertical="top"/>
    </xf>
    <xf numFmtId="168" fontId="25" fillId="6" borderId="1" xfId="0" applyFont="1" applyFill="1" applyBorder="1" applyAlignment="1">
      <alignment horizontal="center" vertical="top"/>
    </xf>
    <xf numFmtId="168" fontId="25" fillId="6" borderId="37" xfId="0" applyFont="1" applyFill="1" applyBorder="1" applyAlignment="1">
      <alignment horizontal="center" vertical="top"/>
    </xf>
    <xf numFmtId="168" fontId="25" fillId="6" borderId="0" xfId="0" applyFont="1" applyFill="1" applyAlignment="1">
      <alignment vertical="top"/>
    </xf>
    <xf numFmtId="168" fontId="24" fillId="6" borderId="1" xfId="0" applyFont="1" applyFill="1" applyBorder="1" applyAlignment="1">
      <alignment horizontal="center" vertical="top"/>
    </xf>
    <xf numFmtId="168" fontId="24" fillId="6" borderId="37" xfId="0" applyFont="1" applyFill="1" applyBorder="1" applyAlignment="1">
      <alignment horizontal="center" vertical="top"/>
    </xf>
    <xf numFmtId="168" fontId="50" fillId="0" borderId="0" xfId="0" applyFont="1" applyFill="1" applyBorder="1" applyAlignment="1">
      <alignment horizontal="left" vertical="center" wrapText="1"/>
    </xf>
    <xf numFmtId="168" fontId="6" fillId="0" borderId="0" xfId="0" applyFont="1" applyAlignment="1">
      <alignment horizontal="center"/>
    </xf>
    <xf numFmtId="168" fontId="11" fillId="0" borderId="0" xfId="0" applyFont="1" applyAlignment="1">
      <alignment horizontal="center"/>
    </xf>
    <xf numFmtId="168" fontId="7" fillId="0" borderId="0" xfId="0" applyFont="1" applyAlignment="1">
      <alignment horizontal="center"/>
    </xf>
    <xf numFmtId="168" fontId="11" fillId="0" borderId="0" xfId="0" applyFont="1" applyAlignment="1">
      <alignment horizontal="left"/>
    </xf>
    <xf numFmtId="0" fontId="34" fillId="0" borderId="0" xfId="0" applyNumberFormat="1" applyFont="1" applyAlignment="1">
      <alignment horizontal="center" vertical="center" wrapText="1"/>
    </xf>
    <xf numFmtId="169" fontId="43" fillId="0" borderId="0" xfId="0" applyNumberFormat="1" applyFont="1" applyAlignment="1">
      <alignment horizontal="center" vertical="center" wrapText="1"/>
    </xf>
    <xf numFmtId="168" fontId="45" fillId="0" borderId="1" xfId="0" applyFont="1" applyBorder="1" applyAlignment="1">
      <alignment horizontal="center" vertical="center" wrapText="1"/>
    </xf>
    <xf numFmtId="168" fontId="43" fillId="0" borderId="1" xfId="0" applyFont="1" applyBorder="1" applyAlignment="1">
      <alignment horizontal="center" vertical="center" wrapText="1"/>
    </xf>
    <xf numFmtId="168" fontId="43" fillId="0" borderId="0" xfId="0" applyFont="1" applyAlignment="1">
      <alignment horizontal="left" vertical="center" wrapText="1"/>
    </xf>
    <xf numFmtId="168" fontId="39" fillId="0" borderId="0" xfId="0" applyFont="1" applyAlignment="1">
      <alignment horizontal="center" vertical="center" wrapText="1"/>
    </xf>
    <xf numFmtId="169" fontId="45" fillId="0" borderId="1" xfId="0" applyNumberFormat="1" applyFont="1" applyBorder="1" applyAlignment="1">
      <alignment horizontal="center" vertical="center" wrapText="1"/>
    </xf>
    <xf numFmtId="169" fontId="43" fillId="0" borderId="1" xfId="0" applyNumberFormat="1" applyFont="1" applyBorder="1" applyAlignment="1">
      <alignment horizontal="center" vertical="center" wrapText="1"/>
    </xf>
    <xf numFmtId="169" fontId="45" fillId="0" borderId="15" xfId="0" applyNumberFormat="1" applyFont="1" applyBorder="1" applyAlignment="1">
      <alignment horizontal="center" vertical="center" wrapText="1"/>
    </xf>
    <xf numFmtId="169" fontId="45" fillId="0" borderId="16" xfId="0" applyNumberFormat="1" applyFont="1" applyBorder="1" applyAlignment="1">
      <alignment horizontal="center" vertical="center" wrapText="1"/>
    </xf>
    <xf numFmtId="169" fontId="45" fillId="0" borderId="17" xfId="0" applyNumberFormat="1" applyFont="1" applyBorder="1" applyAlignment="1">
      <alignment horizontal="center" vertical="center" wrapText="1"/>
    </xf>
    <xf numFmtId="0" fontId="50" fillId="0" borderId="15" xfId="0" applyNumberFormat="1" applyFont="1" applyFill="1" applyBorder="1" applyAlignment="1">
      <alignment horizontal="left" vertical="center" wrapText="1"/>
    </xf>
    <xf numFmtId="0" fontId="50" fillId="0" borderId="16" xfId="0" applyNumberFormat="1" applyFont="1" applyFill="1" applyBorder="1" applyAlignment="1">
      <alignment horizontal="left" vertical="center" wrapText="1"/>
    </xf>
    <xf numFmtId="0" fontId="50" fillId="0" borderId="17" xfId="0" applyNumberFormat="1" applyFont="1" applyFill="1" applyBorder="1" applyAlignment="1">
      <alignment horizontal="left" vertical="center" wrapText="1"/>
    </xf>
    <xf numFmtId="168" fontId="50" fillId="0" borderId="15" xfId="0" applyFont="1" applyFill="1" applyBorder="1" applyAlignment="1">
      <alignment horizontal="left" vertical="center" wrapText="1"/>
    </xf>
    <xf numFmtId="168" fontId="50" fillId="0" borderId="16" xfId="0" applyFont="1" applyFill="1" applyBorder="1" applyAlignment="1">
      <alignment horizontal="left" vertical="center" wrapText="1"/>
    </xf>
    <xf numFmtId="168" fontId="50" fillId="0" borderId="17" xfId="0" applyFont="1" applyFill="1" applyBorder="1" applyAlignment="1">
      <alignment horizontal="left" vertical="center" wrapText="1"/>
    </xf>
    <xf numFmtId="168" fontId="50" fillId="0" borderId="15" xfId="0" applyFont="1" applyFill="1" applyBorder="1" applyAlignment="1">
      <alignment horizontal="left" vertical="center"/>
    </xf>
    <xf numFmtId="168" fontId="50" fillId="0" borderId="16" xfId="0" applyFont="1" applyFill="1" applyBorder="1" applyAlignment="1">
      <alignment horizontal="left" vertical="center"/>
    </xf>
    <xf numFmtId="168" fontId="50" fillId="0" borderId="17" xfId="0" applyFont="1" applyFill="1" applyBorder="1" applyAlignment="1">
      <alignment horizontal="left" vertical="center"/>
    </xf>
    <xf numFmtId="168" fontId="49" fillId="0" borderId="0" xfId="0" applyFont="1" applyFill="1" applyBorder="1" applyAlignment="1">
      <alignment horizontal="center" vertical="center"/>
    </xf>
    <xf numFmtId="0" fontId="52" fillId="0" borderId="0" xfId="0" applyNumberFormat="1" applyFont="1" applyFill="1" applyBorder="1" applyAlignment="1">
      <alignment horizontal="left" vertical="center"/>
    </xf>
    <xf numFmtId="0" fontId="53" fillId="0" borderId="0" xfId="0" applyNumberFormat="1" applyFont="1" applyFill="1" applyBorder="1" applyAlignment="1">
      <alignment horizontal="left" vertical="center" wrapText="1"/>
    </xf>
    <xf numFmtId="168" fontId="50" fillId="0" borderId="0" xfId="0" applyFont="1" applyFill="1" applyBorder="1" applyAlignment="1">
      <alignment horizontal="left" vertical="center" wrapText="1"/>
    </xf>
    <xf numFmtId="168" fontId="52" fillId="0" borderId="3" xfId="0" applyFont="1" applyFill="1" applyBorder="1" applyAlignment="1">
      <alignment horizontal="center" vertical="center"/>
    </xf>
    <xf numFmtId="168" fontId="54" fillId="0" borderId="1" xfId="0" applyFont="1" applyFill="1" applyBorder="1" applyAlignment="1">
      <alignment horizontal="center" vertical="center" wrapText="1"/>
    </xf>
    <xf numFmtId="168" fontId="50" fillId="8" borderId="15" xfId="0" applyFont="1" applyFill="1" applyBorder="1" applyAlignment="1">
      <alignment horizontal="left" vertical="center" wrapText="1"/>
    </xf>
    <xf numFmtId="168" fontId="50" fillId="8" borderId="16" xfId="0" applyFont="1" applyFill="1" applyBorder="1" applyAlignment="1">
      <alignment horizontal="left" vertical="center" wrapText="1"/>
    </xf>
    <xf numFmtId="168" fontId="50" fillId="8" borderId="17" xfId="0" applyFont="1" applyFill="1" applyBorder="1" applyAlignment="1">
      <alignment horizontal="left" vertical="center" wrapText="1"/>
    </xf>
    <xf numFmtId="2" fontId="50" fillId="8" borderId="15" xfId="0" applyNumberFormat="1" applyFont="1" applyFill="1" applyBorder="1" applyAlignment="1">
      <alignment horizontal="left" vertical="center" wrapText="1"/>
    </xf>
    <xf numFmtId="2" fontId="50" fillId="8" borderId="16" xfId="0" applyNumberFormat="1" applyFont="1" applyFill="1" applyBorder="1" applyAlignment="1">
      <alignment horizontal="left" vertical="center" wrapText="1"/>
    </xf>
    <xf numFmtId="2" fontId="50" fillId="8" borderId="17" xfId="0" applyNumberFormat="1" applyFont="1" applyFill="1" applyBorder="1" applyAlignment="1">
      <alignment horizontal="left" vertical="center" wrapText="1"/>
    </xf>
    <xf numFmtId="0" fontId="54" fillId="0" borderId="15" xfId="0" applyNumberFormat="1" applyFont="1" applyFill="1" applyBorder="1" applyAlignment="1">
      <alignment horizontal="left" vertical="center" wrapText="1"/>
    </xf>
    <xf numFmtId="0" fontId="54" fillId="0" borderId="16" xfId="0" applyNumberFormat="1" applyFont="1" applyFill="1" applyBorder="1" applyAlignment="1">
      <alignment horizontal="left" vertical="center" wrapText="1"/>
    </xf>
    <xf numFmtId="0" fontId="54" fillId="0" borderId="17" xfId="0" applyNumberFormat="1" applyFont="1" applyFill="1" applyBorder="1" applyAlignment="1">
      <alignment horizontal="left" vertical="center" wrapText="1"/>
    </xf>
    <xf numFmtId="0" fontId="50" fillId="0" borderId="15" xfId="0" applyNumberFormat="1" applyFont="1" applyFill="1" applyBorder="1" applyAlignment="1">
      <alignment vertical="center" wrapText="1"/>
    </xf>
    <xf numFmtId="0" fontId="50" fillId="0" borderId="16" xfId="0" applyNumberFormat="1" applyFont="1" applyFill="1" applyBorder="1" applyAlignment="1">
      <alignment vertical="center" wrapText="1"/>
    </xf>
    <xf numFmtId="0" fontId="50" fillId="0" borderId="17" xfId="0" applyNumberFormat="1" applyFont="1" applyFill="1" applyBorder="1" applyAlignment="1">
      <alignment vertical="center" wrapText="1"/>
    </xf>
    <xf numFmtId="0" fontId="50" fillId="27" borderId="15" xfId="0" applyNumberFormat="1" applyFont="1" applyFill="1" applyBorder="1" applyAlignment="1">
      <alignment vertical="center" wrapText="1"/>
    </xf>
    <xf numFmtId="0" fontId="50" fillId="27" borderId="16" xfId="0" applyNumberFormat="1" applyFont="1" applyFill="1" applyBorder="1" applyAlignment="1">
      <alignment vertical="center" wrapText="1"/>
    </xf>
    <xf numFmtId="0" fontId="50" fillId="27" borderId="17" xfId="0" applyNumberFormat="1" applyFont="1" applyFill="1" applyBorder="1" applyAlignment="1">
      <alignment vertical="center" wrapText="1"/>
    </xf>
    <xf numFmtId="0" fontId="50" fillId="8" borderId="15" xfId="0" applyNumberFormat="1" applyFont="1" applyFill="1" applyBorder="1" applyAlignment="1">
      <alignment horizontal="left" vertical="center" wrapText="1"/>
    </xf>
    <xf numFmtId="0" fontId="50" fillId="8" borderId="16" xfId="0" applyNumberFormat="1" applyFont="1" applyFill="1" applyBorder="1" applyAlignment="1">
      <alignment horizontal="left" vertical="center" wrapText="1"/>
    </xf>
    <xf numFmtId="0" fontId="50" fillId="8" borderId="17" xfId="0" applyNumberFormat="1" applyFont="1" applyFill="1" applyBorder="1" applyAlignment="1">
      <alignment horizontal="left" vertical="center" wrapText="1"/>
    </xf>
    <xf numFmtId="168" fontId="50" fillId="0" borderId="15" xfId="0" applyFont="1" applyFill="1" applyBorder="1" applyAlignment="1">
      <alignment vertical="center" wrapText="1"/>
    </xf>
    <xf numFmtId="168" fontId="50" fillId="0" borderId="16" xfId="0" applyFont="1" applyFill="1" applyBorder="1" applyAlignment="1">
      <alignment vertical="center" wrapText="1"/>
    </xf>
    <xf numFmtId="168" fontId="50" fillId="0" borderId="17" xfId="0" applyFont="1" applyFill="1" applyBorder="1" applyAlignment="1">
      <alignment vertical="center" wrapText="1"/>
    </xf>
    <xf numFmtId="168" fontId="54" fillId="0" borderId="15" xfId="0" applyFont="1" applyFill="1" applyBorder="1" applyAlignment="1">
      <alignment vertical="center" wrapText="1"/>
    </xf>
    <xf numFmtId="168" fontId="54" fillId="0" borderId="16" xfId="0" applyFont="1" applyFill="1" applyBorder="1" applyAlignment="1">
      <alignment vertical="center" wrapText="1"/>
    </xf>
    <xf numFmtId="168" fontId="54" fillId="0" borderId="17" xfId="0" applyFont="1" applyFill="1" applyBorder="1" applyAlignment="1">
      <alignment vertical="center" wrapText="1"/>
    </xf>
    <xf numFmtId="168" fontId="54" fillId="0" borderId="15" xfId="0" applyFont="1" applyFill="1" applyBorder="1" applyAlignment="1">
      <alignment horizontal="left" vertical="center" wrapText="1"/>
    </xf>
    <xf numFmtId="168" fontId="54" fillId="0" borderId="16" xfId="0" applyFont="1" applyFill="1" applyBorder="1" applyAlignment="1">
      <alignment horizontal="left" vertical="center" wrapText="1"/>
    </xf>
    <xf numFmtId="168" fontId="54" fillId="0" borderId="17" xfId="0" applyFont="1" applyFill="1" applyBorder="1" applyAlignment="1">
      <alignment horizontal="left" vertical="center" wrapText="1"/>
    </xf>
    <xf numFmtId="0" fontId="54" fillId="8" borderId="15" xfId="0" applyNumberFormat="1" applyFont="1" applyFill="1" applyBorder="1" applyAlignment="1">
      <alignment horizontal="left" vertical="center" wrapText="1"/>
    </xf>
    <xf numFmtId="0" fontId="54" fillId="8" borderId="16" xfId="0" applyNumberFormat="1" applyFont="1" applyFill="1" applyBorder="1" applyAlignment="1">
      <alignment horizontal="left" vertical="center" wrapText="1"/>
    </xf>
    <xf numFmtId="0" fontId="54" fillId="8" borderId="17" xfId="0" applyNumberFormat="1" applyFont="1" applyFill="1" applyBorder="1" applyAlignment="1">
      <alignment horizontal="left" vertical="center" wrapText="1"/>
    </xf>
    <xf numFmtId="0" fontId="50" fillId="6" borderId="15" xfId="0" applyNumberFormat="1" applyFont="1" applyFill="1" applyBorder="1" applyAlignment="1">
      <alignment horizontal="left" vertical="center" wrapText="1"/>
    </xf>
    <xf numFmtId="0" fontId="50" fillId="6" borderId="16" xfId="0" applyNumberFormat="1" applyFont="1" applyFill="1" applyBorder="1" applyAlignment="1">
      <alignment horizontal="left" vertical="center" wrapText="1"/>
    </xf>
    <xf numFmtId="0" fontId="50" fillId="6" borderId="17" xfId="0" applyNumberFormat="1" applyFont="1" applyFill="1" applyBorder="1" applyAlignment="1">
      <alignment horizontal="left" vertical="center" wrapText="1"/>
    </xf>
    <xf numFmtId="168" fontId="52" fillId="0" borderId="0" xfId="0" applyFont="1" applyFill="1" applyBorder="1" applyAlignment="1">
      <alignment horizontal="center" vertical="center" wrapText="1"/>
    </xf>
    <xf numFmtId="0" fontId="53" fillId="0" borderId="0" xfId="0" applyNumberFormat="1" applyFont="1" applyFill="1" applyBorder="1" applyAlignment="1">
      <alignment horizontal="justify" vertical="center" wrapText="1"/>
    </xf>
    <xf numFmtId="168" fontId="54" fillId="0" borderId="15" xfId="0" applyFont="1" applyFill="1" applyBorder="1" applyAlignment="1">
      <alignment horizontal="center" vertical="center" wrapText="1"/>
    </xf>
    <xf numFmtId="168" fontId="54" fillId="0" borderId="17" xfId="0" applyFont="1" applyFill="1" applyBorder="1" applyAlignment="1">
      <alignment horizontal="center" vertical="center" wrapText="1"/>
    </xf>
    <xf numFmtId="168" fontId="77" fillId="0" borderId="15" xfId="0" applyFont="1" applyFill="1" applyBorder="1" applyAlignment="1">
      <alignment horizontal="left" vertical="center" wrapText="1"/>
    </xf>
    <xf numFmtId="168" fontId="77" fillId="0" borderId="16" xfId="0" applyFont="1" applyFill="1" applyBorder="1" applyAlignment="1">
      <alignment horizontal="left" vertical="center" wrapText="1"/>
    </xf>
    <xf numFmtId="168" fontId="77" fillId="0" borderId="17" xfId="0" applyFont="1" applyFill="1" applyBorder="1" applyAlignment="1">
      <alignment horizontal="left" vertical="center" wrapText="1"/>
    </xf>
    <xf numFmtId="168" fontId="52" fillId="0" borderId="0" xfId="0" applyFont="1" applyFill="1" applyBorder="1" applyAlignment="1">
      <alignment horizontal="center" vertical="center"/>
    </xf>
    <xf numFmtId="168" fontId="52" fillId="0" borderId="0" xfId="1110" applyNumberFormat="1" applyFont="1" applyFill="1" applyBorder="1" applyAlignment="1">
      <alignment horizontal="center" vertical="center"/>
    </xf>
    <xf numFmtId="0" fontId="52" fillId="0" borderId="0" xfId="1110" applyNumberFormat="1" applyFont="1" applyFill="1" applyBorder="1" applyAlignment="1">
      <alignment horizontal="center" vertical="center" wrapText="1"/>
    </xf>
    <xf numFmtId="169" fontId="78" fillId="0" borderId="1" xfId="1110" applyNumberFormat="1" applyFont="1" applyFill="1" applyBorder="1" applyAlignment="1">
      <alignment horizontal="center" vertical="center"/>
    </xf>
    <xf numFmtId="2" fontId="77" fillId="0" borderId="15" xfId="1192" applyNumberFormat="1" applyFont="1" applyFill="1" applyBorder="1" applyAlignment="1">
      <alignment horizontal="left" vertical="center" wrapText="1"/>
    </xf>
    <xf numFmtId="2" fontId="77" fillId="0" borderId="16" xfId="1192" applyNumberFormat="1" applyFont="1" applyFill="1" applyBorder="1" applyAlignment="1">
      <alignment horizontal="left" vertical="center" wrapText="1"/>
    </xf>
    <xf numFmtId="2" fontId="77" fillId="0" borderId="17" xfId="1192" applyNumberFormat="1" applyFont="1" applyFill="1" applyBorder="1" applyAlignment="1">
      <alignment horizontal="left" vertical="center" wrapText="1"/>
    </xf>
    <xf numFmtId="168" fontId="77" fillId="0" borderId="15" xfId="0" applyFont="1" applyFill="1" applyBorder="1" applyAlignment="1">
      <alignment vertical="center" wrapText="1"/>
    </xf>
    <xf numFmtId="168" fontId="77" fillId="0" borderId="16" xfId="0" applyFont="1" applyFill="1" applyBorder="1" applyAlignment="1">
      <alignment vertical="center" wrapText="1"/>
    </xf>
    <xf numFmtId="168" fontId="77" fillId="0" borderId="17" xfId="0" applyFont="1" applyFill="1" applyBorder="1" applyAlignment="1">
      <alignment vertical="center" wrapText="1"/>
    </xf>
    <xf numFmtId="2" fontId="77" fillId="0" borderId="1" xfId="1192" applyNumberFormat="1" applyFont="1" applyFill="1" applyBorder="1" applyAlignment="1">
      <alignment horizontal="left" vertical="center" wrapText="1"/>
    </xf>
    <xf numFmtId="168" fontId="52" fillId="0" borderId="0" xfId="1111" applyNumberFormat="1" applyFont="1" applyFill="1" applyBorder="1" applyAlignment="1">
      <alignment horizontal="center" vertical="center"/>
    </xf>
    <xf numFmtId="0" fontId="52" fillId="0" borderId="0" xfId="1111" applyNumberFormat="1" applyFont="1" applyFill="1" applyBorder="1" applyAlignment="1">
      <alignment horizontal="center" vertical="center" wrapText="1"/>
    </xf>
    <xf numFmtId="169" fontId="78" fillId="0" borderId="1" xfId="1111" applyNumberFormat="1" applyFont="1" applyFill="1" applyBorder="1" applyAlignment="1">
      <alignment horizontal="center" vertical="center"/>
    </xf>
    <xf numFmtId="168" fontId="77" fillId="0" borderId="15" xfId="0" applyFont="1" applyBorder="1" applyAlignment="1">
      <alignment horizontal="left" vertical="center" wrapText="1"/>
    </xf>
    <xf numFmtId="168" fontId="77" fillId="0" borderId="16" xfId="0" applyFont="1" applyBorder="1" applyAlignment="1">
      <alignment horizontal="left" vertical="center" wrapText="1"/>
    </xf>
    <xf numFmtId="168" fontId="77" fillId="0" borderId="17" xfId="0" applyFont="1" applyBorder="1" applyAlignment="1">
      <alignment horizontal="left" vertical="center" wrapText="1"/>
    </xf>
    <xf numFmtId="168" fontId="77" fillId="0" borderId="1" xfId="0" applyFont="1" applyBorder="1" applyAlignment="1">
      <alignment horizontal="left" vertical="center" wrapText="1"/>
    </xf>
    <xf numFmtId="168" fontId="77" fillId="6" borderId="1" xfId="0" applyFont="1" applyFill="1" applyBorder="1" applyAlignment="1">
      <alignment horizontal="left" vertical="center" wrapText="1"/>
    </xf>
    <xf numFmtId="168" fontId="52" fillId="0" borderId="0" xfId="0" applyFont="1" applyBorder="1" applyAlignment="1">
      <alignment horizontal="center" vertical="center"/>
    </xf>
    <xf numFmtId="168" fontId="86" fillId="0" borderId="0" xfId="0" applyFont="1" applyBorder="1" applyAlignment="1">
      <alignment horizontal="center" vertical="center" wrapText="1"/>
    </xf>
    <xf numFmtId="1" fontId="34" fillId="0" borderId="1" xfId="0" applyNumberFormat="1" applyFont="1" applyFill="1" applyBorder="1" applyAlignment="1">
      <alignment horizontal="center" vertical="center" wrapText="1"/>
    </xf>
    <xf numFmtId="168" fontId="34" fillId="0" borderId="1" xfId="0" applyFont="1" applyFill="1" applyBorder="1" applyAlignment="1">
      <alignment horizontal="center" vertical="center"/>
    </xf>
    <xf numFmtId="168" fontId="78" fillId="0" borderId="1" xfId="0" applyFont="1" applyBorder="1" applyAlignment="1">
      <alignment horizontal="center" vertical="center" wrapText="1"/>
    </xf>
    <xf numFmtId="168" fontId="34" fillId="0" borderId="1" xfId="0" applyFont="1" applyFill="1" applyBorder="1" applyAlignment="1">
      <alignment horizontal="center" vertical="center" wrapText="1"/>
    </xf>
    <xf numFmtId="2" fontId="19" fillId="0" borderId="1" xfId="0" applyNumberFormat="1" applyFont="1" applyFill="1" applyBorder="1" applyAlignment="1">
      <alignment horizontal="right" vertical="center"/>
    </xf>
    <xf numFmtId="168" fontId="20" fillId="0" borderId="0" xfId="0" applyFont="1" applyFill="1" applyBorder="1" applyAlignment="1">
      <alignment horizontal="left" vertical="center"/>
    </xf>
    <xf numFmtId="2" fontId="19" fillId="0" borderId="15" xfId="0" applyNumberFormat="1" applyFont="1" applyFill="1" applyBorder="1" applyAlignment="1">
      <alignment horizontal="center" vertical="center"/>
    </xf>
    <xf numFmtId="2" fontId="19" fillId="0" borderId="17" xfId="0" applyNumberFormat="1" applyFont="1" applyFill="1" applyBorder="1" applyAlignment="1">
      <alignment horizontal="center" vertical="center"/>
    </xf>
    <xf numFmtId="168" fontId="19" fillId="0" borderId="15" xfId="0" applyFont="1" applyFill="1" applyBorder="1" applyAlignment="1">
      <alignment horizontal="center" vertical="center"/>
    </xf>
    <xf numFmtId="168" fontId="19" fillId="0" borderId="17" xfId="0" applyFont="1" applyFill="1" applyBorder="1" applyAlignment="1">
      <alignment horizontal="center" vertical="center"/>
    </xf>
    <xf numFmtId="0" fontId="20" fillId="0" borderId="1" xfId="0" applyNumberFormat="1" applyFont="1" applyFill="1" applyBorder="1" applyAlignment="1">
      <alignment horizontal="center" vertical="center" wrapText="1"/>
    </xf>
    <xf numFmtId="0" fontId="115" fillId="0" borderId="0" xfId="0" applyNumberFormat="1" applyFont="1" applyFill="1" applyBorder="1" applyAlignment="1">
      <alignment horizontal="center" vertical="center" wrapText="1"/>
    </xf>
    <xf numFmtId="0" fontId="116" fillId="0" borderId="0" xfId="0" applyNumberFormat="1" applyFont="1" applyFill="1" applyBorder="1" applyAlignment="1">
      <alignment horizontal="center" vertical="center" wrapText="1"/>
    </xf>
    <xf numFmtId="168" fontId="89" fillId="0" borderId="0" xfId="0" applyFont="1" applyFill="1" applyAlignment="1">
      <alignment horizontal="center" vertical="center"/>
    </xf>
    <xf numFmtId="168" fontId="76" fillId="0" borderId="0" xfId="0" applyFont="1" applyFill="1" applyBorder="1" applyAlignment="1">
      <alignment horizontal="center" vertical="center" wrapText="1"/>
    </xf>
    <xf numFmtId="171" fontId="54" fillId="0" borderId="1" xfId="0" applyNumberFormat="1" applyFont="1" applyFill="1" applyBorder="1" applyAlignment="1">
      <alignment horizontal="center" vertical="center" wrapText="1"/>
    </xf>
    <xf numFmtId="168" fontId="54" fillId="0" borderId="1" xfId="0" applyFont="1" applyFill="1" applyBorder="1" applyAlignment="1">
      <alignment horizontal="center" vertical="center"/>
    </xf>
    <xf numFmtId="168" fontId="99" fillId="0" borderId="15" xfId="0" applyFont="1" applyFill="1" applyBorder="1" applyAlignment="1">
      <alignment horizontal="left" vertical="center" wrapText="1"/>
    </xf>
    <xf numFmtId="168" fontId="99" fillId="0" borderId="16" xfId="0" applyFont="1" applyFill="1" applyBorder="1" applyAlignment="1">
      <alignment horizontal="left" vertical="center" wrapText="1"/>
    </xf>
    <xf numFmtId="168" fontId="99" fillId="0" borderId="17" xfId="0" applyFont="1" applyFill="1" applyBorder="1" applyAlignment="1">
      <alignment horizontal="left" vertical="center" wrapText="1"/>
    </xf>
    <xf numFmtId="2" fontId="99" fillId="0" borderId="15" xfId="1192" applyNumberFormat="1" applyFont="1" applyFill="1" applyBorder="1" applyAlignment="1">
      <alignment horizontal="left" vertical="center" wrapText="1"/>
    </xf>
    <xf numFmtId="2" fontId="99" fillId="0" borderId="16" xfId="1192" applyNumberFormat="1" applyFont="1" applyFill="1" applyBorder="1" applyAlignment="1">
      <alignment horizontal="left" vertical="center" wrapText="1"/>
    </xf>
    <xf numFmtId="2" fontId="99" fillId="0" borderId="17" xfId="1192" applyNumberFormat="1" applyFont="1" applyFill="1" applyBorder="1" applyAlignment="1">
      <alignment horizontal="left" vertical="center" wrapText="1"/>
    </xf>
    <xf numFmtId="2" fontId="99" fillId="0" borderId="1" xfId="0" applyNumberFormat="1" applyFont="1" applyFill="1" applyBorder="1" applyAlignment="1">
      <alignment horizontal="right" vertical="center"/>
    </xf>
    <xf numFmtId="2" fontId="99" fillId="0" borderId="15" xfId="1192" applyNumberFormat="1" applyFont="1" applyFill="1" applyBorder="1" applyAlignment="1">
      <alignment vertical="center" wrapText="1"/>
    </xf>
    <xf numFmtId="2" fontId="99" fillId="0" borderId="16" xfId="1192" applyNumberFormat="1" applyFont="1" applyFill="1" applyBorder="1" applyAlignment="1">
      <alignment vertical="center" wrapText="1"/>
    </xf>
    <xf numFmtId="2" fontId="99" fillId="0" borderId="17" xfId="1192" applyNumberFormat="1" applyFont="1" applyFill="1" applyBorder="1" applyAlignment="1">
      <alignment vertical="center" wrapText="1"/>
    </xf>
    <xf numFmtId="0" fontId="98" fillId="0" borderId="0" xfId="0" applyNumberFormat="1" applyFont="1" applyFill="1" applyBorder="1" applyAlignment="1">
      <alignment horizontal="center" vertical="center" wrapText="1"/>
    </xf>
    <xf numFmtId="0" fontId="98" fillId="0" borderId="0" xfId="0" applyNumberFormat="1" applyFont="1" applyFill="1" applyBorder="1" applyAlignment="1">
      <alignment horizontal="center" vertical="center"/>
    </xf>
    <xf numFmtId="0" fontId="100" fillId="0" borderId="1" xfId="0" applyNumberFormat="1" applyFont="1" applyFill="1" applyBorder="1" applyAlignment="1">
      <alignment horizontal="center" vertical="center" wrapText="1"/>
    </xf>
    <xf numFmtId="0" fontId="100" fillId="0" borderId="1" xfId="0" applyNumberFormat="1" applyFont="1" applyFill="1" applyBorder="1" applyAlignment="1">
      <alignment horizontal="center" vertical="center"/>
    </xf>
    <xf numFmtId="1" fontId="100" fillId="0" borderId="1" xfId="0" applyNumberFormat="1" applyFont="1" applyFill="1" applyBorder="1" applyAlignment="1">
      <alignment horizontal="center" vertical="center"/>
    </xf>
    <xf numFmtId="0" fontId="77" fillId="0" borderId="15" xfId="1325" applyFont="1" applyFill="1" applyBorder="1" applyAlignment="1">
      <alignment horizontal="left" vertical="center" wrapText="1"/>
    </xf>
    <xf numFmtId="0" fontId="77" fillId="0" borderId="16" xfId="1325" applyFont="1" applyFill="1" applyBorder="1" applyAlignment="1">
      <alignment horizontal="left" vertical="center" wrapText="1"/>
    </xf>
    <xf numFmtId="0" fontId="77" fillId="0" borderId="17" xfId="1325" applyFont="1" applyFill="1" applyBorder="1" applyAlignment="1">
      <alignment horizontal="left" vertical="center" wrapText="1"/>
    </xf>
    <xf numFmtId="0" fontId="78" fillId="0" borderId="15" xfId="1325" applyFont="1" applyFill="1" applyBorder="1" applyAlignment="1">
      <alignment horizontal="left" vertical="center" wrapText="1"/>
    </xf>
    <xf numFmtId="0" fontId="78" fillId="0" borderId="16" xfId="1325" applyFont="1" applyFill="1" applyBorder="1" applyAlignment="1">
      <alignment horizontal="left" vertical="center" wrapText="1"/>
    </xf>
    <xf numFmtId="0" fontId="78" fillId="0" borderId="17" xfId="1325" applyFont="1" applyFill="1" applyBorder="1" applyAlignment="1">
      <alignment horizontal="left" vertical="center" wrapText="1"/>
    </xf>
    <xf numFmtId="0" fontId="78" fillId="0" borderId="15" xfId="1325" applyFont="1" applyFill="1" applyBorder="1" applyAlignment="1">
      <alignment vertical="center" wrapText="1"/>
    </xf>
    <xf numFmtId="0" fontId="78" fillId="0" borderId="16" xfId="1325" applyFont="1" applyFill="1" applyBorder="1" applyAlignment="1">
      <alignment vertical="center" wrapText="1"/>
    </xf>
    <xf numFmtId="0" fontId="78" fillId="0" borderId="17" xfId="1325" applyFont="1" applyFill="1" applyBorder="1" applyAlignment="1">
      <alignment vertical="center" wrapText="1"/>
    </xf>
    <xf numFmtId="0" fontId="103" fillId="0" borderId="15" xfId="1325" applyNumberFormat="1" applyFont="1" applyFill="1" applyBorder="1" applyAlignment="1">
      <alignment vertical="center" wrapText="1"/>
    </xf>
    <xf numFmtId="0" fontId="103" fillId="0" borderId="16" xfId="1325" applyNumberFormat="1" applyFont="1" applyFill="1" applyBorder="1" applyAlignment="1">
      <alignment vertical="center" wrapText="1"/>
    </xf>
    <xf numFmtId="0" fontId="103" fillId="0" borderId="17" xfId="1325" applyNumberFormat="1" applyFont="1" applyFill="1" applyBorder="1" applyAlignment="1">
      <alignment vertical="center" wrapText="1"/>
    </xf>
    <xf numFmtId="0" fontId="86" fillId="0" borderId="0" xfId="1325" applyFont="1" applyFill="1" applyBorder="1" applyAlignment="1">
      <alignment horizontal="center" vertical="center" wrapText="1"/>
    </xf>
    <xf numFmtId="0" fontId="101" fillId="0" borderId="0" xfId="1325" applyNumberFormat="1" applyFont="1" applyFill="1" applyAlignment="1">
      <alignment horizontal="center" vertical="center"/>
    </xf>
    <xf numFmtId="0" fontId="102" fillId="0" borderId="1" xfId="1325" applyNumberFormat="1" applyFont="1" applyFill="1" applyBorder="1" applyAlignment="1">
      <alignment horizontal="center" vertical="center"/>
    </xf>
    <xf numFmtId="2" fontId="103" fillId="0" borderId="15" xfId="1325" applyNumberFormat="1" applyFont="1" applyFill="1" applyBorder="1" applyAlignment="1">
      <alignment horizontal="left" vertical="center" wrapText="1"/>
    </xf>
    <xf numFmtId="2" fontId="103" fillId="0" borderId="16" xfId="1325" applyNumberFormat="1" applyFont="1" applyFill="1" applyBorder="1" applyAlignment="1">
      <alignment horizontal="left" vertical="center" wrapText="1"/>
    </xf>
    <xf numFmtId="2" fontId="103" fillId="0" borderId="17" xfId="1325" applyNumberFormat="1" applyFont="1" applyFill="1" applyBorder="1" applyAlignment="1">
      <alignment horizontal="left" vertical="center" wrapText="1"/>
    </xf>
    <xf numFmtId="0" fontId="103" fillId="0" borderId="1" xfId="1325" applyNumberFormat="1" applyFont="1" applyFill="1" applyBorder="1" applyAlignment="1">
      <alignment horizontal="right" vertical="center"/>
    </xf>
    <xf numFmtId="0" fontId="2" fillId="0" borderId="15" xfId="1326" applyFont="1" applyFill="1" applyBorder="1" applyAlignment="1">
      <alignment horizontal="left" vertical="center" wrapText="1"/>
    </xf>
    <xf numFmtId="0" fontId="2" fillId="0" borderId="16" xfId="1326" applyFont="1" applyFill="1" applyBorder="1" applyAlignment="1">
      <alignment horizontal="left" vertical="center" wrapText="1"/>
    </xf>
    <xf numFmtId="0" fontId="2" fillId="0" borderId="17" xfId="1326" applyFont="1" applyFill="1" applyBorder="1" applyAlignment="1">
      <alignment horizontal="left" vertical="center" wrapText="1"/>
    </xf>
    <xf numFmtId="2" fontId="2" fillId="0" borderId="15" xfId="1326" applyNumberFormat="1" applyFont="1" applyFill="1" applyBorder="1" applyAlignment="1">
      <alignment horizontal="center" vertical="center"/>
    </xf>
    <xf numFmtId="2" fontId="2" fillId="0" borderId="17" xfId="1326" applyNumberFormat="1" applyFont="1" applyFill="1" applyBorder="1" applyAlignment="1">
      <alignment horizontal="center" vertical="center"/>
    </xf>
    <xf numFmtId="2" fontId="77" fillId="0" borderId="15" xfId="38" applyNumberFormat="1" applyFont="1" applyFill="1" applyBorder="1" applyAlignment="1">
      <alignment horizontal="left" vertical="center" wrapText="1"/>
    </xf>
    <xf numFmtId="2" fontId="77" fillId="0" borderId="16" xfId="38" applyNumberFormat="1" applyFont="1" applyFill="1" applyBorder="1" applyAlignment="1">
      <alignment horizontal="left" vertical="center" wrapText="1"/>
    </xf>
    <xf numFmtId="2" fontId="77" fillId="0" borderId="17" xfId="38" applyNumberFormat="1" applyFont="1" applyFill="1" applyBorder="1" applyAlignment="1">
      <alignment horizontal="left" vertical="center" wrapText="1"/>
    </xf>
    <xf numFmtId="0" fontId="77" fillId="0" borderId="15" xfId="1326" applyFont="1" applyFill="1" applyBorder="1" applyAlignment="1">
      <alignment horizontal="left" vertical="center" wrapText="1"/>
    </xf>
    <xf numFmtId="0" fontId="77" fillId="0" borderId="16" xfId="1326" applyFont="1" applyFill="1" applyBorder="1" applyAlignment="1">
      <alignment horizontal="left" vertical="center" wrapText="1"/>
    </xf>
    <xf numFmtId="0" fontId="77" fillId="0" borderId="17" xfId="1326" applyFont="1" applyFill="1" applyBorder="1" applyAlignment="1">
      <alignment horizontal="left" vertical="center" wrapText="1"/>
    </xf>
    <xf numFmtId="0" fontId="110" fillId="0" borderId="1" xfId="1326" applyNumberFormat="1" applyFont="1" applyFill="1" applyBorder="1" applyAlignment="1">
      <alignment horizontal="center" vertical="center"/>
    </xf>
    <xf numFmtId="2" fontId="103" fillId="0" borderId="15" xfId="1326" applyNumberFormat="1" applyFont="1" applyFill="1" applyBorder="1" applyAlignment="1">
      <alignment horizontal="left" vertical="center" wrapText="1"/>
    </xf>
    <xf numFmtId="2" fontId="103" fillId="0" borderId="16" xfId="1326" applyNumberFormat="1" applyFont="1" applyFill="1" applyBorder="1" applyAlignment="1">
      <alignment horizontal="left" vertical="center" wrapText="1"/>
    </xf>
    <xf numFmtId="2" fontId="103" fillId="0" borderId="17" xfId="1326" applyNumberFormat="1" applyFont="1" applyFill="1" applyBorder="1" applyAlignment="1">
      <alignment horizontal="left" vertical="center" wrapText="1"/>
    </xf>
    <xf numFmtId="0" fontId="103" fillId="0" borderId="15" xfId="1326" applyNumberFormat="1" applyFont="1" applyFill="1" applyBorder="1" applyAlignment="1">
      <alignment horizontal="left" vertical="center" wrapText="1"/>
    </xf>
    <xf numFmtId="0" fontId="103" fillId="0" borderId="16" xfId="1326" applyNumberFormat="1" applyFont="1" applyFill="1" applyBorder="1" applyAlignment="1">
      <alignment horizontal="left" vertical="center" wrapText="1"/>
    </xf>
    <xf numFmtId="0" fontId="103" fillId="0" borderId="17" xfId="1326" applyNumberFormat="1" applyFont="1" applyFill="1" applyBorder="1" applyAlignment="1">
      <alignment horizontal="left" vertical="center" wrapText="1"/>
    </xf>
    <xf numFmtId="0" fontId="111" fillId="0" borderId="3" xfId="1326" applyNumberFormat="1" applyFont="1" applyFill="1" applyBorder="1" applyAlignment="1">
      <alignment horizontal="center" vertical="center"/>
    </xf>
    <xf numFmtId="0" fontId="107" fillId="0" borderId="0" xfId="1326" applyNumberFormat="1" applyFont="1" applyFill="1" applyBorder="1" applyAlignment="1">
      <alignment horizontal="center" vertical="center"/>
    </xf>
    <xf numFmtId="0" fontId="86" fillId="0" borderId="0" xfId="1326" applyFont="1" applyFill="1" applyBorder="1" applyAlignment="1">
      <alignment horizontal="center" vertical="center" wrapText="1"/>
    </xf>
    <xf numFmtId="0" fontId="109" fillId="0" borderId="0" xfId="1326" applyNumberFormat="1" applyFont="1" applyFill="1" applyBorder="1" applyAlignment="1">
      <alignment horizontal="right" vertical="center"/>
    </xf>
    <xf numFmtId="0" fontId="110" fillId="0" borderId="0" xfId="1326" applyNumberFormat="1" applyFont="1" applyFill="1" applyBorder="1" applyAlignment="1">
      <alignment horizontal="right" vertical="center"/>
    </xf>
    <xf numFmtId="168" fontId="84" fillId="0" borderId="1" xfId="0" applyFont="1" applyFill="1" applyBorder="1" applyAlignment="1">
      <alignment horizontal="left" vertical="center" wrapText="1"/>
    </xf>
    <xf numFmtId="0" fontId="113" fillId="0" borderId="15" xfId="0" applyNumberFormat="1" applyFont="1" applyBorder="1" applyAlignment="1">
      <alignment horizontal="left" vertical="center" wrapText="1"/>
    </xf>
    <xf numFmtId="0" fontId="113" fillId="0" borderId="16" xfId="0" applyNumberFormat="1" applyFont="1" applyBorder="1" applyAlignment="1">
      <alignment horizontal="left" vertical="center" wrapText="1"/>
    </xf>
    <xf numFmtId="0" fontId="113" fillId="0" borderId="17" xfId="0" applyNumberFormat="1" applyFont="1" applyBorder="1" applyAlignment="1">
      <alignment horizontal="left" vertical="center" wrapText="1"/>
    </xf>
    <xf numFmtId="2" fontId="84" fillId="0" borderId="1" xfId="1192" applyNumberFormat="1" applyFont="1" applyFill="1" applyBorder="1" applyAlignment="1">
      <alignment horizontal="left" vertical="center" wrapText="1"/>
    </xf>
    <xf numFmtId="0" fontId="114" fillId="0" borderId="1" xfId="1323" applyNumberFormat="1" applyFont="1" applyFill="1" applyBorder="1" applyAlignment="1">
      <alignment horizontal="center" vertical="center"/>
    </xf>
    <xf numFmtId="168" fontId="85" fillId="0" borderId="1" xfId="0" applyFont="1" applyFill="1" applyBorder="1" applyAlignment="1">
      <alignment horizontal="center" vertical="center" wrapText="1"/>
    </xf>
    <xf numFmtId="0" fontId="82" fillId="0" borderId="1" xfId="1323" applyNumberFormat="1" applyFont="1" applyFill="1" applyBorder="1" applyAlignment="1">
      <alignment horizontal="center" vertical="center"/>
    </xf>
    <xf numFmtId="1" fontId="83" fillId="0" borderId="13" xfId="1323" applyNumberFormat="1" applyFont="1" applyFill="1" applyBorder="1" applyAlignment="1">
      <alignment horizontal="center" vertical="center" wrapText="1"/>
    </xf>
    <xf numFmtId="1" fontId="83" fillId="0" borderId="14" xfId="1323" applyNumberFormat="1" applyFont="1" applyFill="1" applyBorder="1" applyAlignment="1">
      <alignment horizontal="center" vertical="center" wrapText="1"/>
    </xf>
    <xf numFmtId="0" fontId="83" fillId="0" borderId="1" xfId="1323" applyNumberFormat="1" applyFont="1" applyFill="1" applyBorder="1" applyAlignment="1">
      <alignment horizontal="center" vertical="center" wrapText="1"/>
    </xf>
    <xf numFmtId="0" fontId="83" fillId="0" borderId="1" xfId="1323" applyNumberFormat="1" applyFont="1" applyFill="1" applyBorder="1" applyAlignment="1">
      <alignment horizontal="center" vertical="center"/>
    </xf>
    <xf numFmtId="0" fontId="91" fillId="0" borderId="15" xfId="1115" applyFont="1" applyFill="1" applyBorder="1" applyAlignment="1">
      <alignment horizontal="left" vertical="center" wrapText="1"/>
    </xf>
    <xf numFmtId="0" fontId="91" fillId="0" borderId="16" xfId="1115" applyFont="1" applyFill="1" applyBorder="1" applyAlignment="1">
      <alignment horizontal="left" vertical="center" wrapText="1"/>
    </xf>
    <xf numFmtId="0" fontId="91" fillId="0" borderId="17" xfId="1115" applyFont="1" applyFill="1" applyBorder="1" applyAlignment="1">
      <alignment horizontal="left" vertical="center" wrapText="1"/>
    </xf>
    <xf numFmtId="2" fontId="91" fillId="0" borderId="15" xfId="1192" applyNumberFormat="1" applyFont="1" applyFill="1" applyBorder="1" applyAlignment="1">
      <alignment horizontal="left" vertical="center" wrapText="1"/>
    </xf>
    <xf numFmtId="2" fontId="91" fillId="0" borderId="16" xfId="1192" applyNumberFormat="1" applyFont="1" applyFill="1" applyBorder="1" applyAlignment="1">
      <alignment horizontal="left" vertical="center" wrapText="1"/>
    </xf>
    <xf numFmtId="2" fontId="91" fillId="0" borderId="17" xfId="1192" applyNumberFormat="1" applyFont="1" applyFill="1" applyBorder="1" applyAlignment="1">
      <alignment horizontal="left" vertical="center" wrapText="1"/>
    </xf>
    <xf numFmtId="0" fontId="91" fillId="0" borderId="0" xfId="1115" applyFont="1" applyFill="1" applyBorder="1" applyAlignment="1">
      <alignment horizontal="left" vertical="center" wrapText="1"/>
    </xf>
    <xf numFmtId="0" fontId="6" fillId="0" borderId="0" xfId="1115" applyFont="1" applyFill="1" applyBorder="1" applyAlignment="1">
      <alignment horizontal="center" vertical="center" wrapText="1"/>
    </xf>
    <xf numFmtId="0" fontId="96" fillId="0" borderId="0" xfId="1115" applyFont="1" applyFill="1" applyBorder="1" applyAlignment="1">
      <alignment horizontal="center" vertical="center"/>
    </xf>
    <xf numFmtId="0" fontId="18" fillId="0" borderId="0" xfId="1115" applyFont="1" applyFill="1" applyBorder="1" applyAlignment="1">
      <alignment horizontal="center" vertical="center"/>
    </xf>
    <xf numFmtId="0" fontId="92" fillId="0" borderId="13" xfId="1115" applyFont="1" applyFill="1" applyBorder="1" applyAlignment="1">
      <alignment horizontal="center" vertical="center" wrapText="1"/>
    </xf>
    <xf numFmtId="0" fontId="92" fillId="0" borderId="14" xfId="1115" applyFont="1" applyFill="1" applyBorder="1" applyAlignment="1">
      <alignment horizontal="center" vertical="center" wrapText="1"/>
    </xf>
    <xf numFmtId="0" fontId="92" fillId="0" borderId="13" xfId="1115" applyFont="1" applyFill="1" applyBorder="1" applyAlignment="1">
      <alignment horizontal="center" vertical="center"/>
    </xf>
    <xf numFmtId="0" fontId="92" fillId="0" borderId="14" xfId="1115" applyFont="1" applyFill="1" applyBorder="1" applyAlignment="1">
      <alignment horizontal="center" vertical="center"/>
    </xf>
    <xf numFmtId="0" fontId="92" fillId="0" borderId="4" xfId="1115" applyFont="1" applyFill="1" applyBorder="1" applyAlignment="1">
      <alignment horizontal="center" vertical="center"/>
    </xf>
    <xf numFmtId="0" fontId="92" fillId="0" borderId="5" xfId="1115" applyFont="1" applyFill="1" applyBorder="1" applyAlignment="1">
      <alignment horizontal="center" vertical="center"/>
    </xf>
    <xf numFmtId="0" fontId="92" fillId="0" borderId="6" xfId="1115" applyFont="1" applyFill="1" applyBorder="1" applyAlignment="1">
      <alignment horizontal="center" vertical="center"/>
    </xf>
    <xf numFmtId="0" fontId="92" fillId="0" borderId="9" xfId="1115" applyFont="1" applyFill="1" applyBorder="1" applyAlignment="1">
      <alignment horizontal="center" vertical="center"/>
    </xf>
    <xf numFmtId="0" fontId="92" fillId="0" borderId="3" xfId="1115" applyFont="1" applyFill="1" applyBorder="1" applyAlignment="1">
      <alignment horizontal="center" vertical="center"/>
    </xf>
    <xf numFmtId="0" fontId="92" fillId="0" borderId="10" xfId="1115" applyFont="1" applyFill="1" applyBorder="1" applyAlignment="1">
      <alignment horizontal="center" vertical="center"/>
    </xf>
    <xf numFmtId="176" fontId="92" fillId="0" borderId="15" xfId="1115" applyNumberFormat="1" applyFont="1" applyFill="1" applyBorder="1" applyAlignment="1">
      <alignment horizontal="center" vertical="center"/>
    </xf>
    <xf numFmtId="176" fontId="92" fillId="0" borderId="16" xfId="1115" applyNumberFormat="1" applyFont="1" applyFill="1" applyBorder="1" applyAlignment="1">
      <alignment horizontal="center" vertical="center"/>
    </xf>
    <xf numFmtId="176" fontId="92" fillId="0" borderId="17" xfId="1115" applyNumberFormat="1" applyFont="1" applyFill="1" applyBorder="1" applyAlignment="1">
      <alignment horizontal="center" vertical="center"/>
    </xf>
    <xf numFmtId="2" fontId="92" fillId="0" borderId="13" xfId="1115" applyNumberFormat="1" applyFont="1" applyFill="1" applyBorder="1" applyAlignment="1">
      <alignment horizontal="center" vertical="center" wrapText="1"/>
    </xf>
    <xf numFmtId="2" fontId="92" fillId="0" borderId="14" xfId="1115" applyNumberFormat="1" applyFont="1" applyFill="1" applyBorder="1" applyAlignment="1">
      <alignment horizontal="center" vertical="center" wrapText="1"/>
    </xf>
    <xf numFmtId="0" fontId="91" fillId="0" borderId="15" xfId="1055" applyFont="1" applyFill="1" applyBorder="1" applyAlignment="1">
      <alignment horizontal="left" vertical="center"/>
    </xf>
    <xf numFmtId="0" fontId="91" fillId="0" borderId="16" xfId="1055" applyFont="1" applyFill="1" applyBorder="1" applyAlignment="1">
      <alignment horizontal="left" vertical="center"/>
    </xf>
    <xf numFmtId="0" fontId="91" fillId="0" borderId="17" xfId="1055" applyFont="1" applyFill="1" applyBorder="1" applyAlignment="1">
      <alignment horizontal="left" vertical="center"/>
    </xf>
    <xf numFmtId="169" fontId="25" fillId="0" borderId="1" xfId="0" applyNumberFormat="1" applyFont="1" applyBorder="1" applyAlignment="1">
      <alignment horizontal="justify" vertical="top" wrapText="1"/>
    </xf>
    <xf numFmtId="168" fontId="25" fillId="0" borderId="15" xfId="0" applyFont="1" applyBorder="1" applyAlignment="1">
      <alignment horizontal="left" vertical="top" wrapText="1"/>
    </xf>
    <xf numFmtId="168" fontId="25" fillId="0" borderId="16" xfId="0" applyFont="1" applyBorder="1" applyAlignment="1">
      <alignment horizontal="left" vertical="top" wrapText="1"/>
    </xf>
    <xf numFmtId="168" fontId="25" fillId="0" borderId="17" xfId="0" applyFont="1" applyBorder="1" applyAlignment="1">
      <alignment horizontal="left" vertical="top" wrapText="1"/>
    </xf>
    <xf numFmtId="168" fontId="25" fillId="0" borderId="1" xfId="0" applyFont="1" applyFill="1" applyBorder="1" applyAlignment="1">
      <alignment horizontal="justify" vertical="center" wrapText="1"/>
    </xf>
    <xf numFmtId="168" fontId="25" fillId="0" borderId="37" xfId="0" applyFont="1" applyFill="1" applyBorder="1" applyAlignment="1">
      <alignment horizontal="justify" vertical="center" wrapText="1"/>
    </xf>
    <xf numFmtId="168" fontId="25" fillId="0" borderId="0" xfId="0" applyFont="1" applyAlignment="1">
      <alignment horizontal="center" vertical="top"/>
    </xf>
    <xf numFmtId="168" fontId="25" fillId="0" borderId="0" xfId="0" applyFont="1" applyAlignment="1">
      <alignment horizontal="center" vertical="center" wrapText="1"/>
    </xf>
    <xf numFmtId="168" fontId="25" fillId="0" borderId="0" xfId="0" applyFont="1" applyBorder="1" applyAlignment="1">
      <alignment horizontal="center" vertical="top"/>
    </xf>
    <xf numFmtId="168" fontId="24" fillId="0" borderId="28" xfId="0" applyFont="1" applyBorder="1" applyAlignment="1">
      <alignment horizontal="center" vertical="center"/>
    </xf>
    <xf numFmtId="168" fontId="24" fillId="0" borderId="34" xfId="0" applyFont="1" applyBorder="1" applyAlignment="1">
      <alignment horizontal="center" vertical="center"/>
    </xf>
    <xf numFmtId="168" fontId="24" fillId="0" borderId="29" xfId="0" applyFont="1" applyBorder="1" applyAlignment="1">
      <alignment horizontal="center" vertical="center" wrapText="1"/>
    </xf>
    <xf numFmtId="168" fontId="24" fillId="0" borderId="14" xfId="0" applyFont="1" applyBorder="1" applyAlignment="1">
      <alignment horizontal="center" vertical="center" wrapText="1"/>
    </xf>
    <xf numFmtId="168" fontId="24" fillId="0" borderId="30" xfId="0" applyFont="1" applyBorder="1" applyAlignment="1">
      <alignment horizontal="center" vertical="center"/>
    </xf>
    <xf numFmtId="168" fontId="24" fillId="0" borderId="31" xfId="0" applyFont="1" applyBorder="1" applyAlignment="1">
      <alignment horizontal="center" vertical="center"/>
    </xf>
    <xf numFmtId="168" fontId="24" fillId="0" borderId="9" xfId="0" applyFont="1" applyBorder="1" applyAlignment="1">
      <alignment horizontal="center" vertical="center"/>
    </xf>
    <xf numFmtId="168" fontId="24" fillId="0" borderId="10" xfId="0" applyFont="1" applyBorder="1" applyAlignment="1">
      <alignment horizontal="center" vertical="center"/>
    </xf>
    <xf numFmtId="168" fontId="24" fillId="0" borderId="32" xfId="0" applyFont="1" applyBorder="1" applyAlignment="1">
      <alignment horizontal="center" vertical="center"/>
    </xf>
    <xf numFmtId="168" fontId="24" fillId="0" borderId="33" xfId="0" applyFont="1" applyBorder="1" applyAlignment="1">
      <alignment horizontal="center" vertical="center"/>
    </xf>
    <xf numFmtId="168" fontId="24" fillId="0" borderId="35" xfId="0" applyFont="1" applyBorder="1" applyAlignment="1">
      <alignment horizontal="center" vertical="center"/>
    </xf>
    <xf numFmtId="0" fontId="25" fillId="0" borderId="1" xfId="0" applyNumberFormat="1" applyFont="1" applyFill="1" applyBorder="1" applyAlignment="1">
      <alignment horizontal="justify" vertical="center" wrapText="1"/>
    </xf>
    <xf numFmtId="0" fontId="25" fillId="0" borderId="37" xfId="0" applyNumberFormat="1" applyFont="1" applyFill="1" applyBorder="1" applyAlignment="1">
      <alignment horizontal="justify" vertical="center" wrapText="1"/>
    </xf>
    <xf numFmtId="0" fontId="25" fillId="0" borderId="1" xfId="0" applyNumberFormat="1" applyFont="1" applyFill="1" applyBorder="1" applyAlignment="1">
      <alignment horizontal="left" vertical="center" wrapText="1"/>
    </xf>
    <xf numFmtId="0" fontId="25" fillId="0" borderId="37" xfId="0" applyNumberFormat="1" applyFont="1" applyFill="1" applyBorder="1" applyAlignment="1">
      <alignment horizontal="left" vertical="center" wrapText="1"/>
    </xf>
    <xf numFmtId="0" fontId="77" fillId="0" borderId="15" xfId="0" applyNumberFormat="1" applyFont="1" applyFill="1" applyBorder="1" applyAlignment="1">
      <alignment horizontal="left" vertical="center" wrapText="1"/>
    </xf>
    <xf numFmtId="0" fontId="77" fillId="0" borderId="16" xfId="0" applyNumberFormat="1" applyFont="1" applyFill="1" applyBorder="1" applyAlignment="1">
      <alignment horizontal="left" vertical="center" wrapText="1"/>
    </xf>
    <xf numFmtId="0" fontId="77" fillId="0" borderId="17" xfId="0" applyNumberFormat="1" applyFont="1" applyFill="1" applyBorder="1" applyAlignment="1">
      <alignment horizontal="left" vertical="center" wrapText="1"/>
    </xf>
    <xf numFmtId="175" fontId="77" fillId="0" borderId="15" xfId="1192" applyNumberFormat="1" applyFont="1" applyFill="1" applyBorder="1" applyAlignment="1">
      <alignment horizontal="left" vertical="center" wrapText="1"/>
    </xf>
    <xf numFmtId="175" fontId="77" fillId="0" borderId="16" xfId="1192" applyNumberFormat="1" applyFont="1" applyFill="1" applyBorder="1" applyAlignment="1">
      <alignment horizontal="left" vertical="center" wrapText="1"/>
    </xf>
    <xf numFmtId="175" fontId="77" fillId="0" borderId="17" xfId="1192" applyNumberFormat="1" applyFont="1" applyFill="1" applyBorder="1" applyAlignment="1">
      <alignment horizontal="left" vertical="center" wrapText="1"/>
    </xf>
    <xf numFmtId="0" fontId="2" fillId="0" borderId="15" xfId="0" applyNumberFormat="1" applyFont="1" applyFill="1" applyBorder="1" applyAlignment="1">
      <alignment horizontal="left" vertical="center" wrapText="1"/>
    </xf>
    <xf numFmtId="0" fontId="2" fillId="0" borderId="16" xfId="0" applyNumberFormat="1" applyFont="1" applyFill="1" applyBorder="1" applyAlignment="1">
      <alignment horizontal="left" vertical="center" wrapText="1"/>
    </xf>
    <xf numFmtId="0" fontId="2" fillId="0" borderId="17" xfId="0" applyNumberFormat="1" applyFont="1" applyFill="1" applyBorder="1" applyAlignment="1">
      <alignment horizontal="left" vertical="center" wrapText="1"/>
    </xf>
    <xf numFmtId="0" fontId="1" fillId="0" borderId="15" xfId="0" applyNumberFormat="1" applyFont="1" applyFill="1" applyBorder="1" applyAlignment="1">
      <alignment horizontal="left" vertical="center" wrapText="1"/>
    </xf>
    <xf numFmtId="169" fontId="77" fillId="0" borderId="1" xfId="0" applyNumberFormat="1" applyFont="1" applyFill="1" applyBorder="1" applyAlignment="1">
      <alignment horizontal="center" vertical="center"/>
    </xf>
    <xf numFmtId="0" fontId="52" fillId="0" borderId="0" xfId="0" applyNumberFormat="1" applyFont="1" applyFill="1" applyBorder="1" applyAlignment="1">
      <alignment horizontal="center" vertical="center" wrapText="1"/>
    </xf>
    <xf numFmtId="0" fontId="86" fillId="0" borderId="0" xfId="0" applyNumberFormat="1" applyFont="1" applyFill="1" applyBorder="1" applyAlignment="1">
      <alignment horizontal="center" vertical="center" wrapText="1"/>
    </xf>
    <xf numFmtId="0" fontId="78" fillId="0" borderId="1" xfId="0" applyNumberFormat="1" applyFont="1" applyFill="1" applyBorder="1" applyAlignment="1">
      <alignment horizontal="center" vertical="center" wrapText="1"/>
    </xf>
    <xf numFmtId="0" fontId="78" fillId="0" borderId="1" xfId="0" applyNumberFormat="1" applyFont="1" applyFill="1" applyBorder="1" applyAlignment="1">
      <alignment horizontal="center" vertical="center"/>
    </xf>
    <xf numFmtId="1" fontId="78" fillId="0" borderId="1" xfId="0" applyNumberFormat="1" applyFont="1" applyFill="1" applyBorder="1" applyAlignment="1">
      <alignment horizontal="center" vertical="center"/>
    </xf>
    <xf numFmtId="168" fontId="54" fillId="0" borderId="0" xfId="0" applyFont="1" applyFill="1" applyBorder="1" applyAlignment="1">
      <alignment vertical="center"/>
    </xf>
    <xf numFmtId="0" fontId="88" fillId="0" borderId="0" xfId="0" applyNumberFormat="1" applyFont="1" applyFill="1" applyBorder="1" applyAlignment="1">
      <alignment horizontal="center" vertical="center" wrapText="1"/>
    </xf>
    <xf numFmtId="0" fontId="89" fillId="0" borderId="0" xfId="0" applyNumberFormat="1" applyFont="1" applyFill="1" applyBorder="1" applyAlignment="1">
      <alignment horizontal="center" vertical="center" wrapText="1"/>
    </xf>
    <xf numFmtId="0" fontId="53" fillId="0" borderId="1" xfId="0" applyNumberFormat="1" applyFont="1" applyFill="1" applyBorder="1" applyAlignment="1">
      <alignment horizontal="center" vertical="center" wrapText="1"/>
    </xf>
    <xf numFmtId="0" fontId="53" fillId="0" borderId="1" xfId="0" applyNumberFormat="1" applyFont="1" applyFill="1" applyBorder="1" applyAlignment="1">
      <alignment horizontal="center" vertical="center"/>
    </xf>
    <xf numFmtId="1" fontId="53" fillId="0" borderId="1" xfId="0" applyNumberFormat="1" applyFont="1" applyFill="1" applyBorder="1" applyAlignment="1">
      <alignment horizontal="center" vertical="center"/>
    </xf>
    <xf numFmtId="0" fontId="53" fillId="0" borderId="13" xfId="0" applyNumberFormat="1" applyFont="1" applyFill="1" applyBorder="1" applyAlignment="1">
      <alignment horizontal="center" vertical="center"/>
    </xf>
    <xf numFmtId="0" fontId="53" fillId="0" borderId="14" xfId="0" applyNumberFormat="1" applyFont="1" applyFill="1" applyBorder="1" applyAlignment="1">
      <alignment horizontal="center" vertical="center"/>
    </xf>
    <xf numFmtId="174" fontId="1" fillId="0" borderId="15" xfId="0" applyNumberFormat="1" applyFont="1" applyFill="1" applyBorder="1" applyAlignment="1">
      <alignment horizontal="center" vertical="center"/>
    </xf>
    <xf numFmtId="174" fontId="1" fillId="0" borderId="17" xfId="0" applyNumberFormat="1" applyFont="1" applyFill="1" applyBorder="1" applyAlignment="1">
      <alignment horizontal="center" vertical="center"/>
    </xf>
    <xf numFmtId="168" fontId="54" fillId="0" borderId="0" xfId="0" applyFont="1" applyFill="1" applyAlignment="1">
      <alignment horizontal="left" vertical="center" wrapText="1"/>
    </xf>
    <xf numFmtId="168" fontId="50" fillId="0" borderId="0" xfId="0" applyFont="1" applyFill="1" applyAlignment="1">
      <alignment horizontal="left" vertical="center" wrapText="1"/>
    </xf>
    <xf numFmtId="168" fontId="54" fillId="0" borderId="0" xfId="0" applyFont="1" applyFill="1" applyAlignment="1">
      <alignment horizontal="center" vertical="center"/>
    </xf>
    <xf numFmtId="0" fontId="50" fillId="0" borderId="0" xfId="0" applyNumberFormat="1" applyFont="1" applyFill="1" applyAlignment="1">
      <alignment horizontal="center" vertical="center"/>
    </xf>
    <xf numFmtId="0" fontId="54" fillId="0" borderId="0" xfId="0" applyNumberFormat="1" applyFont="1" applyFill="1" applyAlignment="1">
      <alignment horizontal="center" vertical="center" wrapText="1"/>
    </xf>
    <xf numFmtId="168" fontId="54" fillId="0" borderId="0" xfId="0" applyFont="1" applyFill="1" applyAlignment="1">
      <alignment horizontal="left" vertical="center"/>
    </xf>
    <xf numFmtId="168" fontId="54" fillId="0" borderId="0" xfId="0" applyFont="1" applyFill="1" applyAlignment="1">
      <alignment horizontal="center" vertical="center" wrapText="1"/>
    </xf>
    <xf numFmtId="168" fontId="50" fillId="0" borderId="0" xfId="0" quotePrefix="1" applyFont="1" applyFill="1" applyAlignment="1">
      <alignment horizontal="center" vertical="center"/>
    </xf>
    <xf numFmtId="168" fontId="50" fillId="0" borderId="0" xfId="0" applyFont="1" applyFill="1" applyAlignment="1">
      <alignment horizontal="center" vertical="center"/>
    </xf>
    <xf numFmtId="168" fontId="54" fillId="0" borderId="0" xfId="0" applyFont="1" applyFill="1" applyAlignment="1">
      <alignment vertical="center" wrapText="1"/>
    </xf>
    <xf numFmtId="168" fontId="50" fillId="0" borderId="0" xfId="0" applyFont="1" applyFill="1" applyAlignment="1">
      <alignment vertical="center"/>
    </xf>
    <xf numFmtId="168" fontId="54" fillId="0" borderId="0" xfId="0" applyFont="1" applyFill="1" applyAlignment="1">
      <alignment vertical="center"/>
    </xf>
    <xf numFmtId="168" fontId="50" fillId="0" borderId="0" xfId="0" applyFont="1" applyFill="1" applyAlignment="1">
      <alignment horizontal="center" vertical="center" wrapText="1"/>
    </xf>
    <xf numFmtId="0" fontId="50" fillId="0" borderId="0" xfId="0" applyNumberFormat="1" applyFont="1" applyFill="1" applyAlignment="1">
      <alignment horizontal="center" vertical="center" wrapText="1"/>
    </xf>
    <xf numFmtId="168" fontId="54" fillId="0" borderId="0" xfId="0" applyFont="1" applyFill="1" applyAlignment="1">
      <alignment horizontal="right" vertical="center"/>
    </xf>
    <xf numFmtId="170" fontId="50" fillId="0" borderId="0" xfId="0" applyNumberFormat="1" applyFont="1" applyFill="1" applyAlignment="1">
      <alignment horizontal="right" vertical="center"/>
    </xf>
    <xf numFmtId="168" fontId="38" fillId="0" borderId="0" xfId="0" applyFont="1" applyAlignment="1">
      <alignment horizontal="center" wrapText="1"/>
    </xf>
    <xf numFmtId="183" fontId="77" fillId="0" borderId="0" xfId="0" applyNumberFormat="1" applyFont="1" applyAlignment="1">
      <alignment horizontal="left" vertical="center" wrapText="1"/>
    </xf>
    <xf numFmtId="183" fontId="78" fillId="0" borderId="0" xfId="0" applyNumberFormat="1" applyFont="1" applyAlignment="1">
      <alignment horizontal="left" vertical="center"/>
    </xf>
    <xf numFmtId="183" fontId="77" fillId="0" borderId="0" xfId="0" applyNumberFormat="1" applyFont="1" applyAlignment="1">
      <alignment horizontal="left" vertical="center"/>
    </xf>
    <xf numFmtId="183" fontId="77" fillId="6" borderId="0" xfId="0" applyNumberFormat="1" applyFont="1" applyFill="1" applyAlignment="1">
      <alignment horizontal="left" vertical="center"/>
    </xf>
    <xf numFmtId="183" fontId="78" fillId="6" borderId="0" xfId="0" applyNumberFormat="1" applyFont="1" applyFill="1" applyAlignment="1">
      <alignment horizontal="left" vertical="center"/>
    </xf>
    <xf numFmtId="183" fontId="77" fillId="6" borderId="0" xfId="0" applyNumberFormat="1" applyFont="1" applyFill="1" applyAlignment="1">
      <alignment vertical="center"/>
    </xf>
  </cellXfs>
  <cellStyles count="1329">
    <cellStyle name="20% - Accent1 10" xfId="46"/>
    <cellStyle name="20% - Accent1 10 2" xfId="47"/>
    <cellStyle name="20% - Accent1 11" xfId="48"/>
    <cellStyle name="20% - Accent1 2" xfId="49"/>
    <cellStyle name="20% - Accent1 2 2" xfId="50"/>
    <cellStyle name="20% - Accent1 2 3" xfId="51"/>
    <cellStyle name="20% - Accent1 3" xfId="52"/>
    <cellStyle name="20% - Accent1 3 2" xfId="53"/>
    <cellStyle name="20% - Accent1 3 3" xfId="54"/>
    <cellStyle name="20% - Accent1 4" xfId="55"/>
    <cellStyle name="20% - Accent1 4 2" xfId="56"/>
    <cellStyle name="20% - Accent1 4 3" xfId="57"/>
    <cellStyle name="20% - Accent1 5" xfId="58"/>
    <cellStyle name="20% - Accent1 5 2" xfId="59"/>
    <cellStyle name="20% - Accent1 5 3" xfId="60"/>
    <cellStyle name="20% - Accent1 6" xfId="61"/>
    <cellStyle name="20% - Accent1 6 2" xfId="62"/>
    <cellStyle name="20% - Accent1 6 3" xfId="63"/>
    <cellStyle name="20% - Accent1 7" xfId="64"/>
    <cellStyle name="20% - Accent1 7 2" xfId="65"/>
    <cellStyle name="20% - Accent1 7 3" xfId="66"/>
    <cellStyle name="20% - Accent1 8" xfId="67"/>
    <cellStyle name="20% - Accent1 8 2" xfId="68"/>
    <cellStyle name="20% - Accent1 8 3" xfId="69"/>
    <cellStyle name="20% - Accent1 9" xfId="70"/>
    <cellStyle name="20% - Accent1 9 2" xfId="71"/>
    <cellStyle name="20% - Accent1 9 3" xfId="72"/>
    <cellStyle name="20% - Accent2 10" xfId="73"/>
    <cellStyle name="20% - Accent2 10 2" xfId="74"/>
    <cellStyle name="20% - Accent2 11" xfId="75"/>
    <cellStyle name="20% - Accent2 2" xfId="76"/>
    <cellStyle name="20% - Accent2 2 2" xfId="77"/>
    <cellStyle name="20% - Accent2 2 3" xfId="78"/>
    <cellStyle name="20% - Accent2 3" xfId="79"/>
    <cellStyle name="20% - Accent2 3 2" xfId="80"/>
    <cellStyle name="20% - Accent2 3 3" xfId="81"/>
    <cellStyle name="20% - Accent2 4" xfId="82"/>
    <cellStyle name="20% - Accent2 4 2" xfId="83"/>
    <cellStyle name="20% - Accent2 4 3" xfId="84"/>
    <cellStyle name="20% - Accent2 5" xfId="85"/>
    <cellStyle name="20% - Accent2 5 2" xfId="86"/>
    <cellStyle name="20% - Accent2 5 3" xfId="87"/>
    <cellStyle name="20% - Accent2 6" xfId="88"/>
    <cellStyle name="20% - Accent2 6 2" xfId="89"/>
    <cellStyle name="20% - Accent2 6 3" xfId="90"/>
    <cellStyle name="20% - Accent2 7" xfId="91"/>
    <cellStyle name="20% - Accent2 7 2" xfId="92"/>
    <cellStyle name="20% - Accent2 7 3" xfId="93"/>
    <cellStyle name="20% - Accent2 8" xfId="94"/>
    <cellStyle name="20% - Accent2 8 2" xfId="95"/>
    <cellStyle name="20% - Accent2 8 3" xfId="96"/>
    <cellStyle name="20% - Accent2 9" xfId="97"/>
    <cellStyle name="20% - Accent2 9 2" xfId="98"/>
    <cellStyle name="20% - Accent2 9 3" xfId="99"/>
    <cellStyle name="20% - Accent3 10" xfId="100"/>
    <cellStyle name="20% - Accent3 10 2" xfId="101"/>
    <cellStyle name="20% - Accent3 11" xfId="102"/>
    <cellStyle name="20% - Accent3 2" xfId="103"/>
    <cellStyle name="20% - Accent3 2 2" xfId="104"/>
    <cellStyle name="20% - Accent3 2 3" xfId="105"/>
    <cellStyle name="20% - Accent3 3" xfId="106"/>
    <cellStyle name="20% - Accent3 3 2" xfId="107"/>
    <cellStyle name="20% - Accent3 3 3" xfId="108"/>
    <cellStyle name="20% - Accent3 4" xfId="109"/>
    <cellStyle name="20% - Accent3 4 2" xfId="110"/>
    <cellStyle name="20% - Accent3 4 3" xfId="111"/>
    <cellStyle name="20% - Accent3 5" xfId="112"/>
    <cellStyle name="20% - Accent3 5 2" xfId="113"/>
    <cellStyle name="20% - Accent3 5 3" xfId="114"/>
    <cellStyle name="20% - Accent3 6" xfId="115"/>
    <cellStyle name="20% - Accent3 6 2" xfId="116"/>
    <cellStyle name="20% - Accent3 6 3" xfId="117"/>
    <cellStyle name="20% - Accent3 7" xfId="118"/>
    <cellStyle name="20% - Accent3 7 2" xfId="119"/>
    <cellStyle name="20% - Accent3 7 3" xfId="120"/>
    <cellStyle name="20% - Accent3 8" xfId="121"/>
    <cellStyle name="20% - Accent3 8 2" xfId="122"/>
    <cellStyle name="20% - Accent3 8 3" xfId="123"/>
    <cellStyle name="20% - Accent3 9" xfId="124"/>
    <cellStyle name="20% - Accent3 9 2" xfId="125"/>
    <cellStyle name="20% - Accent3 9 3" xfId="126"/>
    <cellStyle name="20% - Accent4 10" xfId="127"/>
    <cellStyle name="20% - Accent4 10 2" xfId="128"/>
    <cellStyle name="20% - Accent4 11" xfId="129"/>
    <cellStyle name="20% - Accent4 2" xfId="130"/>
    <cellStyle name="20% - Accent4 2 2" xfId="131"/>
    <cellStyle name="20% - Accent4 2 3" xfId="132"/>
    <cellStyle name="20% - Accent4 3" xfId="133"/>
    <cellStyle name="20% - Accent4 3 2" xfId="134"/>
    <cellStyle name="20% - Accent4 3 3" xfId="135"/>
    <cellStyle name="20% - Accent4 4" xfId="136"/>
    <cellStyle name="20% - Accent4 4 2" xfId="137"/>
    <cellStyle name="20% - Accent4 4 3" xfId="138"/>
    <cellStyle name="20% - Accent4 5" xfId="139"/>
    <cellStyle name="20% - Accent4 5 2" xfId="140"/>
    <cellStyle name="20% - Accent4 5 3" xfId="141"/>
    <cellStyle name="20% - Accent4 6" xfId="142"/>
    <cellStyle name="20% - Accent4 6 2" xfId="143"/>
    <cellStyle name="20% - Accent4 6 3" xfId="144"/>
    <cellStyle name="20% - Accent4 7" xfId="145"/>
    <cellStyle name="20% - Accent4 7 2" xfId="146"/>
    <cellStyle name="20% - Accent4 7 3" xfId="147"/>
    <cellStyle name="20% - Accent4 8" xfId="148"/>
    <cellStyle name="20% - Accent4 8 2" xfId="149"/>
    <cellStyle name="20% - Accent4 8 3" xfId="150"/>
    <cellStyle name="20% - Accent4 9" xfId="151"/>
    <cellStyle name="20% - Accent4 9 2" xfId="152"/>
    <cellStyle name="20% - Accent4 9 3" xfId="153"/>
    <cellStyle name="20% - Accent5 10" xfId="154"/>
    <cellStyle name="20% - Accent5 10 2" xfId="155"/>
    <cellStyle name="20% - Accent5 11" xfId="156"/>
    <cellStyle name="20% - Accent5 2" xfId="157"/>
    <cellStyle name="20% - Accent5 2 2" xfId="158"/>
    <cellStyle name="20% - Accent5 2 3" xfId="159"/>
    <cellStyle name="20% - Accent5 3" xfId="160"/>
    <cellStyle name="20% - Accent5 3 2" xfId="161"/>
    <cellStyle name="20% - Accent5 3 3" xfId="162"/>
    <cellStyle name="20% - Accent5 4" xfId="163"/>
    <cellStyle name="20% - Accent5 4 2" xfId="164"/>
    <cellStyle name="20% - Accent5 4 3" xfId="165"/>
    <cellStyle name="20% - Accent5 5" xfId="166"/>
    <cellStyle name="20% - Accent5 5 2" xfId="167"/>
    <cellStyle name="20% - Accent5 5 3" xfId="168"/>
    <cellStyle name="20% - Accent5 6" xfId="169"/>
    <cellStyle name="20% - Accent5 6 2" xfId="170"/>
    <cellStyle name="20% - Accent5 6 3" xfId="171"/>
    <cellStyle name="20% - Accent5 7" xfId="172"/>
    <cellStyle name="20% - Accent5 7 2" xfId="173"/>
    <cellStyle name="20% - Accent5 7 3" xfId="174"/>
    <cellStyle name="20% - Accent5 8" xfId="175"/>
    <cellStyle name="20% - Accent5 8 2" xfId="176"/>
    <cellStyle name="20% - Accent5 8 3" xfId="177"/>
    <cellStyle name="20% - Accent5 9" xfId="178"/>
    <cellStyle name="20% - Accent5 9 2" xfId="179"/>
    <cellStyle name="20% - Accent5 9 3" xfId="180"/>
    <cellStyle name="20% - Accent6 10" xfId="181"/>
    <cellStyle name="20% - Accent6 10 2" xfId="182"/>
    <cellStyle name="20% - Accent6 11" xfId="183"/>
    <cellStyle name="20% - Accent6 2" xfId="184"/>
    <cellStyle name="20% - Accent6 2 2" xfId="185"/>
    <cellStyle name="20% - Accent6 2 3" xfId="186"/>
    <cellStyle name="20% - Accent6 3" xfId="187"/>
    <cellStyle name="20% - Accent6 3 2" xfId="188"/>
    <cellStyle name="20% - Accent6 3 3" xfId="189"/>
    <cellStyle name="20% - Accent6 4" xfId="190"/>
    <cellStyle name="20% - Accent6 4 2" xfId="191"/>
    <cellStyle name="20% - Accent6 4 3" xfId="192"/>
    <cellStyle name="20% - Accent6 5" xfId="193"/>
    <cellStyle name="20% - Accent6 5 2" xfId="194"/>
    <cellStyle name="20% - Accent6 5 3" xfId="195"/>
    <cellStyle name="20% - Accent6 6" xfId="196"/>
    <cellStyle name="20% - Accent6 6 2" xfId="197"/>
    <cellStyle name="20% - Accent6 6 3" xfId="198"/>
    <cellStyle name="20% - Accent6 7" xfId="199"/>
    <cellStyle name="20% - Accent6 7 2" xfId="200"/>
    <cellStyle name="20% - Accent6 7 3" xfId="201"/>
    <cellStyle name="20% - Accent6 8" xfId="202"/>
    <cellStyle name="20% - Accent6 8 2" xfId="203"/>
    <cellStyle name="20% - Accent6 8 3" xfId="204"/>
    <cellStyle name="20% - Accent6 9" xfId="205"/>
    <cellStyle name="20% - Accent6 9 2" xfId="206"/>
    <cellStyle name="20% - Accent6 9 3" xfId="207"/>
    <cellStyle name="40% - Accent1 10" xfId="208"/>
    <cellStyle name="40% - Accent1 10 2" xfId="209"/>
    <cellStyle name="40% - Accent1 11" xfId="210"/>
    <cellStyle name="40% - Accent1 2" xfId="211"/>
    <cellStyle name="40% - Accent1 2 2" xfId="212"/>
    <cellStyle name="40% - Accent1 2 3" xfId="213"/>
    <cellStyle name="40% - Accent1 3" xfId="214"/>
    <cellStyle name="40% - Accent1 3 2" xfId="215"/>
    <cellStyle name="40% - Accent1 3 3" xfId="216"/>
    <cellStyle name="40% - Accent1 4" xfId="217"/>
    <cellStyle name="40% - Accent1 4 2" xfId="218"/>
    <cellStyle name="40% - Accent1 4 3" xfId="219"/>
    <cellStyle name="40% - Accent1 5" xfId="220"/>
    <cellStyle name="40% - Accent1 5 2" xfId="221"/>
    <cellStyle name="40% - Accent1 5 3" xfId="222"/>
    <cellStyle name="40% - Accent1 6" xfId="223"/>
    <cellStyle name="40% - Accent1 6 2" xfId="224"/>
    <cellStyle name="40% - Accent1 6 3" xfId="225"/>
    <cellStyle name="40% - Accent1 7" xfId="226"/>
    <cellStyle name="40% - Accent1 7 2" xfId="227"/>
    <cellStyle name="40% - Accent1 7 3" xfId="228"/>
    <cellStyle name="40% - Accent1 8" xfId="229"/>
    <cellStyle name="40% - Accent1 8 2" xfId="230"/>
    <cellStyle name="40% - Accent1 8 3" xfId="231"/>
    <cellStyle name="40% - Accent1 9" xfId="232"/>
    <cellStyle name="40% - Accent1 9 2" xfId="233"/>
    <cellStyle name="40% - Accent1 9 3" xfId="234"/>
    <cellStyle name="40% - Accent2 10" xfId="235"/>
    <cellStyle name="40% - Accent2 10 2" xfId="236"/>
    <cellStyle name="40% - Accent2 11" xfId="237"/>
    <cellStyle name="40% - Accent2 2" xfId="238"/>
    <cellStyle name="40% - Accent2 2 2" xfId="239"/>
    <cellStyle name="40% - Accent2 2 3" xfId="240"/>
    <cellStyle name="40% - Accent2 3" xfId="241"/>
    <cellStyle name="40% - Accent2 3 2" xfId="242"/>
    <cellStyle name="40% - Accent2 3 3" xfId="243"/>
    <cellStyle name="40% - Accent2 4" xfId="244"/>
    <cellStyle name="40% - Accent2 4 2" xfId="245"/>
    <cellStyle name="40% - Accent2 4 3" xfId="246"/>
    <cellStyle name="40% - Accent2 5" xfId="247"/>
    <cellStyle name="40% - Accent2 5 2" xfId="248"/>
    <cellStyle name="40% - Accent2 5 3" xfId="249"/>
    <cellStyle name="40% - Accent2 6" xfId="250"/>
    <cellStyle name="40% - Accent2 6 2" xfId="251"/>
    <cellStyle name="40% - Accent2 6 3" xfId="252"/>
    <cellStyle name="40% - Accent2 7" xfId="253"/>
    <cellStyle name="40% - Accent2 7 2" xfId="254"/>
    <cellStyle name="40% - Accent2 7 3" xfId="255"/>
    <cellStyle name="40% - Accent2 8" xfId="256"/>
    <cellStyle name="40% - Accent2 8 2" xfId="257"/>
    <cellStyle name="40% - Accent2 8 3" xfId="258"/>
    <cellStyle name="40% - Accent2 9" xfId="259"/>
    <cellStyle name="40% - Accent2 9 2" xfId="260"/>
    <cellStyle name="40% - Accent2 9 3" xfId="261"/>
    <cellStyle name="40% - Accent3 10" xfId="262"/>
    <cellStyle name="40% - Accent3 10 2" xfId="263"/>
    <cellStyle name="40% - Accent3 11" xfId="264"/>
    <cellStyle name="40% - Accent3 2" xfId="265"/>
    <cellStyle name="40% - Accent3 2 2" xfId="266"/>
    <cellStyle name="40% - Accent3 2 3" xfId="267"/>
    <cellStyle name="40% - Accent3 3" xfId="268"/>
    <cellStyle name="40% - Accent3 3 2" xfId="269"/>
    <cellStyle name="40% - Accent3 3 3" xfId="270"/>
    <cellStyle name="40% - Accent3 4" xfId="271"/>
    <cellStyle name="40% - Accent3 4 2" xfId="272"/>
    <cellStyle name="40% - Accent3 4 3" xfId="273"/>
    <cellStyle name="40% - Accent3 5" xfId="274"/>
    <cellStyle name="40% - Accent3 5 2" xfId="275"/>
    <cellStyle name="40% - Accent3 5 3" xfId="276"/>
    <cellStyle name="40% - Accent3 6" xfId="277"/>
    <cellStyle name="40% - Accent3 6 2" xfId="278"/>
    <cellStyle name="40% - Accent3 6 3" xfId="279"/>
    <cellStyle name="40% - Accent3 7" xfId="280"/>
    <cellStyle name="40% - Accent3 7 2" xfId="281"/>
    <cellStyle name="40% - Accent3 7 3" xfId="282"/>
    <cellStyle name="40% - Accent3 8" xfId="283"/>
    <cellStyle name="40% - Accent3 8 2" xfId="284"/>
    <cellStyle name="40% - Accent3 8 3" xfId="285"/>
    <cellStyle name="40% - Accent3 9" xfId="286"/>
    <cellStyle name="40% - Accent3 9 2" xfId="287"/>
    <cellStyle name="40% - Accent3 9 3" xfId="288"/>
    <cellStyle name="40% - Accent4 10" xfId="289"/>
    <cellStyle name="40% - Accent4 10 2" xfId="290"/>
    <cellStyle name="40% - Accent4 11" xfId="291"/>
    <cellStyle name="40% - Accent4 2" xfId="292"/>
    <cellStyle name="40% - Accent4 2 2" xfId="293"/>
    <cellStyle name="40% - Accent4 2 3" xfId="294"/>
    <cellStyle name="40% - Accent4 3" xfId="295"/>
    <cellStyle name="40% - Accent4 3 2" xfId="296"/>
    <cellStyle name="40% - Accent4 3 3" xfId="297"/>
    <cellStyle name="40% - Accent4 4" xfId="298"/>
    <cellStyle name="40% - Accent4 4 2" xfId="299"/>
    <cellStyle name="40% - Accent4 4 3" xfId="300"/>
    <cellStyle name="40% - Accent4 5" xfId="301"/>
    <cellStyle name="40% - Accent4 5 2" xfId="302"/>
    <cellStyle name="40% - Accent4 5 3" xfId="303"/>
    <cellStyle name="40% - Accent4 6" xfId="304"/>
    <cellStyle name="40% - Accent4 6 2" xfId="305"/>
    <cellStyle name="40% - Accent4 6 3" xfId="306"/>
    <cellStyle name="40% - Accent4 7" xfId="307"/>
    <cellStyle name="40% - Accent4 7 2" xfId="308"/>
    <cellStyle name="40% - Accent4 7 3" xfId="309"/>
    <cellStyle name="40% - Accent4 8" xfId="310"/>
    <cellStyle name="40% - Accent4 8 2" xfId="311"/>
    <cellStyle name="40% - Accent4 8 3" xfId="312"/>
    <cellStyle name="40% - Accent4 9" xfId="313"/>
    <cellStyle name="40% - Accent4 9 2" xfId="314"/>
    <cellStyle name="40% - Accent4 9 3" xfId="315"/>
    <cellStyle name="40% - Accent5 10" xfId="316"/>
    <cellStyle name="40% - Accent5 10 2" xfId="317"/>
    <cellStyle name="40% - Accent5 11" xfId="318"/>
    <cellStyle name="40% - Accent5 2" xfId="319"/>
    <cellStyle name="40% - Accent5 2 2" xfId="320"/>
    <cellStyle name="40% - Accent5 2 3" xfId="321"/>
    <cellStyle name="40% - Accent5 3" xfId="322"/>
    <cellStyle name="40% - Accent5 3 2" xfId="323"/>
    <cellStyle name="40% - Accent5 3 3" xfId="324"/>
    <cellStyle name="40% - Accent5 4" xfId="325"/>
    <cellStyle name="40% - Accent5 4 2" xfId="326"/>
    <cellStyle name="40% - Accent5 4 3" xfId="327"/>
    <cellStyle name="40% - Accent5 5" xfId="328"/>
    <cellStyle name="40% - Accent5 5 2" xfId="329"/>
    <cellStyle name="40% - Accent5 5 3" xfId="330"/>
    <cellStyle name="40% - Accent5 6" xfId="331"/>
    <cellStyle name="40% - Accent5 6 2" xfId="332"/>
    <cellStyle name="40% - Accent5 6 3" xfId="333"/>
    <cellStyle name="40% - Accent5 7" xfId="334"/>
    <cellStyle name="40% - Accent5 7 2" xfId="335"/>
    <cellStyle name="40% - Accent5 7 3" xfId="336"/>
    <cellStyle name="40% - Accent5 8" xfId="337"/>
    <cellStyle name="40% - Accent5 8 2" xfId="338"/>
    <cellStyle name="40% - Accent5 8 3" xfId="339"/>
    <cellStyle name="40% - Accent5 9" xfId="340"/>
    <cellStyle name="40% - Accent5 9 2" xfId="341"/>
    <cellStyle name="40% - Accent5 9 3" xfId="342"/>
    <cellStyle name="40% - Accent6 10" xfId="343"/>
    <cellStyle name="40% - Accent6 10 2" xfId="344"/>
    <cellStyle name="40% - Accent6 11" xfId="345"/>
    <cellStyle name="40% - Accent6 2" xfId="346"/>
    <cellStyle name="40% - Accent6 2 2" xfId="347"/>
    <cellStyle name="40% - Accent6 2 3" xfId="348"/>
    <cellStyle name="40% - Accent6 3" xfId="349"/>
    <cellStyle name="40% - Accent6 3 2" xfId="350"/>
    <cellStyle name="40% - Accent6 3 3" xfId="351"/>
    <cellStyle name="40% - Accent6 4" xfId="352"/>
    <cellStyle name="40% - Accent6 4 2" xfId="353"/>
    <cellStyle name="40% - Accent6 4 3" xfId="354"/>
    <cellStyle name="40% - Accent6 5" xfId="355"/>
    <cellStyle name="40% - Accent6 5 2" xfId="356"/>
    <cellStyle name="40% - Accent6 5 3" xfId="357"/>
    <cellStyle name="40% - Accent6 6" xfId="358"/>
    <cellStyle name="40% - Accent6 6 2" xfId="359"/>
    <cellStyle name="40% - Accent6 6 3" xfId="360"/>
    <cellStyle name="40% - Accent6 7" xfId="361"/>
    <cellStyle name="40% - Accent6 7 2" xfId="362"/>
    <cellStyle name="40% - Accent6 7 3" xfId="363"/>
    <cellStyle name="40% - Accent6 8" xfId="364"/>
    <cellStyle name="40% - Accent6 8 2" xfId="365"/>
    <cellStyle name="40% - Accent6 8 3" xfId="366"/>
    <cellStyle name="40% - Accent6 9" xfId="367"/>
    <cellStyle name="40% - Accent6 9 2" xfId="368"/>
    <cellStyle name="40% - Accent6 9 3" xfId="369"/>
    <cellStyle name="60% - Accent1 10" xfId="370"/>
    <cellStyle name="60% - Accent1 10 2" xfId="371"/>
    <cellStyle name="60% - Accent1 11" xfId="372"/>
    <cellStyle name="60% - Accent1 2" xfId="373"/>
    <cellStyle name="60% - Accent1 2 2" xfId="374"/>
    <cellStyle name="60% - Accent1 2 3" xfId="375"/>
    <cellStyle name="60% - Accent1 3" xfId="376"/>
    <cellStyle name="60% - Accent1 3 2" xfId="377"/>
    <cellStyle name="60% - Accent1 3 3" xfId="378"/>
    <cellStyle name="60% - Accent1 4" xfId="379"/>
    <cellStyle name="60% - Accent1 4 2" xfId="380"/>
    <cellStyle name="60% - Accent1 4 3" xfId="381"/>
    <cellStyle name="60% - Accent1 5" xfId="382"/>
    <cellStyle name="60% - Accent1 5 2" xfId="383"/>
    <cellStyle name="60% - Accent1 5 3" xfId="384"/>
    <cellStyle name="60% - Accent1 6" xfId="385"/>
    <cellStyle name="60% - Accent1 6 2" xfId="386"/>
    <cellStyle name="60% - Accent1 6 3" xfId="387"/>
    <cellStyle name="60% - Accent1 7" xfId="388"/>
    <cellStyle name="60% - Accent1 7 2" xfId="389"/>
    <cellStyle name="60% - Accent1 7 3" xfId="390"/>
    <cellStyle name="60% - Accent1 8" xfId="391"/>
    <cellStyle name="60% - Accent1 8 2" xfId="392"/>
    <cellStyle name="60% - Accent1 8 3" xfId="393"/>
    <cellStyle name="60% - Accent1 9" xfId="394"/>
    <cellStyle name="60% - Accent1 9 2" xfId="395"/>
    <cellStyle name="60% - Accent1 9 3" xfId="396"/>
    <cellStyle name="60% - Accent2 10" xfId="397"/>
    <cellStyle name="60% - Accent2 10 2" xfId="398"/>
    <cellStyle name="60% - Accent2 11" xfId="399"/>
    <cellStyle name="60% - Accent2 2" xfId="400"/>
    <cellStyle name="60% - Accent2 2 2" xfId="401"/>
    <cellStyle name="60% - Accent2 2 3" xfId="402"/>
    <cellStyle name="60% - Accent2 3" xfId="403"/>
    <cellStyle name="60% - Accent2 3 2" xfId="404"/>
    <cellStyle name="60% - Accent2 3 3" xfId="405"/>
    <cellStyle name="60% - Accent2 4" xfId="406"/>
    <cellStyle name="60% - Accent2 4 2" xfId="407"/>
    <cellStyle name="60% - Accent2 4 3" xfId="408"/>
    <cellStyle name="60% - Accent2 5" xfId="409"/>
    <cellStyle name="60% - Accent2 5 2" xfId="410"/>
    <cellStyle name="60% - Accent2 5 3" xfId="411"/>
    <cellStyle name="60% - Accent2 6" xfId="412"/>
    <cellStyle name="60% - Accent2 6 2" xfId="413"/>
    <cellStyle name="60% - Accent2 6 3" xfId="414"/>
    <cellStyle name="60% - Accent2 7" xfId="415"/>
    <cellStyle name="60% - Accent2 7 2" xfId="416"/>
    <cellStyle name="60% - Accent2 7 3" xfId="417"/>
    <cellStyle name="60% - Accent2 8" xfId="418"/>
    <cellStyle name="60% - Accent2 8 2" xfId="419"/>
    <cellStyle name="60% - Accent2 8 3" xfId="420"/>
    <cellStyle name="60% - Accent2 9" xfId="421"/>
    <cellStyle name="60% - Accent2 9 2" xfId="422"/>
    <cellStyle name="60% - Accent2 9 3" xfId="423"/>
    <cellStyle name="60% - Accent3 10" xfId="424"/>
    <cellStyle name="60% - Accent3 10 2" xfId="425"/>
    <cellStyle name="60% - Accent3 11" xfId="426"/>
    <cellStyle name="60% - Accent3 2" xfId="427"/>
    <cellStyle name="60% - Accent3 2 2" xfId="428"/>
    <cellStyle name="60% - Accent3 2 3" xfId="429"/>
    <cellStyle name="60% - Accent3 3" xfId="430"/>
    <cellStyle name="60% - Accent3 3 2" xfId="431"/>
    <cellStyle name="60% - Accent3 3 3" xfId="432"/>
    <cellStyle name="60% - Accent3 4" xfId="433"/>
    <cellStyle name="60% - Accent3 4 2" xfId="434"/>
    <cellStyle name="60% - Accent3 4 3" xfId="435"/>
    <cellStyle name="60% - Accent3 5" xfId="436"/>
    <cellStyle name="60% - Accent3 5 2" xfId="437"/>
    <cellStyle name="60% - Accent3 5 3" xfId="438"/>
    <cellStyle name="60% - Accent3 6" xfId="439"/>
    <cellStyle name="60% - Accent3 6 2" xfId="440"/>
    <cellStyle name="60% - Accent3 6 3" xfId="441"/>
    <cellStyle name="60% - Accent3 7" xfId="442"/>
    <cellStyle name="60% - Accent3 7 2" xfId="443"/>
    <cellStyle name="60% - Accent3 7 3" xfId="444"/>
    <cellStyle name="60% - Accent3 8" xfId="445"/>
    <cellStyle name="60% - Accent3 8 2" xfId="446"/>
    <cellStyle name="60% - Accent3 8 3" xfId="447"/>
    <cellStyle name="60% - Accent3 9" xfId="448"/>
    <cellStyle name="60% - Accent3 9 2" xfId="449"/>
    <cellStyle name="60% - Accent3 9 3" xfId="450"/>
    <cellStyle name="60% - Accent4 10" xfId="451"/>
    <cellStyle name="60% - Accent4 10 2" xfId="452"/>
    <cellStyle name="60% - Accent4 11" xfId="453"/>
    <cellStyle name="60% - Accent4 2" xfId="454"/>
    <cellStyle name="60% - Accent4 2 2" xfId="455"/>
    <cellStyle name="60% - Accent4 2 3" xfId="456"/>
    <cellStyle name="60% - Accent4 3" xfId="457"/>
    <cellStyle name="60% - Accent4 3 2" xfId="458"/>
    <cellStyle name="60% - Accent4 3 3" xfId="459"/>
    <cellStyle name="60% - Accent4 4" xfId="460"/>
    <cellStyle name="60% - Accent4 4 2" xfId="461"/>
    <cellStyle name="60% - Accent4 4 3" xfId="462"/>
    <cellStyle name="60% - Accent4 5" xfId="463"/>
    <cellStyle name="60% - Accent4 5 2" xfId="464"/>
    <cellStyle name="60% - Accent4 5 3" xfId="465"/>
    <cellStyle name="60% - Accent4 6" xfId="466"/>
    <cellStyle name="60% - Accent4 6 2" xfId="467"/>
    <cellStyle name="60% - Accent4 6 3" xfId="468"/>
    <cellStyle name="60% - Accent4 7" xfId="469"/>
    <cellStyle name="60% - Accent4 7 2" xfId="470"/>
    <cellStyle name="60% - Accent4 7 3" xfId="471"/>
    <cellStyle name="60% - Accent4 8" xfId="472"/>
    <cellStyle name="60% - Accent4 8 2" xfId="473"/>
    <cellStyle name="60% - Accent4 8 3" xfId="474"/>
    <cellStyle name="60% - Accent4 9" xfId="475"/>
    <cellStyle name="60% - Accent4 9 2" xfId="476"/>
    <cellStyle name="60% - Accent4 9 3" xfId="477"/>
    <cellStyle name="60% - Accent5 10" xfId="478"/>
    <cellStyle name="60% - Accent5 10 2" xfId="479"/>
    <cellStyle name="60% - Accent5 11" xfId="480"/>
    <cellStyle name="60% - Accent5 2" xfId="481"/>
    <cellStyle name="60% - Accent5 2 2" xfId="482"/>
    <cellStyle name="60% - Accent5 2 3" xfId="483"/>
    <cellStyle name="60% - Accent5 3" xfId="484"/>
    <cellStyle name="60% - Accent5 3 2" xfId="485"/>
    <cellStyle name="60% - Accent5 3 3" xfId="486"/>
    <cellStyle name="60% - Accent5 4" xfId="487"/>
    <cellStyle name="60% - Accent5 4 2" xfId="488"/>
    <cellStyle name="60% - Accent5 4 3" xfId="489"/>
    <cellStyle name="60% - Accent5 5" xfId="490"/>
    <cellStyle name="60% - Accent5 5 2" xfId="491"/>
    <cellStyle name="60% - Accent5 5 3" xfId="492"/>
    <cellStyle name="60% - Accent5 6" xfId="493"/>
    <cellStyle name="60% - Accent5 6 2" xfId="494"/>
    <cellStyle name="60% - Accent5 6 3" xfId="495"/>
    <cellStyle name="60% - Accent5 7" xfId="496"/>
    <cellStyle name="60% - Accent5 7 2" xfId="497"/>
    <cellStyle name="60% - Accent5 7 3" xfId="498"/>
    <cellStyle name="60% - Accent5 8" xfId="499"/>
    <cellStyle name="60% - Accent5 8 2" xfId="500"/>
    <cellStyle name="60% - Accent5 8 3" xfId="501"/>
    <cellStyle name="60% - Accent5 9" xfId="502"/>
    <cellStyle name="60% - Accent5 9 2" xfId="503"/>
    <cellStyle name="60% - Accent5 9 3" xfId="504"/>
    <cellStyle name="60% - Accent6 10" xfId="505"/>
    <cellStyle name="60% - Accent6 10 2" xfId="506"/>
    <cellStyle name="60% - Accent6 11" xfId="507"/>
    <cellStyle name="60% - Accent6 2" xfId="508"/>
    <cellStyle name="60% - Accent6 2 2" xfId="509"/>
    <cellStyle name="60% - Accent6 2 3" xfId="510"/>
    <cellStyle name="60% - Accent6 3" xfId="511"/>
    <cellStyle name="60% - Accent6 3 2" xfId="512"/>
    <cellStyle name="60% - Accent6 3 3" xfId="513"/>
    <cellStyle name="60% - Accent6 4" xfId="514"/>
    <cellStyle name="60% - Accent6 4 2" xfId="515"/>
    <cellStyle name="60% - Accent6 4 3" xfId="516"/>
    <cellStyle name="60% - Accent6 5" xfId="517"/>
    <cellStyle name="60% - Accent6 5 2" xfId="518"/>
    <cellStyle name="60% - Accent6 5 3" xfId="519"/>
    <cellStyle name="60% - Accent6 6" xfId="520"/>
    <cellStyle name="60% - Accent6 6 2" xfId="521"/>
    <cellStyle name="60% - Accent6 6 3" xfId="522"/>
    <cellStyle name="60% - Accent6 7" xfId="523"/>
    <cellStyle name="60% - Accent6 7 2" xfId="524"/>
    <cellStyle name="60% - Accent6 7 3" xfId="525"/>
    <cellStyle name="60% - Accent6 8" xfId="526"/>
    <cellStyle name="60% - Accent6 8 2" xfId="527"/>
    <cellStyle name="60% - Accent6 8 3" xfId="528"/>
    <cellStyle name="60% - Accent6 9" xfId="529"/>
    <cellStyle name="60% - Accent6 9 2" xfId="530"/>
    <cellStyle name="60% - Accent6 9 3" xfId="531"/>
    <cellStyle name="Accent1 10" xfId="532"/>
    <cellStyle name="Accent1 10 2" xfId="533"/>
    <cellStyle name="Accent1 11" xfId="534"/>
    <cellStyle name="Accent1 2" xfId="535"/>
    <cellStyle name="Accent1 2 2" xfId="536"/>
    <cellStyle name="Accent1 2 3" xfId="537"/>
    <cellStyle name="Accent1 3" xfId="538"/>
    <cellStyle name="Accent1 3 2" xfId="539"/>
    <cellStyle name="Accent1 3 3" xfId="540"/>
    <cellStyle name="Accent1 4" xfId="541"/>
    <cellStyle name="Accent1 4 2" xfId="542"/>
    <cellStyle name="Accent1 4 3" xfId="543"/>
    <cellStyle name="Accent1 5" xfId="544"/>
    <cellStyle name="Accent1 5 2" xfId="545"/>
    <cellStyle name="Accent1 5 3" xfId="546"/>
    <cellStyle name="Accent1 6" xfId="547"/>
    <cellStyle name="Accent1 6 2" xfId="548"/>
    <cellStyle name="Accent1 6 3" xfId="549"/>
    <cellStyle name="Accent1 7" xfId="550"/>
    <cellStyle name="Accent1 7 2" xfId="551"/>
    <cellStyle name="Accent1 7 3" xfId="552"/>
    <cellStyle name="Accent1 8" xfId="553"/>
    <cellStyle name="Accent1 8 2" xfId="554"/>
    <cellStyle name="Accent1 8 3" xfId="555"/>
    <cellStyle name="Accent1 9" xfId="556"/>
    <cellStyle name="Accent1 9 2" xfId="557"/>
    <cellStyle name="Accent1 9 3" xfId="558"/>
    <cellStyle name="Accent2 10" xfId="559"/>
    <cellStyle name="Accent2 10 2" xfId="560"/>
    <cellStyle name="Accent2 11" xfId="561"/>
    <cellStyle name="Accent2 2" xfId="562"/>
    <cellStyle name="Accent2 2 2" xfId="563"/>
    <cellStyle name="Accent2 2 3" xfId="564"/>
    <cellStyle name="Accent2 3" xfId="565"/>
    <cellStyle name="Accent2 3 2" xfId="566"/>
    <cellStyle name="Accent2 3 3" xfId="567"/>
    <cellStyle name="Accent2 4" xfId="568"/>
    <cellStyle name="Accent2 4 2" xfId="569"/>
    <cellStyle name="Accent2 4 3" xfId="570"/>
    <cellStyle name="Accent2 5" xfId="571"/>
    <cellStyle name="Accent2 5 2" xfId="572"/>
    <cellStyle name="Accent2 5 3" xfId="573"/>
    <cellStyle name="Accent2 6" xfId="574"/>
    <cellStyle name="Accent2 6 2" xfId="575"/>
    <cellStyle name="Accent2 6 3" xfId="576"/>
    <cellStyle name="Accent2 7" xfId="577"/>
    <cellStyle name="Accent2 7 2" xfId="578"/>
    <cellStyle name="Accent2 7 3" xfId="579"/>
    <cellStyle name="Accent2 8" xfId="580"/>
    <cellStyle name="Accent2 8 2" xfId="581"/>
    <cellStyle name="Accent2 8 3" xfId="582"/>
    <cellStyle name="Accent2 9" xfId="583"/>
    <cellStyle name="Accent2 9 2" xfId="584"/>
    <cellStyle name="Accent2 9 3" xfId="585"/>
    <cellStyle name="Accent3 10" xfId="586"/>
    <cellStyle name="Accent3 10 2" xfId="587"/>
    <cellStyle name="Accent3 11" xfId="588"/>
    <cellStyle name="Accent3 2" xfId="589"/>
    <cellStyle name="Accent3 2 2" xfId="590"/>
    <cellStyle name="Accent3 2 3" xfId="591"/>
    <cellStyle name="Accent3 3" xfId="592"/>
    <cellStyle name="Accent3 3 2" xfId="593"/>
    <cellStyle name="Accent3 3 3" xfId="594"/>
    <cellStyle name="Accent3 4" xfId="595"/>
    <cellStyle name="Accent3 4 2" xfId="596"/>
    <cellStyle name="Accent3 4 3" xfId="597"/>
    <cellStyle name="Accent3 5" xfId="598"/>
    <cellStyle name="Accent3 5 2" xfId="599"/>
    <cellStyle name="Accent3 5 3" xfId="600"/>
    <cellStyle name="Accent3 6" xfId="601"/>
    <cellStyle name="Accent3 6 2" xfId="602"/>
    <cellStyle name="Accent3 6 3" xfId="603"/>
    <cellStyle name="Accent3 7" xfId="604"/>
    <cellStyle name="Accent3 7 2" xfId="605"/>
    <cellStyle name="Accent3 7 3" xfId="606"/>
    <cellStyle name="Accent3 8" xfId="607"/>
    <cellStyle name="Accent3 8 2" xfId="608"/>
    <cellStyle name="Accent3 8 3" xfId="609"/>
    <cellStyle name="Accent3 9" xfId="610"/>
    <cellStyle name="Accent3 9 2" xfId="611"/>
    <cellStyle name="Accent3 9 3" xfId="612"/>
    <cellStyle name="Accent4 10" xfId="613"/>
    <cellStyle name="Accent4 10 2" xfId="614"/>
    <cellStyle name="Accent4 11" xfId="615"/>
    <cellStyle name="Accent4 2" xfId="616"/>
    <cellStyle name="Accent4 2 2" xfId="617"/>
    <cellStyle name="Accent4 2 3" xfId="618"/>
    <cellStyle name="Accent4 3" xfId="619"/>
    <cellStyle name="Accent4 3 2" xfId="620"/>
    <cellStyle name="Accent4 3 3" xfId="621"/>
    <cellStyle name="Accent4 4" xfId="622"/>
    <cellStyle name="Accent4 4 2" xfId="623"/>
    <cellStyle name="Accent4 4 3" xfId="624"/>
    <cellStyle name="Accent4 5" xfId="625"/>
    <cellStyle name="Accent4 5 2" xfId="626"/>
    <cellStyle name="Accent4 5 3" xfId="627"/>
    <cellStyle name="Accent4 6" xfId="628"/>
    <cellStyle name="Accent4 6 2" xfId="629"/>
    <cellStyle name="Accent4 6 3" xfId="630"/>
    <cellStyle name="Accent4 7" xfId="631"/>
    <cellStyle name="Accent4 7 2" xfId="632"/>
    <cellStyle name="Accent4 7 3" xfId="633"/>
    <cellStyle name="Accent4 8" xfId="634"/>
    <cellStyle name="Accent4 8 2" xfId="635"/>
    <cellStyle name="Accent4 8 3" xfId="636"/>
    <cellStyle name="Accent4 9" xfId="637"/>
    <cellStyle name="Accent4 9 2" xfId="638"/>
    <cellStyle name="Accent4 9 3" xfId="639"/>
    <cellStyle name="Accent5 10" xfId="640"/>
    <cellStyle name="Accent5 10 2" xfId="641"/>
    <cellStyle name="Accent5 11" xfId="642"/>
    <cellStyle name="Accent5 2" xfId="643"/>
    <cellStyle name="Accent5 2 2" xfId="644"/>
    <cellStyle name="Accent5 2 3" xfId="645"/>
    <cellStyle name="Accent5 3" xfId="646"/>
    <cellStyle name="Accent5 3 2" xfId="647"/>
    <cellStyle name="Accent5 3 3" xfId="648"/>
    <cellStyle name="Accent5 4" xfId="649"/>
    <cellStyle name="Accent5 4 2" xfId="650"/>
    <cellStyle name="Accent5 4 3" xfId="651"/>
    <cellStyle name="Accent5 5" xfId="652"/>
    <cellStyle name="Accent5 5 2" xfId="653"/>
    <cellStyle name="Accent5 5 3" xfId="654"/>
    <cellStyle name="Accent5 6" xfId="655"/>
    <cellStyle name="Accent5 6 2" xfId="656"/>
    <cellStyle name="Accent5 6 3" xfId="657"/>
    <cellStyle name="Accent5 7" xfId="658"/>
    <cellStyle name="Accent5 7 2" xfId="659"/>
    <cellStyle name="Accent5 7 3" xfId="660"/>
    <cellStyle name="Accent5 8" xfId="661"/>
    <cellStyle name="Accent5 8 2" xfId="662"/>
    <cellStyle name="Accent5 8 3" xfId="663"/>
    <cellStyle name="Accent5 9" xfId="664"/>
    <cellStyle name="Accent5 9 2" xfId="665"/>
    <cellStyle name="Accent5 9 3" xfId="666"/>
    <cellStyle name="Accent6 10" xfId="667"/>
    <cellStyle name="Accent6 10 2" xfId="668"/>
    <cellStyle name="Accent6 11" xfId="669"/>
    <cellStyle name="Accent6 2" xfId="670"/>
    <cellStyle name="Accent6 2 2" xfId="671"/>
    <cellStyle name="Accent6 2 3" xfId="672"/>
    <cellStyle name="Accent6 3" xfId="673"/>
    <cellStyle name="Accent6 3 2" xfId="674"/>
    <cellStyle name="Accent6 3 3" xfId="675"/>
    <cellStyle name="Accent6 4" xfId="676"/>
    <cellStyle name="Accent6 4 2" xfId="677"/>
    <cellStyle name="Accent6 4 3" xfId="678"/>
    <cellStyle name="Accent6 5" xfId="679"/>
    <cellStyle name="Accent6 5 2" xfId="680"/>
    <cellStyle name="Accent6 5 3" xfId="681"/>
    <cellStyle name="Accent6 6" xfId="682"/>
    <cellStyle name="Accent6 6 2" xfId="683"/>
    <cellStyle name="Accent6 6 3" xfId="684"/>
    <cellStyle name="Accent6 7" xfId="685"/>
    <cellStyle name="Accent6 7 2" xfId="686"/>
    <cellStyle name="Accent6 7 3" xfId="687"/>
    <cellStyle name="Accent6 8" xfId="688"/>
    <cellStyle name="Accent6 8 2" xfId="689"/>
    <cellStyle name="Accent6 8 3" xfId="690"/>
    <cellStyle name="Accent6 9" xfId="691"/>
    <cellStyle name="Accent6 9 2" xfId="692"/>
    <cellStyle name="Accent6 9 3" xfId="693"/>
    <cellStyle name="Bad 10" xfId="694"/>
    <cellStyle name="Bad 10 2" xfId="695"/>
    <cellStyle name="Bad 11" xfId="696"/>
    <cellStyle name="Bad 2" xfId="697"/>
    <cellStyle name="Bad 2 2" xfId="698"/>
    <cellStyle name="Bad 2 3" xfId="699"/>
    <cellStyle name="Bad 3" xfId="700"/>
    <cellStyle name="Bad 3 2" xfId="701"/>
    <cellStyle name="Bad 3 3" xfId="702"/>
    <cellStyle name="Bad 4" xfId="703"/>
    <cellStyle name="Bad 4 2" xfId="704"/>
    <cellStyle name="Bad 4 3" xfId="705"/>
    <cellStyle name="Bad 5" xfId="706"/>
    <cellStyle name="Bad 5 2" xfId="707"/>
    <cellStyle name="Bad 5 3" xfId="708"/>
    <cellStyle name="Bad 6" xfId="709"/>
    <cellStyle name="Bad 6 2" xfId="710"/>
    <cellStyle name="Bad 6 3" xfId="711"/>
    <cellStyle name="Bad 7" xfId="712"/>
    <cellStyle name="Bad 7 2" xfId="713"/>
    <cellStyle name="Bad 7 3" xfId="714"/>
    <cellStyle name="Bad 8" xfId="715"/>
    <cellStyle name="Bad 8 2" xfId="716"/>
    <cellStyle name="Bad 8 3" xfId="717"/>
    <cellStyle name="Bad 9" xfId="718"/>
    <cellStyle name="Bad 9 2" xfId="719"/>
    <cellStyle name="Bad 9 3" xfId="720"/>
    <cellStyle name="Calculation 10" xfId="721"/>
    <cellStyle name="Calculation 10 2" xfId="722"/>
    <cellStyle name="Calculation 11" xfId="723"/>
    <cellStyle name="Calculation 2" xfId="724"/>
    <cellStyle name="Calculation 2 2" xfId="725"/>
    <cellStyle name="Calculation 2 3" xfId="726"/>
    <cellStyle name="Calculation 3" xfId="727"/>
    <cellStyle name="Calculation 3 2" xfId="728"/>
    <cellStyle name="Calculation 3 3" xfId="729"/>
    <cellStyle name="Calculation 4" xfId="730"/>
    <cellStyle name="Calculation 4 2" xfId="731"/>
    <cellStyle name="Calculation 4 3" xfId="732"/>
    <cellStyle name="Calculation 5" xfId="733"/>
    <cellStyle name="Calculation 5 2" xfId="734"/>
    <cellStyle name="Calculation 5 3" xfId="735"/>
    <cellStyle name="Calculation 6" xfId="736"/>
    <cellStyle name="Calculation 6 2" xfId="737"/>
    <cellStyle name="Calculation 6 3" xfId="738"/>
    <cellStyle name="Calculation 7" xfId="739"/>
    <cellStyle name="Calculation 7 2" xfId="740"/>
    <cellStyle name="Calculation 7 3" xfId="741"/>
    <cellStyle name="Calculation 8" xfId="742"/>
    <cellStyle name="Calculation 8 2" xfId="743"/>
    <cellStyle name="Calculation 8 3" xfId="744"/>
    <cellStyle name="Calculation 9" xfId="745"/>
    <cellStyle name="Calculation 9 2" xfId="746"/>
    <cellStyle name="Calculation 9 3" xfId="747"/>
    <cellStyle name="Check Cell 10" xfId="748"/>
    <cellStyle name="Check Cell 10 2" xfId="749"/>
    <cellStyle name="Check Cell 11" xfId="750"/>
    <cellStyle name="Check Cell 2" xfId="751"/>
    <cellStyle name="Check Cell 2 2" xfId="752"/>
    <cellStyle name="Check Cell 2 3" xfId="753"/>
    <cellStyle name="Check Cell 3" xfId="754"/>
    <cellStyle name="Check Cell 3 2" xfId="755"/>
    <cellStyle name="Check Cell 3 3" xfId="756"/>
    <cellStyle name="Check Cell 4" xfId="757"/>
    <cellStyle name="Check Cell 4 2" xfId="758"/>
    <cellStyle name="Check Cell 4 3" xfId="759"/>
    <cellStyle name="Check Cell 5" xfId="760"/>
    <cellStyle name="Check Cell 5 2" xfId="761"/>
    <cellStyle name="Check Cell 5 3" xfId="762"/>
    <cellStyle name="Check Cell 6" xfId="763"/>
    <cellStyle name="Check Cell 6 2" xfId="764"/>
    <cellStyle name="Check Cell 6 3" xfId="765"/>
    <cellStyle name="Check Cell 7" xfId="766"/>
    <cellStyle name="Check Cell 7 2" xfId="767"/>
    <cellStyle name="Check Cell 7 3" xfId="768"/>
    <cellStyle name="Check Cell 8" xfId="769"/>
    <cellStyle name="Check Cell 8 2" xfId="770"/>
    <cellStyle name="Check Cell 8 3" xfId="771"/>
    <cellStyle name="Check Cell 9" xfId="772"/>
    <cellStyle name="Check Cell 9 2" xfId="773"/>
    <cellStyle name="Check Cell 9 3" xfId="774"/>
    <cellStyle name="Comma" xfId="1" builtinId="3"/>
    <cellStyle name="Comma 10" xfId="2"/>
    <cellStyle name="Comma 2" xfId="3"/>
    <cellStyle name="Comma 2 2" xfId="4"/>
    <cellStyle name="Comma 2 2 2" xfId="775"/>
    <cellStyle name="Comma 3" xfId="776"/>
    <cellStyle name="Comma 4" xfId="777"/>
    <cellStyle name="Comma 5" xfId="778"/>
    <cellStyle name="Currency 2" xfId="779"/>
    <cellStyle name="Currency 2 2" xfId="780"/>
    <cellStyle name="Currency 3" xfId="781"/>
    <cellStyle name="Currency 3 2" xfId="782"/>
    <cellStyle name="Currency 4" xfId="783"/>
    <cellStyle name="Currency 4 2" xfId="1324"/>
    <cellStyle name="Explanatory Text 10" xfId="784"/>
    <cellStyle name="Explanatory Text 10 2" xfId="785"/>
    <cellStyle name="Explanatory Text 11" xfId="786"/>
    <cellStyle name="Explanatory Text 2" xfId="787"/>
    <cellStyle name="Explanatory Text 2 2" xfId="788"/>
    <cellStyle name="Explanatory Text 2 3" xfId="789"/>
    <cellStyle name="Explanatory Text 3" xfId="790"/>
    <cellStyle name="Explanatory Text 3 2" xfId="791"/>
    <cellStyle name="Explanatory Text 3 3" xfId="792"/>
    <cellStyle name="Explanatory Text 4" xfId="793"/>
    <cellStyle name="Explanatory Text 4 2" xfId="794"/>
    <cellStyle name="Explanatory Text 4 3" xfId="795"/>
    <cellStyle name="Explanatory Text 5" xfId="796"/>
    <cellStyle name="Explanatory Text 5 2" xfId="797"/>
    <cellStyle name="Explanatory Text 5 3" xfId="798"/>
    <cellStyle name="Explanatory Text 6" xfId="799"/>
    <cellStyle name="Explanatory Text 6 2" xfId="800"/>
    <cellStyle name="Explanatory Text 6 3" xfId="801"/>
    <cellStyle name="Explanatory Text 7" xfId="802"/>
    <cellStyle name="Explanatory Text 7 2" xfId="803"/>
    <cellStyle name="Explanatory Text 7 3" xfId="804"/>
    <cellStyle name="Explanatory Text 8" xfId="805"/>
    <cellStyle name="Explanatory Text 8 2" xfId="806"/>
    <cellStyle name="Explanatory Text 8 3" xfId="807"/>
    <cellStyle name="Explanatory Text 9" xfId="808"/>
    <cellStyle name="Explanatory Text 9 2" xfId="809"/>
    <cellStyle name="Explanatory Text 9 3" xfId="810"/>
    <cellStyle name="Good 10" xfId="811"/>
    <cellStyle name="Good 10 2" xfId="812"/>
    <cellStyle name="Good 11" xfId="813"/>
    <cellStyle name="Good 2" xfId="814"/>
    <cellStyle name="Good 2 2" xfId="815"/>
    <cellStyle name="Good 2 3" xfId="816"/>
    <cellStyle name="Good 3" xfId="817"/>
    <cellStyle name="Good 3 2" xfId="818"/>
    <cellStyle name="Good 3 3" xfId="819"/>
    <cellStyle name="Good 4" xfId="820"/>
    <cellStyle name="Good 4 2" xfId="821"/>
    <cellStyle name="Good 4 3" xfId="822"/>
    <cellStyle name="Good 5" xfId="823"/>
    <cellStyle name="Good 5 2" xfId="824"/>
    <cellStyle name="Good 5 3" xfId="825"/>
    <cellStyle name="Good 6" xfId="826"/>
    <cellStyle name="Good 6 2" xfId="827"/>
    <cellStyle name="Good 6 3" xfId="828"/>
    <cellStyle name="Good 7" xfId="829"/>
    <cellStyle name="Good 7 2" xfId="830"/>
    <cellStyle name="Good 7 3" xfId="831"/>
    <cellStyle name="Good 8" xfId="832"/>
    <cellStyle name="Good 8 2" xfId="833"/>
    <cellStyle name="Good 8 3" xfId="834"/>
    <cellStyle name="Good 9" xfId="835"/>
    <cellStyle name="Good 9 2" xfId="836"/>
    <cellStyle name="Good 9 3" xfId="837"/>
    <cellStyle name="Grey" xfId="5"/>
    <cellStyle name="Heading 1 10" xfId="838"/>
    <cellStyle name="Heading 1 10 2" xfId="839"/>
    <cellStyle name="Heading 1 11" xfId="840"/>
    <cellStyle name="Heading 1 2" xfId="841"/>
    <cellStyle name="Heading 1 2 2" xfId="842"/>
    <cellStyle name="Heading 1 2 3" xfId="843"/>
    <cellStyle name="Heading 1 3" xfId="844"/>
    <cellStyle name="Heading 1 3 2" xfId="845"/>
    <cellStyle name="Heading 1 3 3" xfId="846"/>
    <cellStyle name="Heading 1 4" xfId="847"/>
    <cellStyle name="Heading 1 4 2" xfId="848"/>
    <cellStyle name="Heading 1 4 3" xfId="849"/>
    <cellStyle name="Heading 1 5" xfId="850"/>
    <cellStyle name="Heading 1 5 2" xfId="851"/>
    <cellStyle name="Heading 1 5 3" xfId="852"/>
    <cellStyle name="Heading 1 6" xfId="853"/>
    <cellStyle name="Heading 1 6 2" xfId="854"/>
    <cellStyle name="Heading 1 6 3" xfId="855"/>
    <cellStyle name="Heading 1 7" xfId="856"/>
    <cellStyle name="Heading 1 7 2" xfId="857"/>
    <cellStyle name="Heading 1 7 3" xfId="858"/>
    <cellStyle name="Heading 1 8" xfId="859"/>
    <cellStyle name="Heading 1 8 2" xfId="860"/>
    <cellStyle name="Heading 1 8 3" xfId="861"/>
    <cellStyle name="Heading 1 9" xfId="862"/>
    <cellStyle name="Heading 1 9 2" xfId="863"/>
    <cellStyle name="Heading 1 9 3" xfId="864"/>
    <cellStyle name="Heading 2 10" xfId="865"/>
    <cellStyle name="Heading 2 10 2" xfId="866"/>
    <cellStyle name="Heading 2 11" xfId="867"/>
    <cellStyle name="Heading 2 2" xfId="868"/>
    <cellStyle name="Heading 2 2 2" xfId="869"/>
    <cellStyle name="Heading 2 2 3" xfId="870"/>
    <cellStyle name="Heading 2 3" xfId="871"/>
    <cellStyle name="Heading 2 3 2" xfId="872"/>
    <cellStyle name="Heading 2 3 3" xfId="873"/>
    <cellStyle name="Heading 2 4" xfId="874"/>
    <cellStyle name="Heading 2 4 2" xfId="875"/>
    <cellStyle name="Heading 2 4 3" xfId="876"/>
    <cellStyle name="Heading 2 5" xfId="877"/>
    <cellStyle name="Heading 2 5 2" xfId="878"/>
    <cellStyle name="Heading 2 5 3" xfId="879"/>
    <cellStyle name="Heading 2 6" xfId="880"/>
    <cellStyle name="Heading 2 6 2" xfId="881"/>
    <cellStyle name="Heading 2 6 3" xfId="882"/>
    <cellStyle name="Heading 2 7" xfId="883"/>
    <cellStyle name="Heading 2 7 2" xfId="884"/>
    <cellStyle name="Heading 2 7 3" xfId="885"/>
    <cellStyle name="Heading 2 8" xfId="886"/>
    <cellStyle name="Heading 2 8 2" xfId="887"/>
    <cellStyle name="Heading 2 8 3" xfId="888"/>
    <cellStyle name="Heading 2 9" xfId="889"/>
    <cellStyle name="Heading 2 9 2" xfId="890"/>
    <cellStyle name="Heading 2 9 3" xfId="891"/>
    <cellStyle name="Heading 3 10" xfId="892"/>
    <cellStyle name="Heading 3 10 2" xfId="893"/>
    <cellStyle name="Heading 3 11" xfId="894"/>
    <cellStyle name="Heading 3 2" xfId="895"/>
    <cellStyle name="Heading 3 2 2" xfId="896"/>
    <cellStyle name="Heading 3 2 3" xfId="897"/>
    <cellStyle name="Heading 3 3" xfId="898"/>
    <cellStyle name="Heading 3 3 2" xfId="899"/>
    <cellStyle name="Heading 3 3 3" xfId="900"/>
    <cellStyle name="Heading 3 4" xfId="901"/>
    <cellStyle name="Heading 3 4 2" xfId="902"/>
    <cellStyle name="Heading 3 4 3" xfId="903"/>
    <cellStyle name="Heading 3 5" xfId="904"/>
    <cellStyle name="Heading 3 5 2" xfId="905"/>
    <cellStyle name="Heading 3 5 3" xfId="906"/>
    <cellStyle name="Heading 3 6" xfId="907"/>
    <cellStyle name="Heading 3 6 2" xfId="908"/>
    <cellStyle name="Heading 3 6 3" xfId="909"/>
    <cellStyle name="Heading 3 7" xfId="910"/>
    <cellStyle name="Heading 3 7 2" xfId="911"/>
    <cellStyle name="Heading 3 7 3" xfId="912"/>
    <cellStyle name="Heading 3 8" xfId="913"/>
    <cellStyle name="Heading 3 8 2" xfId="914"/>
    <cellStyle name="Heading 3 8 3" xfId="915"/>
    <cellStyle name="Heading 3 9" xfId="916"/>
    <cellStyle name="Heading 3 9 2" xfId="917"/>
    <cellStyle name="Heading 3 9 3" xfId="918"/>
    <cellStyle name="Heading 4 10" xfId="919"/>
    <cellStyle name="Heading 4 10 2" xfId="920"/>
    <cellStyle name="Heading 4 11" xfId="921"/>
    <cellStyle name="Heading 4 2" xfId="922"/>
    <cellStyle name="Heading 4 2 2" xfId="923"/>
    <cellStyle name="Heading 4 2 3" xfId="924"/>
    <cellStyle name="Heading 4 3" xfId="925"/>
    <cellStyle name="Heading 4 3 2" xfId="926"/>
    <cellStyle name="Heading 4 3 3" xfId="927"/>
    <cellStyle name="Heading 4 4" xfId="928"/>
    <cellStyle name="Heading 4 4 2" xfId="929"/>
    <cellStyle name="Heading 4 4 3" xfId="930"/>
    <cellStyle name="Heading 4 5" xfId="931"/>
    <cellStyle name="Heading 4 5 2" xfId="932"/>
    <cellStyle name="Heading 4 5 3" xfId="933"/>
    <cellStyle name="Heading 4 6" xfId="934"/>
    <cellStyle name="Heading 4 6 2" xfId="935"/>
    <cellStyle name="Heading 4 6 3" xfId="936"/>
    <cellStyle name="Heading 4 7" xfId="937"/>
    <cellStyle name="Heading 4 7 2" xfId="938"/>
    <cellStyle name="Heading 4 7 3" xfId="939"/>
    <cellStyle name="Heading 4 8" xfId="940"/>
    <cellStyle name="Heading 4 8 2" xfId="941"/>
    <cellStyle name="Heading 4 8 3" xfId="942"/>
    <cellStyle name="Heading 4 9" xfId="943"/>
    <cellStyle name="Heading 4 9 2" xfId="944"/>
    <cellStyle name="Heading 4 9 3" xfId="945"/>
    <cellStyle name="Hyperlink 2" xfId="6"/>
    <cellStyle name="Hyperlink 2 2" xfId="946"/>
    <cellStyle name="Hyperlink 2 3" xfId="947"/>
    <cellStyle name="Hyperlink 2 4" xfId="948"/>
    <cellStyle name="Hyperlink 2 5" xfId="949"/>
    <cellStyle name="Hyperlink 3" xfId="950"/>
    <cellStyle name="Input [yellow]" xfId="7"/>
    <cellStyle name="Input 10" xfId="951"/>
    <cellStyle name="Input 10 2" xfId="952"/>
    <cellStyle name="Input 11" xfId="953"/>
    <cellStyle name="Input 2" xfId="954"/>
    <cellStyle name="Input 2 2" xfId="955"/>
    <cellStyle name="Input 2 3" xfId="956"/>
    <cellStyle name="Input 3" xfId="957"/>
    <cellStyle name="Input 3 2" xfId="958"/>
    <cellStyle name="Input 3 3" xfId="959"/>
    <cellStyle name="Input 4" xfId="960"/>
    <cellStyle name="Input 4 2" xfId="961"/>
    <cellStyle name="Input 4 3" xfId="962"/>
    <cellStyle name="Input 5" xfId="963"/>
    <cellStyle name="Input 5 2" xfId="964"/>
    <cellStyle name="Input 5 3" xfId="965"/>
    <cellStyle name="Input 6" xfId="966"/>
    <cellStyle name="Input 6 2" xfId="967"/>
    <cellStyle name="Input 6 3" xfId="968"/>
    <cellStyle name="Input 7" xfId="969"/>
    <cellStyle name="Input 7 2" xfId="970"/>
    <cellStyle name="Input 7 3" xfId="971"/>
    <cellStyle name="Input 8" xfId="972"/>
    <cellStyle name="Input 8 2" xfId="973"/>
    <cellStyle name="Input 8 3" xfId="974"/>
    <cellStyle name="Input 9" xfId="975"/>
    <cellStyle name="Input 9 2" xfId="976"/>
    <cellStyle name="Input 9 3" xfId="977"/>
    <cellStyle name="Linked Cell 10" xfId="978"/>
    <cellStyle name="Linked Cell 10 2" xfId="979"/>
    <cellStyle name="Linked Cell 11" xfId="980"/>
    <cellStyle name="Linked Cell 2" xfId="981"/>
    <cellStyle name="Linked Cell 2 2" xfId="982"/>
    <cellStyle name="Linked Cell 2 3" xfId="983"/>
    <cellStyle name="Linked Cell 3" xfId="984"/>
    <cellStyle name="Linked Cell 3 2" xfId="985"/>
    <cellStyle name="Linked Cell 3 3" xfId="986"/>
    <cellStyle name="Linked Cell 4" xfId="987"/>
    <cellStyle name="Linked Cell 4 2" xfId="988"/>
    <cellStyle name="Linked Cell 4 3" xfId="989"/>
    <cellStyle name="Linked Cell 5" xfId="990"/>
    <cellStyle name="Linked Cell 5 2" xfId="991"/>
    <cellStyle name="Linked Cell 5 3" xfId="992"/>
    <cellStyle name="Linked Cell 6" xfId="993"/>
    <cellStyle name="Linked Cell 6 2" xfId="994"/>
    <cellStyle name="Linked Cell 6 3" xfId="995"/>
    <cellStyle name="Linked Cell 7" xfId="996"/>
    <cellStyle name="Linked Cell 7 2" xfId="997"/>
    <cellStyle name="Linked Cell 7 3" xfId="998"/>
    <cellStyle name="Linked Cell 8" xfId="999"/>
    <cellStyle name="Linked Cell 8 2" xfId="1000"/>
    <cellStyle name="Linked Cell 8 3" xfId="1001"/>
    <cellStyle name="Linked Cell 9" xfId="1002"/>
    <cellStyle name="Linked Cell 9 2" xfId="1003"/>
    <cellStyle name="Linked Cell 9 3" xfId="1004"/>
    <cellStyle name="MS_Arabic" xfId="1005"/>
    <cellStyle name="Neutral 10" xfId="1006"/>
    <cellStyle name="Neutral 10 2" xfId="1007"/>
    <cellStyle name="Neutral 11" xfId="1008"/>
    <cellStyle name="Neutral 2" xfId="1009"/>
    <cellStyle name="Neutral 2 2" xfId="1010"/>
    <cellStyle name="Neutral 2 3" xfId="1011"/>
    <cellStyle name="Neutral 3" xfId="1012"/>
    <cellStyle name="Neutral 3 2" xfId="1013"/>
    <cellStyle name="Neutral 3 3" xfId="1014"/>
    <cellStyle name="Neutral 4" xfId="1015"/>
    <cellStyle name="Neutral 4 2" xfId="1016"/>
    <cellStyle name="Neutral 4 3" xfId="1017"/>
    <cellStyle name="Neutral 5" xfId="1018"/>
    <cellStyle name="Neutral 5 2" xfId="1019"/>
    <cellStyle name="Neutral 5 3" xfId="1020"/>
    <cellStyle name="Neutral 6" xfId="1021"/>
    <cellStyle name="Neutral 6 2" xfId="1022"/>
    <cellStyle name="Neutral 6 3" xfId="1023"/>
    <cellStyle name="Neutral 7" xfId="1024"/>
    <cellStyle name="Neutral 7 2" xfId="1025"/>
    <cellStyle name="Neutral 7 3" xfId="1026"/>
    <cellStyle name="Neutral 8" xfId="1027"/>
    <cellStyle name="Neutral 8 2" xfId="1028"/>
    <cellStyle name="Neutral 8 3" xfId="1029"/>
    <cellStyle name="Neutral 9" xfId="1030"/>
    <cellStyle name="Neutral 9 2" xfId="1031"/>
    <cellStyle name="Neutral 9 3" xfId="1032"/>
    <cellStyle name="Normal" xfId="0" builtinId="0"/>
    <cellStyle name="Normal - Style1" xfId="8"/>
    <cellStyle name="Normal 10" xfId="9"/>
    <cellStyle name="Normal 10 2" xfId="1033"/>
    <cellStyle name="Normal 10 2 2" xfId="10"/>
    <cellStyle name="Normal 10 3" xfId="1034"/>
    <cellStyle name="Normal 10 3 2" xfId="1035"/>
    <cellStyle name="Normal 10 4" xfId="1036"/>
    <cellStyle name="Normal 10 5" xfId="1037"/>
    <cellStyle name="Normal 10 6" xfId="1038"/>
    <cellStyle name="Normal 10 7" xfId="1039"/>
    <cellStyle name="Normal 11" xfId="1040"/>
    <cellStyle name="Normal 11 2" xfId="11"/>
    <cellStyle name="Normal 11 2 2" xfId="1041"/>
    <cellStyle name="Normal 11 3" xfId="1042"/>
    <cellStyle name="Normal 12" xfId="1043"/>
    <cellStyle name="Normal 13" xfId="12"/>
    <cellStyle name="Normal 13 2" xfId="1044"/>
    <cellStyle name="Normal 14" xfId="1045"/>
    <cellStyle name="Normal 15" xfId="1046"/>
    <cellStyle name="Normal 15 2" xfId="1047"/>
    <cellStyle name="Normal 15 5" xfId="13"/>
    <cellStyle name="Normal 16" xfId="1048"/>
    <cellStyle name="Normal 17" xfId="1049"/>
    <cellStyle name="Normal 18" xfId="1050"/>
    <cellStyle name="Normal 19" xfId="1051"/>
    <cellStyle name="Normal 2" xfId="14"/>
    <cellStyle name="Normal 2 10" xfId="1052"/>
    <cellStyle name="Normal 2 11" xfId="1053"/>
    <cellStyle name="Normal 2 12" xfId="1054"/>
    <cellStyle name="Normal 2 13" xfId="15"/>
    <cellStyle name="Normal 2 2" xfId="16"/>
    <cellStyle name="Normal 2 2 2" xfId="17"/>
    <cellStyle name="Normal 2 2 2 2" xfId="1055"/>
    <cellStyle name="Normal 2 2 3" xfId="1056"/>
    <cellStyle name="Normal 2 2 4" xfId="1057"/>
    <cellStyle name="Normal 2 2 5" xfId="1058"/>
    <cellStyle name="Normal 2 2 6" xfId="1059"/>
    <cellStyle name="Normal 2 3" xfId="18"/>
    <cellStyle name="Normal 2 3 10" xfId="1060"/>
    <cellStyle name="Normal 2 3 11" xfId="1061"/>
    <cellStyle name="Normal 2 3 12" xfId="1062"/>
    <cellStyle name="Normal 2 3 2" xfId="19"/>
    <cellStyle name="Normal 2 3 2 2" xfId="1063"/>
    <cellStyle name="Normal 2 3 2 2 2" xfId="1064"/>
    <cellStyle name="Normal 2 3 2 3" xfId="1065"/>
    <cellStyle name="Normal 2 3 3" xfId="1066"/>
    <cellStyle name="Normal 2 3 3 2" xfId="1067"/>
    <cellStyle name="Normal 2 3 3 2 2" xfId="1068"/>
    <cellStyle name="Normal 2 3 3 2 3" xfId="1069"/>
    <cellStyle name="Normal 2 3 3 2 4" xfId="1070"/>
    <cellStyle name="Normal 2 3 3 3" xfId="1071"/>
    <cellStyle name="Normal 2 3 3 4" xfId="1072"/>
    <cellStyle name="Normal 2 3 4" xfId="1073"/>
    <cellStyle name="Normal 2 3 4 2" xfId="1074"/>
    <cellStyle name="Normal 2 3 5" xfId="1075"/>
    <cellStyle name="Normal 2 3 6" xfId="1076"/>
    <cellStyle name="Normal 2 3 7" xfId="1077"/>
    <cellStyle name="Normal 2 3 8" xfId="1078"/>
    <cellStyle name="Normal 2 3 9" xfId="1079"/>
    <cellStyle name="Normal 2 4" xfId="20"/>
    <cellStyle name="Normal 2 4 2" xfId="1080"/>
    <cellStyle name="Normal 2 4 3" xfId="1081"/>
    <cellStyle name="Normal 2 4 4" xfId="1082"/>
    <cellStyle name="Normal 2 4 5" xfId="1083"/>
    <cellStyle name="Normal 2 5" xfId="21"/>
    <cellStyle name="Normal 2 5 2" xfId="1084"/>
    <cellStyle name="Normal 2 5 3" xfId="1085"/>
    <cellStyle name="Normal 2 5 4" xfId="1086"/>
    <cellStyle name="Normal 2 6" xfId="1087"/>
    <cellStyle name="Normal 2 6 2" xfId="1088"/>
    <cellStyle name="Normal 2 6 2 2" xfId="1089"/>
    <cellStyle name="Normal 2 6 3" xfId="1090"/>
    <cellStyle name="Normal 2 7" xfId="1091"/>
    <cellStyle name="Normal 2 7 2" xfId="1092"/>
    <cellStyle name="Normal 2 7 3" xfId="1093"/>
    <cellStyle name="Normal 2 8" xfId="1094"/>
    <cellStyle name="Normal 2 8 2" xfId="1095"/>
    <cellStyle name="Normal 2 9" xfId="1096"/>
    <cellStyle name="Normal 2_model school copy kundadam" xfId="1097"/>
    <cellStyle name="Normal 20" xfId="1098"/>
    <cellStyle name="Normal 21" xfId="1099"/>
    <cellStyle name="Normal 22" xfId="1100"/>
    <cellStyle name="Normal 23" xfId="1101"/>
    <cellStyle name="Normal 24" xfId="1102"/>
    <cellStyle name="Normal 25" xfId="1103"/>
    <cellStyle name="Normal 26" xfId="1104"/>
    <cellStyle name="Normal 27" xfId="1105"/>
    <cellStyle name="Normal 28" xfId="1106"/>
    <cellStyle name="Normal 28 2" xfId="1107"/>
    <cellStyle name="Normal 29" xfId="1108"/>
    <cellStyle name="Normal 29 2" xfId="1325"/>
    <cellStyle name="Normal 3" xfId="22"/>
    <cellStyle name="Normal 3 2" xfId="23"/>
    <cellStyle name="Normal 3 2 2" xfId="24"/>
    <cellStyle name="Normal 3 2 2 2" xfId="1109"/>
    <cellStyle name="Normal 3 2 2 2 2" xfId="1110"/>
    <cellStyle name="Normal 3 2 2 2 4" xfId="25"/>
    <cellStyle name="Normal 3 2 2 3" xfId="1111"/>
    <cellStyle name="Normal 3 2 2 4" xfId="1112"/>
    <cellStyle name="Normal 3 2 2 5" xfId="1113"/>
    <cellStyle name="Normal 3 2 2 6" xfId="1114"/>
    <cellStyle name="Normal 3 2 3" xfId="1115"/>
    <cellStyle name="Normal 3 3" xfId="1116"/>
    <cellStyle name="Normal 3 3 2" xfId="1117"/>
    <cellStyle name="Normal 3 4" xfId="26"/>
    <cellStyle name="Normal 3 4 2" xfId="1118"/>
    <cellStyle name="Normal 3 4 3" xfId="1119"/>
    <cellStyle name="Normal 3 4 4" xfId="1120"/>
    <cellStyle name="Normal 3 4 5" xfId="1121"/>
    <cellStyle name="Normal 3 5" xfId="1122"/>
    <cellStyle name="Normal 3 6" xfId="1123"/>
    <cellStyle name="Normal 3 7" xfId="1124"/>
    <cellStyle name="Normal 3 8" xfId="1125"/>
    <cellStyle name="Normal 30" xfId="1126"/>
    <cellStyle name="Normal 30 2" xfId="1127"/>
    <cellStyle name="Normal 30 3" xfId="1128"/>
    <cellStyle name="Normal 31" xfId="1129"/>
    <cellStyle name="Normal 32" xfId="1130"/>
    <cellStyle name="Normal 33" xfId="1131"/>
    <cellStyle name="Normal 33 2" xfId="1326"/>
    <cellStyle name="Normal 34" xfId="1132"/>
    <cellStyle name="Normal 35" xfId="1133"/>
    <cellStyle name="Normal 36" xfId="1134"/>
    <cellStyle name="Normal 37" xfId="1135"/>
    <cellStyle name="Normal 38" xfId="1136"/>
    <cellStyle name="Normal 39" xfId="1137"/>
    <cellStyle name="Normal 4" xfId="27"/>
    <cellStyle name="Normal 4 2" xfId="1138"/>
    <cellStyle name="Normal 4 2 2" xfId="1139"/>
    <cellStyle name="Normal 4 2 2 2" xfId="1140"/>
    <cellStyle name="Normal 4 2 3" xfId="1141"/>
    <cellStyle name="Normal 4 3" xfId="1142"/>
    <cellStyle name="Normal 4 3 2" xfId="1143"/>
    <cellStyle name="Normal 4 4" xfId="1144"/>
    <cellStyle name="Normal 4 5" xfId="1145"/>
    <cellStyle name="Normal 4 6" xfId="1146"/>
    <cellStyle name="Normal 4 7" xfId="1147"/>
    <cellStyle name="Normal 4 8" xfId="1148"/>
    <cellStyle name="Normal 4 9" xfId="1149"/>
    <cellStyle name="Normal 40" xfId="1150"/>
    <cellStyle name="Normal 41" xfId="1151"/>
    <cellStyle name="Normal 42" xfId="1152"/>
    <cellStyle name="Normal 43" xfId="1153"/>
    <cellStyle name="Normal 44" xfId="1154"/>
    <cellStyle name="Normal 45" xfId="1155"/>
    <cellStyle name="Normal 46" xfId="1156"/>
    <cellStyle name="Normal 47" xfId="1157"/>
    <cellStyle name="Normal 48" xfId="1158"/>
    <cellStyle name="Normal 49" xfId="1159"/>
    <cellStyle name="Normal 5" xfId="28"/>
    <cellStyle name="Normal 5 2" xfId="29"/>
    <cellStyle name="Normal 5 2 2" xfId="1160"/>
    <cellStyle name="Normal 5 2 2 2" xfId="1161"/>
    <cellStyle name="Normal 5 2 2 3" xfId="1162"/>
    <cellStyle name="Normal 5 2 2 4" xfId="1163"/>
    <cellStyle name="Normal 5 2 3" xfId="1164"/>
    <cellStyle name="Normal 5 2 4" xfId="1165"/>
    <cellStyle name="Normal 5 2 4 2" xfId="1166"/>
    <cellStyle name="Normal 5 2 4 3" xfId="1167"/>
    <cellStyle name="Normal 5 2 5" xfId="1168"/>
    <cellStyle name="Normal 5 3" xfId="30"/>
    <cellStyle name="Normal 5 3 2" xfId="1169"/>
    <cellStyle name="Normal 5 3 3" xfId="1170"/>
    <cellStyle name="Normal 5 4" xfId="31"/>
    <cellStyle name="Normal 5 5" xfId="32"/>
    <cellStyle name="Normal 5 6" xfId="1171"/>
    <cellStyle name="Normal 5 7" xfId="1172"/>
    <cellStyle name="Normal 5 8" xfId="1173"/>
    <cellStyle name="Normal 50" xfId="1174"/>
    <cellStyle name="Normal 51" xfId="1175"/>
    <cellStyle name="Normal 6" xfId="33"/>
    <cellStyle name="Normal 6 2" xfId="1176"/>
    <cellStyle name="Normal 6 2 2" xfId="1177"/>
    <cellStyle name="Normal 6 2 3" xfId="1178"/>
    <cellStyle name="Normal 6 3" xfId="1179"/>
    <cellStyle name="Normal 6 3 2" xfId="1180"/>
    <cellStyle name="Normal 6 4" xfId="1181"/>
    <cellStyle name="Normal 6 5" xfId="1182"/>
    <cellStyle name="Normal 6 6" xfId="1183"/>
    <cellStyle name="Normal 6 7" xfId="1184"/>
    <cellStyle name="Normal 7" xfId="34"/>
    <cellStyle name="Normal 7 2" xfId="35"/>
    <cellStyle name="Normal 7 2 2" xfId="1185"/>
    <cellStyle name="Normal 7 3" xfId="1186"/>
    <cellStyle name="Normal 7 3 2" xfId="1187"/>
    <cellStyle name="Normal 7 4" xfId="1188"/>
    <cellStyle name="Normal 8" xfId="36"/>
    <cellStyle name="Normal 8 2" xfId="37"/>
    <cellStyle name="Normal 8 3" xfId="1189"/>
    <cellStyle name="Normal 9" xfId="1190"/>
    <cellStyle name="Normal 9 2" xfId="1191"/>
    <cellStyle name="Normal_Phase XI QS" xfId="38"/>
    <cellStyle name="Normal_Phase XI QS 2" xfId="39"/>
    <cellStyle name="Normal_Phase XI QS 2 2" xfId="1192"/>
    <cellStyle name="Normal_Phase XI QS 2 4" xfId="1327"/>
    <cellStyle name="Normal_Sheet1" xfId="1322"/>
    <cellStyle name="Normal_Sheet1 2" xfId="1328"/>
    <cellStyle name="Normal_Sheet1 7" xfId="1323"/>
    <cellStyle name="Note 10" xfId="1193"/>
    <cellStyle name="Note 11" xfId="1194"/>
    <cellStyle name="Note 2" xfId="1195"/>
    <cellStyle name="Note 3" xfId="1196"/>
    <cellStyle name="Note 4" xfId="1197"/>
    <cellStyle name="Note 5" xfId="1198"/>
    <cellStyle name="Note 6" xfId="1199"/>
    <cellStyle name="Note 7" xfId="1200"/>
    <cellStyle name="Note 8" xfId="1201"/>
    <cellStyle name="Note 9" xfId="1202"/>
    <cellStyle name="Output 10" xfId="1203"/>
    <cellStyle name="Output 10 2" xfId="1204"/>
    <cellStyle name="Output 11" xfId="1205"/>
    <cellStyle name="Output 2" xfId="1206"/>
    <cellStyle name="Output 2 2" xfId="1207"/>
    <cellStyle name="Output 2 3" xfId="1208"/>
    <cellStyle name="Output 3" xfId="1209"/>
    <cellStyle name="Output 3 2" xfId="1210"/>
    <cellStyle name="Output 3 3" xfId="1211"/>
    <cellStyle name="Output 4" xfId="1212"/>
    <cellStyle name="Output 4 2" xfId="1213"/>
    <cellStyle name="Output 4 3" xfId="1214"/>
    <cellStyle name="Output 5" xfId="1215"/>
    <cellStyle name="Output 5 2" xfId="1216"/>
    <cellStyle name="Output 5 3" xfId="1217"/>
    <cellStyle name="Output 6" xfId="1218"/>
    <cellStyle name="Output 6 2" xfId="1219"/>
    <cellStyle name="Output 6 3" xfId="1220"/>
    <cellStyle name="Output 7" xfId="1221"/>
    <cellStyle name="Output 7 2" xfId="1222"/>
    <cellStyle name="Output 7 3" xfId="1223"/>
    <cellStyle name="Output 8" xfId="1224"/>
    <cellStyle name="Output 8 2" xfId="1225"/>
    <cellStyle name="Output 8 3" xfId="1226"/>
    <cellStyle name="Output 9" xfId="1227"/>
    <cellStyle name="Output 9 2" xfId="1228"/>
    <cellStyle name="Output 9 3" xfId="1229"/>
    <cellStyle name="Percent" xfId="40" builtinId="5"/>
    <cellStyle name="Percent [2]" xfId="41"/>
    <cellStyle name="Percent 12" xfId="1230"/>
    <cellStyle name="Percent 13" xfId="1231"/>
    <cellStyle name="Percent 2" xfId="42"/>
    <cellStyle name="Percent 2 2" xfId="1232"/>
    <cellStyle name="Percent 2 3" xfId="1233"/>
    <cellStyle name="Percent 2 3 2" xfId="1234"/>
    <cellStyle name="Percent 3" xfId="43"/>
    <cellStyle name="Percent 4" xfId="1235"/>
    <cellStyle name="Percent 5" xfId="1236"/>
    <cellStyle name="Percent 5 2" xfId="1237"/>
    <cellStyle name="Percent 6" xfId="1238"/>
    <cellStyle name="Percent 7" xfId="1239"/>
    <cellStyle name="Style 1" xfId="44"/>
    <cellStyle name="Style 2" xfId="1240"/>
    <cellStyle name="Times New Roman" xfId="45"/>
    <cellStyle name="Title 10" xfId="1241"/>
    <cellStyle name="Title 10 2" xfId="1242"/>
    <cellStyle name="Title 11" xfId="1243"/>
    <cellStyle name="Title 2" xfId="1244"/>
    <cellStyle name="Title 2 2" xfId="1245"/>
    <cellStyle name="Title 2 3" xfId="1246"/>
    <cellStyle name="Title 3" xfId="1247"/>
    <cellStyle name="Title 3 2" xfId="1248"/>
    <cellStyle name="Title 3 3" xfId="1249"/>
    <cellStyle name="Title 4" xfId="1250"/>
    <cellStyle name="Title 4 2" xfId="1251"/>
    <cellStyle name="Title 4 3" xfId="1252"/>
    <cellStyle name="Title 5" xfId="1253"/>
    <cellStyle name="Title 5 2" xfId="1254"/>
    <cellStyle name="Title 5 3" xfId="1255"/>
    <cellStyle name="Title 6" xfId="1256"/>
    <cellStyle name="Title 6 2" xfId="1257"/>
    <cellStyle name="Title 6 3" xfId="1258"/>
    <cellStyle name="Title 7" xfId="1259"/>
    <cellStyle name="Title 7 2" xfId="1260"/>
    <cellStyle name="Title 7 3" xfId="1261"/>
    <cellStyle name="Title 8" xfId="1262"/>
    <cellStyle name="Title 8 2" xfId="1263"/>
    <cellStyle name="Title 8 3" xfId="1264"/>
    <cellStyle name="Title 9" xfId="1265"/>
    <cellStyle name="Title 9 2" xfId="1266"/>
    <cellStyle name="Title 9 3" xfId="1267"/>
    <cellStyle name="Total 10" xfId="1268"/>
    <cellStyle name="Total 10 2" xfId="1269"/>
    <cellStyle name="Total 11" xfId="1270"/>
    <cellStyle name="Total 2" xfId="1271"/>
    <cellStyle name="Total 2 2" xfId="1272"/>
    <cellStyle name="Total 2 3" xfId="1273"/>
    <cellStyle name="Total 3" xfId="1274"/>
    <cellStyle name="Total 3 2" xfId="1275"/>
    <cellStyle name="Total 3 3" xfId="1276"/>
    <cellStyle name="Total 4" xfId="1277"/>
    <cellStyle name="Total 4 2" xfId="1278"/>
    <cellStyle name="Total 4 3" xfId="1279"/>
    <cellStyle name="Total 5" xfId="1280"/>
    <cellStyle name="Total 5 2" xfId="1281"/>
    <cellStyle name="Total 5 3" xfId="1282"/>
    <cellStyle name="Total 6" xfId="1283"/>
    <cellStyle name="Total 6 2" xfId="1284"/>
    <cellStyle name="Total 6 3" xfId="1285"/>
    <cellStyle name="Total 7" xfId="1286"/>
    <cellStyle name="Total 7 2" xfId="1287"/>
    <cellStyle name="Total 7 3" xfId="1288"/>
    <cellStyle name="Total 8" xfId="1289"/>
    <cellStyle name="Total 8 2" xfId="1290"/>
    <cellStyle name="Total 8 3" xfId="1291"/>
    <cellStyle name="Total 9" xfId="1292"/>
    <cellStyle name="Total 9 2" xfId="1293"/>
    <cellStyle name="Total 9 3" xfId="1294"/>
    <cellStyle name="Warning Text 10" xfId="1295"/>
    <cellStyle name="Warning Text 10 2" xfId="1296"/>
    <cellStyle name="Warning Text 11" xfId="1297"/>
    <cellStyle name="Warning Text 2" xfId="1298"/>
    <cellStyle name="Warning Text 2 2" xfId="1299"/>
    <cellStyle name="Warning Text 2 3" xfId="1300"/>
    <cellStyle name="Warning Text 3" xfId="1301"/>
    <cellStyle name="Warning Text 3 2" xfId="1302"/>
    <cellStyle name="Warning Text 3 3" xfId="1303"/>
    <cellStyle name="Warning Text 4" xfId="1304"/>
    <cellStyle name="Warning Text 4 2" xfId="1305"/>
    <cellStyle name="Warning Text 4 3" xfId="1306"/>
    <cellStyle name="Warning Text 5" xfId="1307"/>
    <cellStyle name="Warning Text 5 2" xfId="1308"/>
    <cellStyle name="Warning Text 5 3" xfId="1309"/>
    <cellStyle name="Warning Text 6" xfId="1310"/>
    <cellStyle name="Warning Text 6 2" xfId="1311"/>
    <cellStyle name="Warning Text 6 3" xfId="1312"/>
    <cellStyle name="Warning Text 7" xfId="1313"/>
    <cellStyle name="Warning Text 7 2" xfId="1314"/>
    <cellStyle name="Warning Text 7 3" xfId="1315"/>
    <cellStyle name="Warning Text 8" xfId="1316"/>
    <cellStyle name="Warning Text 8 2" xfId="1317"/>
    <cellStyle name="Warning Text 8 3" xfId="1318"/>
    <cellStyle name="Warning Text 9" xfId="1319"/>
    <cellStyle name="Warning Text 9 2" xfId="1320"/>
    <cellStyle name="Warning Text 9 3" xfId="132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41"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externalLink" Target="externalLinks/externalLink16.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160;\raja%20letter%2030.06.2020\Thirumurgan%20poondi%20police%20station%20file\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160;\raja%20letter%2030.06.2020\Thirumurgan%20poondi%20police%20station%20file\D%20Drive\Moorthi%20JE\Jaihind%20puram%20PS\Jaihind%20puram%20PS%20Final\TNPHC(II)\R.WALL,%20FILLING%20%20GRAVEL%20EST%20VMBK%20%20QRS\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160;\raja%20letter%2030.06.2020\Thirumurgan%20poondi%20police%20station%20file\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DB-12\Share%20313\Users\CEDB2\AppData\Local\Packages\Microsoft.MicrosoftEdge_8wekyb3d8bbwe\TempState\Downloads\Main%20Estimate\JambunathaPuram%20RPS\EST%20Jembunathapuram\Jambunatha%20Puram%20RPS%20-%20Fi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y6hgb/My%20Documents/TRICHY/Karu.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nphc%20department/2016/FLOOD%20ESTIMATE%20FINAL%20%20jan%202016/FLOOD%20ESTIMATE%20FINAL%20%2022.01.2016/Orathi/ORATHI%20police%20stati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Users\Loganathan\Desktop\Main%20Estimate\JambunathaPuram%20RPS\EST%20Jembunathapuram\Jambunatha%20Puram%20RPS%20-%20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nphc-pc\new%20folder\Users\ACER\Desktop\CAP%20&amp;%20TAILORING%20additional%20propos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Dell/AppData/Local/Temp/Rar$DIa0.600/Users/user/Downloads/Main%20Estimate/JambunathaPuram%20RPS/EST%20Jembunathapuram/Jambunatha%20Puram%20RPS%20-%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Documents%20and%20Settings\y6hgb\My%20Documents\TRICHY\Karu.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HANJAVUR%20SUB%20DIVISION/ESTIMATES/UPS,VILAR/New%20folder%20(2)/Data%202022-2023%20%20-%2001.08.2022%20-%20UP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Data%202022-2023%20%20-%2001.08.2022%20-%20UP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lead  charge"/>
      <sheetName val="IIB"/>
      <sheetName val="Main Road Approach Drainage Det"/>
      <sheetName val="Main Road Approach Drainage ABS"/>
      <sheetName val="Main Road Approach Drainage Dat"/>
      <sheetName val="Drain Data"/>
      <sheetName val="UG cableDetail"/>
      <sheetName val="UG cable Abtarct"/>
      <sheetName val="UG Cable DATA"/>
      <sheetName val="3 in1 Firemen (UP)"/>
      <sheetName val="3in1 PC-HC (AB)"/>
      <sheetName val="Septic Tank"/>
      <sheetName val="C.C Road"/>
      <sheetName val="P.P Wall"/>
      <sheetName val="Periphery wall (2)"/>
      <sheetName val="OHT "/>
      <sheetName val="SL Drain"/>
      <sheetName val="Sump"/>
      <sheetName val="Culvert.."/>
      <sheetName val="Elec.abs"/>
      <sheetName val="Sheet13"/>
      <sheetName val="G.Abstract"/>
      <sheetName val="Up to Basement"/>
      <sheetName val="Above basement"/>
      <sheetName val="OHT"/>
      <sheetName val="S.Tank"/>
      <sheetName val="G. Abstract"/>
      <sheetName val="C.C.Road"/>
      <sheetName val="P.Protection"/>
      <sheetName val="S.Drain"/>
      <sheetName val="Building"/>
      <sheetName val=" ABSTRACT"/>
      <sheetName val="Data.."/>
      <sheetName val="Elec.Data"/>
      <sheetName val="Data"/>
      <sheetName val="Lead"/>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
      <sheetName val="detail estimate main"/>
      <sheetName val="print data"/>
      <sheetName val="lead  charge"/>
      <sheetName val="ABS"/>
      <sheetName val="General Abstract"/>
      <sheetName val="A Old"/>
      <sheetName val="A"/>
      <sheetName val="Detailed Estimate"/>
      <sheetName val="Estimate (G+2)"/>
      <sheetName val="Sump"/>
      <sheetName val="Road"/>
      <sheetName val="Plinth"/>
      <sheetName val="Pump"/>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lead  charge"/>
      <sheetName val="IIB"/>
      <sheetName val="Main Road Approach Drainage Det"/>
      <sheetName val="Main Road Approach Drainage ABS"/>
      <sheetName val="Main Road Approach Drainage Dat"/>
      <sheetName val="Drain Data"/>
      <sheetName val="UG cableDetail"/>
      <sheetName val="UG cable Abtarct"/>
      <sheetName val="UG Cable DATA"/>
      <sheetName val="3 in1 Firemen (UP)"/>
      <sheetName val="3in1 PC-HC (AB)"/>
      <sheetName val="Septic Tank"/>
      <sheetName val="C.C Road"/>
      <sheetName val="P.P Wall"/>
      <sheetName val="Periphery wall (2)"/>
      <sheetName val="OHT "/>
      <sheetName val="SL Drain"/>
      <sheetName val="Sump"/>
      <sheetName val="Culvert.."/>
      <sheetName val="Elec.abs"/>
      <sheetName val="Sheet13"/>
      <sheetName val="G.Abstract"/>
      <sheetName val="Up to Basement"/>
      <sheetName val="Above basement"/>
      <sheetName val="OHT"/>
      <sheetName val="S.Tank"/>
      <sheetName val="G. Abstract"/>
      <sheetName val="C.C.Road"/>
      <sheetName val="P.Protection"/>
      <sheetName val="S.Drain"/>
      <sheetName val="Building"/>
      <sheetName val=" ABSTRACT"/>
      <sheetName val="Data.."/>
      <sheetName val="Elec.Data"/>
      <sheetName val="Data"/>
      <sheetName val="Lead"/>
      <sheetName val="Sheet3"/>
      <sheetName val="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lead  charge"/>
      <sheetName val="IIB"/>
      <sheetName val="Main Road Approach Drainage Det"/>
      <sheetName val="Main Road Approach Drainage ABS"/>
      <sheetName val="Main Road Approach Drainage Dat"/>
      <sheetName val="Drain Data"/>
      <sheetName val="UG cableDetail"/>
      <sheetName val="UG cable Abtarct"/>
      <sheetName val="UG Cable DATA"/>
      <sheetName val="3 in1 Firemen (UP)"/>
      <sheetName val="3in1 PC-HC (AB)"/>
      <sheetName val="Septic Tank"/>
      <sheetName val="C.C Road"/>
      <sheetName val="P.P Wall"/>
      <sheetName val="Periphery wall (2)"/>
      <sheetName val="OHT "/>
      <sheetName val="SL Drain"/>
      <sheetName val="Sump"/>
      <sheetName val="Culvert.."/>
      <sheetName val="Elec.abs"/>
      <sheetName val="Sheet13"/>
      <sheetName val="G.Abstract"/>
      <sheetName val="Up to Basement"/>
      <sheetName val="Above basement"/>
      <sheetName val="OHT"/>
      <sheetName val="S.Tank"/>
      <sheetName val="G. Abstract"/>
      <sheetName val="C.C.Road"/>
      <sheetName val="P.Protection"/>
      <sheetName val="S.Drain"/>
      <sheetName val="Building"/>
      <sheetName val=" ABSTRACT"/>
      <sheetName val="Data.."/>
      <sheetName val="Elec.Data"/>
      <sheetName val="Data"/>
      <sheetName val="Lead"/>
      <sheetName val="Sheet3"/>
      <sheetName val="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918">
          <cell r="K3918">
            <v>638.45000000000005</v>
          </cell>
        </row>
      </sheetData>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54">
          <cell r="B354" t="str">
            <v>Painting - New "iron work"</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7">
          <cell r="B847" t="str">
            <v xml:space="preserve">S &amp; F of Indian Water closet white glazed (Oriya type) of size 580 x 440mm with PVC SWR grade ' P' or "S' trap   - in G.F.  </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06">
          <cell r="B1006" t="str">
            <v>White washing one coat for old wall</v>
          </cell>
        </row>
        <row r="1013">
          <cell r="B1013" t="str">
            <v>Painting one coat for old iron work</v>
          </cell>
        </row>
        <row r="1015">
          <cell r="B1015" t="str">
            <v>Painting one coat for old wood work</v>
          </cell>
        </row>
        <row r="1019">
          <cell r="B1019" t="str">
            <v>Plastic Emulsion PAINT two coat for old wall</v>
          </cell>
        </row>
      </sheetData>
      <sheetData sheetId="26"/>
      <sheetData sheetId="27">
        <row r="1">
          <cell r="A1" t="str">
            <v>Name of Work:                  Special repair works for the Rural Police Station Building at Thiruvattar in Kanniyakumari District.</v>
          </cell>
        </row>
        <row r="17">
          <cell r="B17" t="str">
            <v>Pressed tiles (23cmx23cmx20mm) mixed with Water proofing compound</v>
          </cell>
        </row>
        <row r="32">
          <cell r="B32" t="str">
            <v>Floor ceramic tiles (Anti-skid) using Grout (Tile Joint Filler).</v>
          </cell>
        </row>
        <row r="39">
          <cell r="B39" t="str">
            <v xml:space="preserve">S &amp; F of Indian Water closet white glazed (Oriya type) of size 580 x 440mm with PVC SWR grade ' P' or "S' trap   - in G.F.  </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04">
          <cell r="B304" t="str">
            <v>Painting one coat for old iron work</v>
          </cell>
        </row>
        <row r="322">
          <cell r="B322" t="str">
            <v>Painting one coat for old wood work</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08">
          <cell r="B408" t="str">
            <v>Supply &amp; Fixing of MS ventilator of size ( lockup)MS Ventilator of Size 900 x 600mm</v>
          </cell>
        </row>
        <row r="412">
          <cell r="B412" t="str">
            <v>MS Ventilator of Size 600 x 600mm</v>
          </cell>
        </row>
        <row r="432">
          <cell r="B432" t="str">
            <v>Painting - New "iron work"</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row r="579">
          <cell r="F579">
            <v>660.19</v>
          </cell>
        </row>
      </sheetData>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 val="UPS Below Bas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mission "/>
      <sheetName val="Abstract"/>
      <sheetName val="G. Abstract (2)"/>
      <sheetName val="  Coastal  Elec.Data "/>
      <sheetName val="Sheet3"/>
      <sheetName val="SEPTIC TANK (A4)"/>
      <sheetName val="P.P WALL (A4)"/>
      <sheetName val="SL DRAIN (A4)"/>
      <sheetName val="Storm Water Drain"/>
      <sheetName val="SUMP (A4)"/>
      <sheetName val="lead  charge"/>
      <sheetName val="Elec.Data"/>
      <sheetName val="A. DATA"/>
      <sheetName val="Data"/>
      <sheetName val="URBAN PS"/>
      <sheetName val="ABSTRATT"/>
      <sheetName val="G. Abstract"/>
      <sheetName val="Main DETAIL"/>
      <sheetName val="Sump"/>
      <sheetName val="PP"/>
      <sheetName val="Septic Tank "/>
      <sheetName val="Water Supply"/>
      <sheetName val="Cable Duct &amp; Electrical"/>
      <sheetName val="DG Set  "/>
      <sheetName val="Fire Fighting"/>
      <sheetName val="Sheet12"/>
      <sheetName val="Sentry room"/>
      <sheetName val="Numbering"/>
      <sheetName val="Data electrical (2)"/>
      <sheetName val="water Pipe Data"/>
      <sheetName val="Door Data"/>
      <sheetName val="G. Abstract (HO)"/>
      <sheetName val="UPS Below Basement"/>
      <sheetName val="UPS Below Basement (2)"/>
      <sheetName val="UPS above basement detail"/>
      <sheetName val="P.P"/>
      <sheetName val="TW Data"/>
      <sheetName val="Sheet1"/>
      <sheetName val="S.Tank"/>
      <sheetName val="Paver "/>
      <sheetName val="PAVER"/>
      <sheetName val="EWS (2)"/>
      <sheetName val="EWS"/>
      <sheetName val="Ext.  Elec."/>
      <sheetName val="Num &amp; Le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5">
          <cell r="B5" t="str">
            <v>Construction of New Urban Police Station Building for Taluk Police Station  in Thanjavur District under Announcement made by the Hon’ble Chief Minister for the year 2020 - 2021</v>
          </cell>
        </row>
        <row r="132">
          <cell r="G132">
            <v>56.8</v>
          </cell>
        </row>
        <row r="205">
          <cell r="G205">
            <v>72.900000000000006</v>
          </cell>
        </row>
      </sheetData>
      <sheetData sheetId="33"/>
      <sheetData sheetId="34"/>
      <sheetData sheetId="35">
        <row r="6">
          <cell r="A6" t="str">
            <v>Name of work:  Construction of New Urban Police Station Building for Taluk Police Station in Thanjavur District under Announcement made by the Hon’ble Chief Minister for the year 2020 - 2021</v>
          </cell>
        </row>
      </sheetData>
      <sheetData sheetId="36"/>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8">
          <cell r="B38" t="str">
            <v>Filling sand</v>
          </cell>
        </row>
      </sheetData>
      <sheetData sheetId="15"/>
      <sheetData sheetId="16">
        <row r="1">
          <cell r="A1" t="str">
            <v>TAMILNADU POLICE HOUSING CORPORATION LIMITED</v>
          </cell>
        </row>
      </sheetData>
      <sheetData sheetId="17">
        <row r="3">
          <cell r="H3" t="str">
            <v>KUTTAM (MARINE POLICE STATION)</v>
          </cell>
        </row>
        <row r="75">
          <cell r="I75" t="str">
            <v/>
          </cell>
        </row>
      </sheetData>
      <sheetData sheetId="18"/>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Omission "/>
      <sheetName val="Abstract"/>
      <sheetName val="G. Abstract (2)"/>
      <sheetName val="  Coastal  Elec.Data "/>
      <sheetName val="Sheet3"/>
      <sheetName val="SEPTIC TANK (A4)"/>
      <sheetName val="P.P WALL (A4)"/>
      <sheetName val="SL DRAIN (A4)"/>
      <sheetName val="Storm Water Drain"/>
      <sheetName val="SUMP (A4)"/>
      <sheetName val="lead  charge"/>
      <sheetName val="Elec.Data"/>
      <sheetName val="A. DATA"/>
      <sheetName val="Data"/>
      <sheetName val="URBAN PS"/>
      <sheetName val="ABSTRATT"/>
      <sheetName val="G. Abstract"/>
      <sheetName val="Main DETAIL"/>
      <sheetName val="Sump"/>
      <sheetName val="PP"/>
      <sheetName val="Septic Tank "/>
      <sheetName val="Water Supply"/>
      <sheetName val="Cable Duct &amp; Electrical"/>
      <sheetName val="DG Set  "/>
      <sheetName val="Fire Fighting"/>
      <sheetName val="Sheet12"/>
      <sheetName val="Sentry room"/>
      <sheetName val="Numbering"/>
      <sheetName val="Data electrical (2)"/>
      <sheetName val="water Pipe Data"/>
      <sheetName val="Door Data"/>
      <sheetName val="G. Abstract (HO)"/>
      <sheetName val="UPS Below Basement"/>
      <sheetName val="UPS Below Basement (2)"/>
      <sheetName val="UPS above basement detail"/>
      <sheetName val="P.P"/>
      <sheetName val="TW Data"/>
      <sheetName val="Sheet1"/>
      <sheetName val="S.Tank"/>
      <sheetName val="Paver "/>
      <sheetName val="PAVER"/>
      <sheetName val="EWS (2)"/>
      <sheetName val="EWS"/>
      <sheetName val="Ext.  Elec."/>
      <sheetName val="Num &amp; Le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45">
          <cell r="O145" t="str">
            <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8" t="s">
        <v>1419</v>
      </c>
    </row>
    <row r="2" spans="1:6">
      <c r="C2" s="10" t="s">
        <v>2356</v>
      </c>
    </row>
    <row r="5" spans="1:6">
      <c r="A5" s="16">
        <v>2.2800000000000001E-2</v>
      </c>
      <c r="B5" s="11" t="s">
        <v>702</v>
      </c>
      <c r="C5" s="11" t="s">
        <v>2012</v>
      </c>
      <c r="D5" s="11">
        <f>[10]Data!I2634</f>
        <v>121800</v>
      </c>
      <c r="E5" s="14" t="s">
        <v>702</v>
      </c>
      <c r="F5" s="11">
        <f>D5*A5</f>
        <v>2777.04</v>
      </c>
    </row>
    <row r="6" spans="1:6">
      <c r="A6" s="16">
        <v>3.5400000000000001E-2</v>
      </c>
      <c r="B6" s="11" t="s">
        <v>702</v>
      </c>
      <c r="C6" s="11" t="s">
        <v>1914</v>
      </c>
      <c r="D6" s="11">
        <f>[10]Data!I2635</f>
        <v>108400</v>
      </c>
      <c r="E6" s="14" t="s">
        <v>702</v>
      </c>
      <c r="F6" s="11">
        <f t="shared" ref="F6:F15" si="0">D6*A6</f>
        <v>3837.36</v>
      </c>
    </row>
    <row r="7" spans="1:6">
      <c r="A7" s="17">
        <v>3.2300000000000002E-2</v>
      </c>
      <c r="B7" s="11" t="s">
        <v>702</v>
      </c>
      <c r="C7" t="s">
        <v>2389</v>
      </c>
      <c r="D7" s="11">
        <f>[10]Data!I2636</f>
        <v>116700</v>
      </c>
      <c r="E7" s="14" t="s">
        <v>702</v>
      </c>
      <c r="F7" s="11">
        <f t="shared" si="0"/>
        <v>3769.41</v>
      </c>
    </row>
    <row r="8" spans="1:6">
      <c r="A8" s="15">
        <v>2.835</v>
      </c>
      <c r="B8" s="11" t="s">
        <v>488</v>
      </c>
      <c r="C8" s="11" t="s">
        <v>715</v>
      </c>
      <c r="D8" s="11">
        <v>843</v>
      </c>
      <c r="E8" s="14" t="s">
        <v>488</v>
      </c>
      <c r="F8" s="11">
        <f t="shared" si="0"/>
        <v>2389.91</v>
      </c>
    </row>
    <row r="9" spans="1:6">
      <c r="A9" s="11">
        <v>2</v>
      </c>
      <c r="B9" s="11" t="s">
        <v>1524</v>
      </c>
      <c r="C9" t="s">
        <v>2266</v>
      </c>
      <c r="D9" s="45">
        <v>450</v>
      </c>
      <c r="E9" s="14" t="s">
        <v>1134</v>
      </c>
      <c r="F9" s="11">
        <f t="shared" si="0"/>
        <v>900</v>
      </c>
    </row>
    <row r="10" spans="1:6">
      <c r="A10" s="11">
        <v>6</v>
      </c>
      <c r="B10" s="11" t="s">
        <v>1524</v>
      </c>
      <c r="C10" t="s">
        <v>2267</v>
      </c>
      <c r="D10" s="45">
        <v>79</v>
      </c>
      <c r="E10" s="14" t="s">
        <v>1134</v>
      </c>
      <c r="F10" s="11">
        <f t="shared" si="0"/>
        <v>474</v>
      </c>
    </row>
    <row r="11" spans="1:6">
      <c r="A11" s="11">
        <v>4</v>
      </c>
      <c r="B11" s="11" t="s">
        <v>1524</v>
      </c>
      <c r="C11" t="s">
        <v>2268</v>
      </c>
      <c r="D11" s="45">
        <v>130</v>
      </c>
      <c r="E11" s="14" t="s">
        <v>1134</v>
      </c>
      <c r="F11" s="11">
        <f t="shared" si="0"/>
        <v>520</v>
      </c>
    </row>
    <row r="12" spans="1:6">
      <c r="A12" s="11">
        <v>1</v>
      </c>
      <c r="B12" s="11" t="s">
        <v>1524</v>
      </c>
      <c r="C12" t="s">
        <v>2269</v>
      </c>
      <c r="D12" s="45">
        <v>985</v>
      </c>
      <c r="E12" s="14" t="s">
        <v>1134</v>
      </c>
      <c r="F12" s="11">
        <f t="shared" si="0"/>
        <v>985</v>
      </c>
    </row>
    <row r="13" spans="1:6">
      <c r="A13" s="11">
        <v>2</v>
      </c>
      <c r="B13" s="11" t="s">
        <v>1524</v>
      </c>
      <c r="C13" t="s">
        <v>2261</v>
      </c>
      <c r="D13" s="45">
        <v>24.6</v>
      </c>
      <c r="E13" s="14" t="s">
        <v>1134</v>
      </c>
      <c r="F13" s="11">
        <f t="shared" si="0"/>
        <v>49.2</v>
      </c>
    </row>
    <row r="14" spans="1:6">
      <c r="A14" s="11">
        <v>2</v>
      </c>
      <c r="B14" s="11" t="s">
        <v>1524</v>
      </c>
      <c r="C14" s="11" t="s">
        <v>1614</v>
      </c>
      <c r="D14" s="11">
        <v>51.3</v>
      </c>
      <c r="E14" s="14" t="s">
        <v>1134</v>
      </c>
      <c r="F14" s="11">
        <f t="shared" si="0"/>
        <v>102.6</v>
      </c>
    </row>
    <row r="15" spans="1:6">
      <c r="A15">
        <v>118</v>
      </c>
      <c r="B15" s="9"/>
      <c r="C15" t="s">
        <v>929</v>
      </c>
      <c r="D15" s="11">
        <v>2.4500000000000002</v>
      </c>
      <c r="E15" s="14"/>
      <c r="F15" s="11">
        <f t="shared" si="0"/>
        <v>289.10000000000002</v>
      </c>
    </row>
    <row r="16" spans="1:6">
      <c r="E16" s="14"/>
      <c r="F16" s="9">
        <f>SUM(F5:F15)</f>
        <v>16093.62</v>
      </c>
    </row>
    <row r="17" spans="1:7">
      <c r="A17" s="11"/>
      <c r="B17" s="9"/>
      <c r="C17" s="9"/>
      <c r="D17" s="11"/>
      <c r="E17" s="14"/>
      <c r="F17" s="13" t="s">
        <v>119</v>
      </c>
    </row>
    <row r="18" spans="1:7">
      <c r="A18" s="11"/>
      <c r="B18" s="9"/>
      <c r="C18" s="9" t="s">
        <v>1692</v>
      </c>
      <c r="D18" s="11"/>
      <c r="E18" s="14"/>
      <c r="F18" s="9">
        <f>F16/2.835</f>
        <v>5676.76</v>
      </c>
    </row>
    <row r="19" spans="1:7">
      <c r="A19" s="11"/>
      <c r="B19" s="9"/>
      <c r="E19" s="1"/>
      <c r="F19" s="12" t="s">
        <v>119</v>
      </c>
    </row>
    <row r="20" spans="1:7">
      <c r="E20" s="1"/>
    </row>
    <row r="21" spans="1:7" ht="16.5">
      <c r="A21" s="975" t="s">
        <v>2357</v>
      </c>
      <c r="B21" s="975"/>
      <c r="C21" s="975"/>
      <c r="D21" s="44"/>
      <c r="E21" s="47"/>
      <c r="F21" s="44"/>
      <c r="G21" s="48"/>
    </row>
    <row r="22" spans="1:7" ht="16.5">
      <c r="A22" s="975"/>
      <c r="B22" s="975"/>
      <c r="C22" s="975"/>
      <c r="D22" s="977"/>
      <c r="E22" s="977"/>
      <c r="F22" s="977"/>
      <c r="G22" s="977"/>
    </row>
    <row r="23" spans="1:7" ht="16.5">
      <c r="A23" s="49">
        <v>11.61</v>
      </c>
      <c r="B23" s="44" t="s">
        <v>734</v>
      </c>
      <c r="C23" s="50" t="s">
        <v>1505</v>
      </c>
      <c r="D23" s="44">
        <f>Data!V1352</f>
        <v>325</v>
      </c>
      <c r="E23" s="44" t="s">
        <v>734</v>
      </c>
      <c r="F23" s="44">
        <f>D23*A23</f>
        <v>3773.25</v>
      </c>
      <c r="G23" s="48"/>
    </row>
    <row r="24" spans="1:7" ht="16.5">
      <c r="A24" s="49">
        <v>7.8</v>
      </c>
      <c r="B24" s="44" t="s">
        <v>669</v>
      </c>
      <c r="C24" s="50" t="s">
        <v>2358</v>
      </c>
      <c r="D24" s="44">
        <f>Data!V1357</f>
        <v>29.05</v>
      </c>
      <c r="E24" s="44" t="s">
        <v>669</v>
      </c>
      <c r="F24" s="44">
        <f t="shared" ref="F24:F29" si="1">D24*A24</f>
        <v>226.59</v>
      </c>
      <c r="G24" s="48"/>
    </row>
    <row r="25" spans="1:7" ht="16.5">
      <c r="A25" s="49">
        <v>1.62</v>
      </c>
      <c r="B25" s="44" t="s">
        <v>184</v>
      </c>
      <c r="C25" s="50" t="s">
        <v>2359</v>
      </c>
      <c r="D25" s="44">
        <f>Data!P1395</f>
        <v>306.89999999999998</v>
      </c>
      <c r="E25" s="44" t="s">
        <v>184</v>
      </c>
      <c r="F25" s="44">
        <f t="shared" si="1"/>
        <v>497.18</v>
      </c>
      <c r="G25" s="48"/>
    </row>
    <row r="26" spans="1:7" ht="16.5">
      <c r="A26" s="49">
        <v>2</v>
      </c>
      <c r="B26" s="44" t="s">
        <v>619</v>
      </c>
      <c r="C26" s="50" t="s">
        <v>2360</v>
      </c>
      <c r="D26" s="44">
        <f>Data!P1398</f>
        <v>57.65</v>
      </c>
      <c r="E26" s="44" t="s">
        <v>619</v>
      </c>
      <c r="F26" s="44">
        <f t="shared" si="1"/>
        <v>115.3</v>
      </c>
      <c r="G26" s="48"/>
    </row>
    <row r="27" spans="1:7" ht="16.5">
      <c r="A27" s="49">
        <v>2</v>
      </c>
      <c r="B27" s="44" t="s">
        <v>619</v>
      </c>
      <c r="C27" s="50" t="s">
        <v>2361</v>
      </c>
      <c r="D27" s="44">
        <v>350</v>
      </c>
      <c r="E27" s="44" t="s">
        <v>619</v>
      </c>
      <c r="F27" s="44">
        <f t="shared" si="1"/>
        <v>700</v>
      </c>
      <c r="G27" s="48"/>
    </row>
    <row r="28" spans="1:7" ht="16.5">
      <c r="A28" s="49">
        <v>4</v>
      </c>
      <c r="B28" s="44" t="s">
        <v>619</v>
      </c>
      <c r="C28" s="50" t="s">
        <v>2362</v>
      </c>
      <c r="D28" s="44">
        <f>Data!P1401</f>
        <v>15</v>
      </c>
      <c r="E28" s="44" t="s">
        <v>619</v>
      </c>
      <c r="F28" s="44">
        <f t="shared" si="1"/>
        <v>60</v>
      </c>
      <c r="G28" s="48"/>
    </row>
    <row r="29" spans="1:7" ht="16.5">
      <c r="A29" s="49">
        <v>1.62</v>
      </c>
      <c r="B29" s="44" t="s">
        <v>1861</v>
      </c>
      <c r="C29" s="50" t="s">
        <v>2363</v>
      </c>
      <c r="D29" s="44">
        <f>D42</f>
        <v>1998</v>
      </c>
      <c r="E29" s="44" t="s">
        <v>1861</v>
      </c>
      <c r="F29" s="44">
        <f t="shared" si="1"/>
        <v>3236.76</v>
      </c>
      <c r="G29" s="48"/>
    </row>
    <row r="30" spans="1:7" ht="16.5">
      <c r="A30" s="44"/>
      <c r="B30" s="44"/>
      <c r="C30" s="50" t="s">
        <v>1850</v>
      </c>
      <c r="D30" s="44"/>
      <c r="E30" s="47"/>
      <c r="F30" s="44"/>
      <c r="G30" s="48"/>
    </row>
    <row r="31" spans="1:7" ht="16.5">
      <c r="A31" s="44"/>
      <c r="B31" s="44"/>
      <c r="C31" s="51" t="s">
        <v>2326</v>
      </c>
      <c r="D31" s="44"/>
      <c r="E31" s="44"/>
      <c r="F31" s="52">
        <f>SUM(F23:F30)</f>
        <v>8609.08</v>
      </c>
      <c r="G31" s="52" t="s">
        <v>1134</v>
      </c>
    </row>
    <row r="32" spans="1:7" ht="16.5">
      <c r="A32" s="44"/>
      <c r="B32" s="44"/>
      <c r="C32" s="9" t="s">
        <v>2364</v>
      </c>
      <c r="D32" s="44"/>
      <c r="E32" s="44"/>
      <c r="F32" s="9">
        <f>F31/A29</f>
        <v>5314.25</v>
      </c>
      <c r="G32" s="44" t="s">
        <v>1861</v>
      </c>
    </row>
    <row r="33" spans="1:11" ht="16.5">
      <c r="A33" s="52"/>
      <c r="B33" s="52"/>
      <c r="C33" s="53"/>
      <c r="D33" s="52"/>
      <c r="E33" s="52"/>
      <c r="F33" s="52"/>
      <c r="G33" s="44"/>
    </row>
    <row r="34" spans="1:11" ht="16.5">
      <c r="A34" s="44"/>
      <c r="B34" s="44"/>
      <c r="C34" s="46" t="s">
        <v>2365</v>
      </c>
      <c r="D34" s="46"/>
      <c r="E34" s="46"/>
      <c r="F34" s="46"/>
      <c r="G34" s="44"/>
    </row>
    <row r="35" spans="1:11" ht="16.5">
      <c r="A35" s="49"/>
      <c r="B35" s="44"/>
      <c r="C35" s="46" t="s">
        <v>2366</v>
      </c>
      <c r="D35" s="44"/>
      <c r="E35" s="44"/>
      <c r="F35" s="44"/>
      <c r="G35" s="44"/>
    </row>
    <row r="36" spans="1:11" ht="16.5">
      <c r="A36" s="49">
        <v>12.08</v>
      </c>
      <c r="B36" s="44" t="s">
        <v>734</v>
      </c>
      <c r="C36" s="50" t="s">
        <v>1505</v>
      </c>
      <c r="D36" s="44">
        <f t="shared" ref="D36:D41" si="2">D23</f>
        <v>325</v>
      </c>
      <c r="E36" s="44" t="s">
        <v>734</v>
      </c>
      <c r="F36" s="44">
        <f>D36*A36</f>
        <v>3926</v>
      </c>
      <c r="G36" s="44"/>
      <c r="I36">
        <f>Data!I4007</f>
        <v>306.89999999999998</v>
      </c>
      <c r="J36" s="5">
        <f>Data!F4007</f>
        <v>1.823</v>
      </c>
      <c r="K36">
        <f>Data!K4007</f>
        <v>559.48</v>
      </c>
    </row>
    <row r="37" spans="1:11" ht="16.5">
      <c r="A37" s="49">
        <v>8.1</v>
      </c>
      <c r="B37" s="44" t="s">
        <v>184</v>
      </c>
      <c r="C37" s="50" t="s">
        <v>2358</v>
      </c>
      <c r="D37" s="44">
        <f t="shared" si="2"/>
        <v>29.05</v>
      </c>
      <c r="E37" s="44" t="s">
        <v>184</v>
      </c>
      <c r="F37" s="44">
        <f t="shared" ref="F37:F42" si="3">D37*A37</f>
        <v>235.31</v>
      </c>
      <c r="G37" s="44"/>
      <c r="I37">
        <f>Data!I4008</f>
        <v>29.05</v>
      </c>
      <c r="J37" s="5">
        <f>Data!F4008</f>
        <v>8.1</v>
      </c>
    </row>
    <row r="38" spans="1:11" ht="16.5">
      <c r="A38" s="49">
        <v>1.823</v>
      </c>
      <c r="B38" s="44" t="s">
        <v>669</v>
      </c>
      <c r="C38" s="50" t="s">
        <v>2359</v>
      </c>
      <c r="D38" s="44">
        <f t="shared" si="2"/>
        <v>306.89999999999998</v>
      </c>
      <c r="E38" s="44" t="s">
        <v>669</v>
      </c>
      <c r="F38" s="44">
        <f t="shared" si="3"/>
        <v>559.48</v>
      </c>
      <c r="G38" s="44"/>
      <c r="I38">
        <f>Data!I4009</f>
        <v>350</v>
      </c>
      <c r="J38" s="5">
        <f>Data!F4009</f>
        <v>2</v>
      </c>
    </row>
    <row r="39" spans="1:11" ht="16.5">
      <c r="A39" s="49">
        <v>2</v>
      </c>
      <c r="B39" s="44" t="s">
        <v>2367</v>
      </c>
      <c r="C39" s="50" t="s">
        <v>2360</v>
      </c>
      <c r="D39" s="44">
        <f t="shared" si="2"/>
        <v>57.65</v>
      </c>
      <c r="E39" s="44" t="s">
        <v>619</v>
      </c>
      <c r="F39" s="44">
        <f t="shared" si="3"/>
        <v>115.3</v>
      </c>
      <c r="G39" s="44"/>
      <c r="I39">
        <f>Data!I4010</f>
        <v>57.65</v>
      </c>
      <c r="J39" s="5">
        <f>Data!F4010</f>
        <v>2</v>
      </c>
    </row>
    <row r="40" spans="1:11" ht="16.5">
      <c r="A40" s="49">
        <v>2</v>
      </c>
      <c r="B40" s="44" t="s">
        <v>619</v>
      </c>
      <c r="C40" s="50" t="s">
        <v>2361</v>
      </c>
      <c r="D40" s="44">
        <f t="shared" si="2"/>
        <v>350</v>
      </c>
      <c r="E40" s="44" t="s">
        <v>619</v>
      </c>
      <c r="F40" s="44">
        <f t="shared" si="3"/>
        <v>700</v>
      </c>
      <c r="G40" s="44"/>
      <c r="I40">
        <f>Data!I4011</f>
        <v>15</v>
      </c>
      <c r="J40" s="5">
        <f>Data!F4011</f>
        <v>4</v>
      </c>
    </row>
    <row r="41" spans="1:11" ht="16.5">
      <c r="A41" s="49">
        <v>4</v>
      </c>
      <c r="B41" s="44" t="s">
        <v>619</v>
      </c>
      <c r="C41" s="50" t="s">
        <v>2362</v>
      </c>
      <c r="D41" s="44">
        <f t="shared" si="2"/>
        <v>15</v>
      </c>
      <c r="E41" s="44" t="s">
        <v>619</v>
      </c>
      <c r="F41" s="44">
        <f t="shared" si="3"/>
        <v>60</v>
      </c>
      <c r="G41" s="44"/>
      <c r="I41">
        <f>Data!I4012</f>
        <v>1998</v>
      </c>
      <c r="J41" s="5">
        <f>Data!F4012</f>
        <v>1.823</v>
      </c>
    </row>
    <row r="42" spans="1:11" ht="16.5">
      <c r="A42" s="49">
        <v>1.823</v>
      </c>
      <c r="B42" s="44" t="s">
        <v>1861</v>
      </c>
      <c r="C42" s="50" t="s">
        <v>2363</v>
      </c>
      <c r="D42" s="44">
        <f>F52</f>
        <v>1998</v>
      </c>
      <c r="E42" s="44" t="s">
        <v>1861</v>
      </c>
      <c r="F42" s="44">
        <f t="shared" si="3"/>
        <v>3642.35</v>
      </c>
      <c r="G42" s="44"/>
      <c r="I42">
        <f>Data!I4013</f>
        <v>0</v>
      </c>
      <c r="J42" s="5">
        <f>Data!F4013</f>
        <v>0</v>
      </c>
    </row>
    <row r="43" spans="1:11" ht="16.5">
      <c r="A43" s="49"/>
      <c r="B43" s="44"/>
      <c r="C43" s="50" t="s">
        <v>1850</v>
      </c>
      <c r="D43" s="44"/>
      <c r="E43" s="47"/>
      <c r="F43" s="44"/>
      <c r="G43" s="44"/>
    </row>
    <row r="44" spans="1:11" ht="16.5">
      <c r="A44" s="44"/>
      <c r="B44" s="44"/>
      <c r="C44" s="50"/>
      <c r="D44" s="44"/>
      <c r="E44" s="47"/>
      <c r="F44" s="44"/>
      <c r="G44" s="44"/>
    </row>
    <row r="45" spans="1:11" ht="16.5">
      <c r="A45" s="44"/>
      <c r="B45" s="44"/>
      <c r="C45" s="54" t="s">
        <v>2326</v>
      </c>
      <c r="D45" s="44"/>
      <c r="E45" s="44"/>
      <c r="F45" s="44">
        <f>SUM(F36:F44)</f>
        <v>9238.44</v>
      </c>
      <c r="G45" s="44" t="s">
        <v>1134</v>
      </c>
    </row>
    <row r="46" spans="1:11" ht="19.5">
      <c r="A46" s="44"/>
      <c r="B46" s="44"/>
      <c r="C46" s="9" t="s">
        <v>2368</v>
      </c>
      <c r="D46" s="52"/>
      <c r="E46" s="52"/>
      <c r="F46" s="34">
        <f>F45/A42</f>
        <v>5067.71</v>
      </c>
      <c r="G46" s="52" t="s">
        <v>1861</v>
      </c>
    </row>
    <row r="47" spans="1:11" ht="16.5">
      <c r="A47" s="44"/>
      <c r="B47" s="44"/>
      <c r="C47" s="54"/>
      <c r="D47" s="44"/>
      <c r="E47" s="44"/>
      <c r="F47" s="44"/>
      <c r="G47" s="44"/>
    </row>
    <row r="48" spans="1:11" ht="16.5">
      <c r="A48" s="44">
        <v>1</v>
      </c>
      <c r="B48" s="44" t="s">
        <v>701</v>
      </c>
      <c r="C48" s="50" t="s">
        <v>2369</v>
      </c>
      <c r="D48" s="44">
        <f>Data!AE17</f>
        <v>881</v>
      </c>
      <c r="E48" s="50" t="s">
        <v>701</v>
      </c>
      <c r="F48" s="44">
        <f>D48*A48</f>
        <v>881</v>
      </c>
      <c r="G48" s="44"/>
    </row>
    <row r="49" spans="1:7" ht="16.5">
      <c r="A49" s="44">
        <v>1</v>
      </c>
      <c r="B49" s="44" t="s">
        <v>701</v>
      </c>
      <c r="C49" s="50" t="s">
        <v>2370</v>
      </c>
      <c r="D49" s="44">
        <f>Data!AE11</f>
        <v>651</v>
      </c>
      <c r="E49" s="50" t="s">
        <v>701</v>
      </c>
      <c r="F49" s="44">
        <f>D49*A49</f>
        <v>651</v>
      </c>
      <c r="G49" s="44"/>
    </row>
    <row r="50" spans="1:7" ht="16.5">
      <c r="A50" s="44">
        <v>0.5</v>
      </c>
      <c r="B50" s="44" t="s">
        <v>701</v>
      </c>
      <c r="C50" s="50" t="s">
        <v>2371</v>
      </c>
      <c r="D50" s="44">
        <f>Data!AE20</f>
        <v>932</v>
      </c>
      <c r="E50" s="50" t="s">
        <v>701</v>
      </c>
      <c r="F50" s="44">
        <f>D50*A50</f>
        <v>466</v>
      </c>
      <c r="G50" s="44"/>
    </row>
    <row r="51" spans="1:7" ht="16.5">
      <c r="A51" s="44"/>
      <c r="B51" s="44"/>
      <c r="C51" s="44"/>
      <c r="D51" s="44"/>
      <c r="E51" s="50"/>
      <c r="F51" s="55" t="s">
        <v>1288</v>
      </c>
      <c r="G51" s="44"/>
    </row>
    <row r="52" spans="1:7" ht="16.5">
      <c r="A52" s="44"/>
      <c r="B52" s="44"/>
      <c r="C52" s="50" t="s">
        <v>2372</v>
      </c>
      <c r="D52" s="44"/>
      <c r="E52" s="50"/>
      <c r="F52" s="52">
        <f>SUM(F48:F51)</f>
        <v>1998</v>
      </c>
      <c r="G52" s="44"/>
    </row>
    <row r="53" spans="1:7" ht="16.5">
      <c r="A53" s="44"/>
      <c r="B53" s="44"/>
      <c r="C53" s="44"/>
      <c r="D53" s="44"/>
      <c r="E53" s="50"/>
      <c r="F53" s="55" t="s">
        <v>1288</v>
      </c>
      <c r="G53" s="44"/>
    </row>
    <row r="54" spans="1:7" ht="16.5">
      <c r="A54" s="52"/>
      <c r="B54" s="52"/>
      <c r="C54" s="53"/>
      <c r="D54" s="52"/>
      <c r="E54" s="52"/>
      <c r="F54" s="52"/>
      <c r="G54" s="44"/>
    </row>
    <row r="55" spans="1:7" ht="16.5">
      <c r="A55" s="44"/>
      <c r="B55" s="975" t="s">
        <v>2373</v>
      </c>
      <c r="C55" s="975"/>
      <c r="D55" s="975"/>
      <c r="E55" s="975"/>
      <c r="F55" s="975"/>
      <c r="G55" s="44"/>
    </row>
    <row r="56" spans="1:7" ht="16.5">
      <c r="A56" s="49"/>
      <c r="B56" s="44"/>
      <c r="C56" s="46" t="s">
        <v>2374</v>
      </c>
      <c r="D56" s="44"/>
      <c r="E56" s="44"/>
      <c r="F56" s="44"/>
      <c r="G56" s="44"/>
    </row>
    <row r="57" spans="1:7" ht="16.5">
      <c r="A57" s="49"/>
      <c r="B57" s="44"/>
      <c r="C57" s="50"/>
      <c r="D57" s="44"/>
      <c r="E57" s="44"/>
      <c r="F57" s="44"/>
      <c r="G57" s="44"/>
    </row>
    <row r="58" spans="1:7" ht="16.5">
      <c r="A58" s="49"/>
      <c r="B58" s="44"/>
      <c r="C58" s="50"/>
      <c r="D58" s="44"/>
      <c r="E58" s="44"/>
      <c r="F58" s="44"/>
      <c r="G58" s="44"/>
    </row>
    <row r="59" spans="1:7" ht="16.5">
      <c r="A59" s="49">
        <v>17.510000000000002</v>
      </c>
      <c r="B59" s="44" t="s">
        <v>734</v>
      </c>
      <c r="C59" s="50" t="s">
        <v>2375</v>
      </c>
      <c r="D59" s="44">
        <f>D36</f>
        <v>325</v>
      </c>
      <c r="E59" s="44" t="s">
        <v>734</v>
      </c>
      <c r="F59" s="44">
        <f>D59*A59</f>
        <v>5690.75</v>
      </c>
      <c r="G59" s="44"/>
    </row>
    <row r="60" spans="1:7" ht="16.5">
      <c r="A60" s="49">
        <v>2.48</v>
      </c>
      <c r="B60" s="44" t="s">
        <v>184</v>
      </c>
      <c r="C60" s="50" t="s">
        <v>2359</v>
      </c>
      <c r="D60" s="44">
        <f>D38</f>
        <v>306.89999999999998</v>
      </c>
      <c r="E60" s="44" t="s">
        <v>184</v>
      </c>
      <c r="F60" s="44">
        <f t="shared" ref="F60:F65" si="4">D60*A60</f>
        <v>761.11</v>
      </c>
      <c r="G60" s="44"/>
    </row>
    <row r="61" spans="1:7" ht="16.5">
      <c r="A61" s="49">
        <v>14.7</v>
      </c>
      <c r="B61" s="44" t="s">
        <v>669</v>
      </c>
      <c r="C61" s="50" t="s">
        <v>2494</v>
      </c>
      <c r="D61" s="44">
        <v>27.1</v>
      </c>
      <c r="E61" s="44" t="s">
        <v>669</v>
      </c>
      <c r="F61" s="44">
        <f t="shared" si="4"/>
        <v>398.37</v>
      </c>
      <c r="G61" s="44"/>
    </row>
    <row r="62" spans="1:7" ht="16.5">
      <c r="A62" s="49">
        <v>3</v>
      </c>
      <c r="B62" s="44" t="s">
        <v>2367</v>
      </c>
      <c r="C62" s="50" t="s">
        <v>2361</v>
      </c>
      <c r="D62" s="44">
        <v>175</v>
      </c>
      <c r="E62" s="44" t="s">
        <v>619</v>
      </c>
      <c r="F62" s="44">
        <f t="shared" si="4"/>
        <v>525</v>
      </c>
      <c r="G62" s="44"/>
    </row>
    <row r="63" spans="1:7" ht="16.5">
      <c r="A63" s="49">
        <v>3</v>
      </c>
      <c r="B63" s="44" t="s">
        <v>619</v>
      </c>
      <c r="C63" s="50" t="s">
        <v>2360</v>
      </c>
      <c r="D63" s="44">
        <v>60</v>
      </c>
      <c r="E63" s="44" t="s">
        <v>619</v>
      </c>
      <c r="F63" s="44">
        <f t="shared" si="4"/>
        <v>180</v>
      </c>
      <c r="G63" s="44"/>
    </row>
    <row r="64" spans="1:7" ht="16.5">
      <c r="A64" s="49">
        <v>6</v>
      </c>
      <c r="B64" s="44" t="s">
        <v>619</v>
      </c>
      <c r="C64" s="50" t="s">
        <v>2362</v>
      </c>
      <c r="D64" s="44">
        <v>15</v>
      </c>
      <c r="E64" s="44" t="s">
        <v>619</v>
      </c>
      <c r="F64" s="44">
        <f t="shared" si="4"/>
        <v>90</v>
      </c>
      <c r="G64" s="44"/>
    </row>
    <row r="65" spans="1:7" ht="16.5">
      <c r="A65" s="49">
        <v>2.48</v>
      </c>
      <c r="B65" s="44" t="s">
        <v>1861</v>
      </c>
      <c r="C65" s="50" t="s">
        <v>2363</v>
      </c>
      <c r="D65" s="44">
        <f>F76</f>
        <v>1998</v>
      </c>
      <c r="E65" s="44" t="s">
        <v>1861</v>
      </c>
      <c r="F65" s="44">
        <f t="shared" si="4"/>
        <v>4955.04</v>
      </c>
      <c r="G65" s="44"/>
    </row>
    <row r="66" spans="1:7" ht="16.5">
      <c r="A66" s="49"/>
      <c r="B66" s="44"/>
      <c r="C66" s="50" t="s">
        <v>1850</v>
      </c>
      <c r="D66" s="44"/>
      <c r="E66" s="47"/>
      <c r="F66" s="44"/>
      <c r="G66" s="44"/>
    </row>
    <row r="67" spans="1:7" ht="16.5">
      <c r="A67" s="44"/>
      <c r="B67" s="44"/>
      <c r="C67" s="50"/>
      <c r="D67" s="44"/>
      <c r="E67" s="47"/>
      <c r="F67" s="44"/>
      <c r="G67" s="44"/>
    </row>
    <row r="68" spans="1:7" ht="16.5">
      <c r="A68" s="44"/>
      <c r="B68" s="44"/>
      <c r="C68" s="54" t="s">
        <v>2326</v>
      </c>
      <c r="D68" s="44"/>
      <c r="E68" s="44"/>
      <c r="F68" s="52">
        <f>SUM(F59:F67)</f>
        <v>12600.27</v>
      </c>
      <c r="G68" s="52" t="s">
        <v>1134</v>
      </c>
    </row>
    <row r="69" spans="1:7" ht="16.5">
      <c r="A69" s="44"/>
      <c r="B69" s="44"/>
      <c r="C69" s="54"/>
      <c r="D69" s="44"/>
      <c r="E69" s="44"/>
      <c r="F69" s="9">
        <f>F68/A65</f>
        <v>5080.75</v>
      </c>
      <c r="G69" s="44" t="s">
        <v>1861</v>
      </c>
    </row>
    <row r="70" spans="1:7" ht="16.5">
      <c r="A70" s="44"/>
      <c r="B70" s="44"/>
      <c r="C70" s="54"/>
      <c r="D70" s="44"/>
      <c r="E70" s="44"/>
      <c r="F70" s="44"/>
      <c r="G70" s="44"/>
    </row>
    <row r="71" spans="1:7" ht="16.5">
      <c r="A71" s="44">
        <v>1</v>
      </c>
      <c r="B71" s="44" t="s">
        <v>701</v>
      </c>
      <c r="C71" s="50" t="s">
        <v>2369</v>
      </c>
      <c r="D71" s="44">
        <f>D48</f>
        <v>881</v>
      </c>
      <c r="E71" s="50" t="s">
        <v>701</v>
      </c>
      <c r="F71" s="44">
        <f>D71*A71</f>
        <v>881</v>
      </c>
      <c r="G71" s="44"/>
    </row>
    <row r="72" spans="1:7" ht="16.5">
      <c r="A72" s="44">
        <v>1</v>
      </c>
      <c r="B72" s="44" t="s">
        <v>701</v>
      </c>
      <c r="C72" s="50" t="s">
        <v>2370</v>
      </c>
      <c r="D72" s="44">
        <f>D49</f>
        <v>651</v>
      </c>
      <c r="E72" s="50" t="s">
        <v>701</v>
      </c>
      <c r="F72" s="44">
        <f>D72*A72</f>
        <v>651</v>
      </c>
      <c r="G72" s="44"/>
    </row>
    <row r="73" spans="1:7" ht="16.5">
      <c r="A73" s="44">
        <v>0.5</v>
      </c>
      <c r="B73" s="44" t="s">
        <v>701</v>
      </c>
      <c r="C73" s="50" t="s">
        <v>2371</v>
      </c>
      <c r="D73" s="44">
        <f>D50</f>
        <v>932</v>
      </c>
      <c r="E73" s="50" t="s">
        <v>701</v>
      </c>
      <c r="F73" s="44">
        <f>D73*A73</f>
        <v>466</v>
      </c>
      <c r="G73" s="44"/>
    </row>
    <row r="74" spans="1:7" ht="16.5">
      <c r="A74" s="44"/>
      <c r="B74" s="44" t="s">
        <v>358</v>
      </c>
      <c r="C74" s="50" t="s">
        <v>1491</v>
      </c>
      <c r="D74" s="50" t="s">
        <v>790</v>
      </c>
      <c r="E74" s="50" t="s">
        <v>358</v>
      </c>
      <c r="F74" s="44"/>
      <c r="G74" s="44"/>
    </row>
    <row r="75" spans="1:7" ht="16.5">
      <c r="A75" s="44"/>
      <c r="B75" s="44"/>
      <c r="C75" s="44"/>
      <c r="D75" s="44"/>
      <c r="E75" s="50"/>
      <c r="F75" s="55" t="s">
        <v>1288</v>
      </c>
      <c r="G75" s="44"/>
    </row>
    <row r="76" spans="1:7" ht="16.5">
      <c r="A76" s="44"/>
      <c r="B76" s="44"/>
      <c r="C76" s="50" t="s">
        <v>2372</v>
      </c>
      <c r="D76" s="44"/>
      <c r="E76" s="50"/>
      <c r="F76" s="52">
        <f>SUM(F71:F75)</f>
        <v>1998</v>
      </c>
      <c r="G76" s="44"/>
    </row>
    <row r="77" spans="1:7" ht="16.5">
      <c r="A77" s="44"/>
      <c r="B77" s="44"/>
      <c r="C77" s="44"/>
      <c r="D77" s="44"/>
      <c r="E77" s="50"/>
      <c r="F77" s="55" t="s">
        <v>1288</v>
      </c>
      <c r="G77" s="44"/>
    </row>
    <row r="78" spans="1:7" ht="16.5">
      <c r="A78" s="44"/>
      <c r="B78" s="44"/>
      <c r="C78" s="50"/>
      <c r="D78" s="44"/>
      <c r="E78" s="50"/>
      <c r="F78" s="44"/>
      <c r="G78" s="44"/>
    </row>
    <row r="79" spans="1:7" ht="16.5">
      <c r="A79" s="44"/>
      <c r="B79" s="44"/>
      <c r="C79" s="44"/>
      <c r="D79" s="44"/>
      <c r="E79" s="44"/>
      <c r="F79" s="44"/>
      <c r="G79" s="44"/>
    </row>
    <row r="80" spans="1:7" ht="16.5">
      <c r="A80" s="44"/>
      <c r="B80" s="975" t="s">
        <v>2376</v>
      </c>
      <c r="C80" s="975"/>
      <c r="D80" s="975"/>
      <c r="E80" s="46"/>
      <c r="F80" s="46"/>
      <c r="G80" s="44"/>
    </row>
    <row r="81" spans="1:7" ht="16.5">
      <c r="A81" s="49"/>
      <c r="B81" s="44"/>
      <c r="C81" s="46" t="s">
        <v>2377</v>
      </c>
      <c r="D81" s="44"/>
      <c r="E81" s="44"/>
      <c r="F81" s="44"/>
      <c r="G81" s="44"/>
    </row>
    <row r="82" spans="1:7" ht="16.5">
      <c r="A82" s="49"/>
      <c r="B82" s="44"/>
      <c r="C82" s="50"/>
      <c r="D82" s="44"/>
      <c r="E82" s="44"/>
      <c r="F82" s="44"/>
      <c r="G82" s="44"/>
    </row>
    <row r="83" spans="1:7" ht="16.5">
      <c r="A83" s="49"/>
      <c r="B83" s="44"/>
      <c r="C83" s="50"/>
      <c r="D83" s="44"/>
      <c r="E83" s="44"/>
      <c r="F83" s="44"/>
      <c r="G83" s="44"/>
    </row>
    <row r="84" spans="1:7" ht="16.5">
      <c r="A84" s="49">
        <v>4.88</v>
      </c>
      <c r="B84" s="44" t="s">
        <v>734</v>
      </c>
      <c r="C84" s="50" t="s">
        <v>2378</v>
      </c>
      <c r="D84" s="44">
        <f>D59</f>
        <v>325</v>
      </c>
      <c r="E84" s="44" t="s">
        <v>734</v>
      </c>
      <c r="F84" s="44">
        <f>D84*A84</f>
        <v>1586</v>
      </c>
      <c r="G84" s="44"/>
    </row>
    <row r="85" spans="1:7" ht="16.5">
      <c r="A85" s="49">
        <v>7.76</v>
      </c>
      <c r="B85" s="44" t="s">
        <v>734</v>
      </c>
      <c r="C85" s="50" t="s">
        <v>2379</v>
      </c>
      <c r="D85" s="44">
        <f>D84</f>
        <v>325</v>
      </c>
      <c r="E85" s="44" t="s">
        <v>734</v>
      </c>
      <c r="F85" s="44">
        <f t="shared" ref="F85:F93" si="5">D85*A85</f>
        <v>2522</v>
      </c>
      <c r="G85" s="44"/>
    </row>
    <row r="86" spans="1:7" ht="16.5">
      <c r="A86" s="49">
        <v>3.03</v>
      </c>
      <c r="B86" s="44" t="s">
        <v>734</v>
      </c>
      <c r="C86" s="50" t="s">
        <v>2380</v>
      </c>
      <c r="D86" s="44">
        <f>D85</f>
        <v>325</v>
      </c>
      <c r="E86" s="44" t="s">
        <v>734</v>
      </c>
      <c r="F86" s="44">
        <f t="shared" si="5"/>
        <v>984.75</v>
      </c>
      <c r="G86" s="44"/>
    </row>
    <row r="87" spans="1:7" ht="16.5">
      <c r="A87" s="49">
        <v>1.45</v>
      </c>
      <c r="B87" s="44" t="s">
        <v>734</v>
      </c>
      <c r="C87" s="50" t="s">
        <v>2375</v>
      </c>
      <c r="D87" s="44">
        <f>D86</f>
        <v>325</v>
      </c>
      <c r="E87" s="44" t="s">
        <v>734</v>
      </c>
      <c r="F87" s="44">
        <f t="shared" si="5"/>
        <v>471.25</v>
      </c>
      <c r="G87" s="44"/>
    </row>
    <row r="88" spans="1:7" ht="16.5">
      <c r="A88" s="49">
        <v>2.4300000000000002</v>
      </c>
      <c r="B88" s="44" t="s">
        <v>184</v>
      </c>
      <c r="C88" s="50" t="s">
        <v>2359</v>
      </c>
      <c r="D88" s="44">
        <v>209.9</v>
      </c>
      <c r="E88" s="44" t="s">
        <v>184</v>
      </c>
      <c r="F88" s="44">
        <f t="shared" si="5"/>
        <v>510.06</v>
      </c>
      <c r="G88" s="44"/>
    </row>
    <row r="89" spans="1:7" ht="16.5">
      <c r="A89" s="49">
        <v>11.7</v>
      </c>
      <c r="B89" s="44" t="s">
        <v>669</v>
      </c>
      <c r="C89" s="50" t="s">
        <v>2358</v>
      </c>
      <c r="D89" s="44">
        <f>D61</f>
        <v>27.1</v>
      </c>
      <c r="E89" s="44" t="s">
        <v>669</v>
      </c>
      <c r="F89" s="44">
        <f t="shared" si="5"/>
        <v>317.07</v>
      </c>
      <c r="G89" s="44"/>
    </row>
    <row r="90" spans="1:7" ht="16.5">
      <c r="A90" s="49">
        <v>3</v>
      </c>
      <c r="B90" s="44" t="s">
        <v>2367</v>
      </c>
      <c r="C90" s="50" t="s">
        <v>2381</v>
      </c>
      <c r="D90" s="44">
        <v>175</v>
      </c>
      <c r="E90" s="44" t="s">
        <v>619</v>
      </c>
      <c r="F90" s="44">
        <f t="shared" si="5"/>
        <v>525</v>
      </c>
      <c r="G90" s="44"/>
    </row>
    <row r="91" spans="1:7" ht="16.5">
      <c r="A91" s="49">
        <v>3</v>
      </c>
      <c r="B91" s="44" t="s">
        <v>619</v>
      </c>
      <c r="C91" s="50" t="s">
        <v>2360</v>
      </c>
      <c r="D91" s="44">
        <v>60</v>
      </c>
      <c r="E91" s="44" t="s">
        <v>619</v>
      </c>
      <c r="F91" s="44">
        <f t="shared" si="5"/>
        <v>180</v>
      </c>
      <c r="G91" s="44"/>
    </row>
    <row r="92" spans="1:7" ht="16.5">
      <c r="A92" s="49">
        <v>4</v>
      </c>
      <c r="B92" s="44" t="s">
        <v>619</v>
      </c>
      <c r="C92" s="50" t="s">
        <v>2362</v>
      </c>
      <c r="D92" s="44">
        <v>15</v>
      </c>
      <c r="E92" s="44" t="s">
        <v>619</v>
      </c>
      <c r="F92" s="44">
        <f t="shared" si="5"/>
        <v>60</v>
      </c>
      <c r="G92" s="44"/>
    </row>
    <row r="93" spans="1:7" ht="16.5">
      <c r="A93" s="49">
        <v>2.4300000000000002</v>
      </c>
      <c r="B93" s="44" t="s">
        <v>1861</v>
      </c>
      <c r="C93" s="50" t="s">
        <v>2363</v>
      </c>
      <c r="D93" s="44">
        <f>D65</f>
        <v>1998</v>
      </c>
      <c r="E93" s="44" t="s">
        <v>1861</v>
      </c>
      <c r="F93" s="44">
        <f t="shared" si="5"/>
        <v>4855.1400000000003</v>
      </c>
      <c r="G93" s="44"/>
    </row>
    <row r="94" spans="1:7" ht="16.5">
      <c r="A94" s="49"/>
      <c r="B94" s="44"/>
      <c r="C94" s="50" t="s">
        <v>1850</v>
      </c>
      <c r="D94" s="44"/>
      <c r="E94" s="47"/>
      <c r="F94" s="44">
        <v>11.26</v>
      </c>
      <c r="G94" s="44">
        <v>0</v>
      </c>
    </row>
    <row r="95" spans="1:7" ht="16.5">
      <c r="A95" s="44"/>
      <c r="B95" s="44"/>
      <c r="C95" s="50"/>
      <c r="D95" s="44"/>
      <c r="E95" s="47"/>
      <c r="F95" s="44"/>
      <c r="G95" s="44"/>
    </row>
    <row r="96" spans="1:7" ht="16.5">
      <c r="A96" s="44"/>
      <c r="B96" s="44"/>
      <c r="C96" s="54" t="s">
        <v>2326</v>
      </c>
      <c r="D96" s="44"/>
      <c r="E96" s="44"/>
      <c r="F96" s="52">
        <f>SUM(F84:F95)</f>
        <v>12022.53</v>
      </c>
      <c r="G96" s="52" t="s">
        <v>1134</v>
      </c>
    </row>
    <row r="97" spans="1:7" ht="16.5">
      <c r="A97" s="44"/>
      <c r="B97" s="44"/>
      <c r="C97" s="54"/>
      <c r="D97" s="44"/>
      <c r="E97" s="44"/>
      <c r="F97" s="9">
        <f>F96/A93</f>
        <v>4947.54</v>
      </c>
      <c r="G97" s="44" t="s">
        <v>1861</v>
      </c>
    </row>
    <row r="98" spans="1:7" ht="16.5">
      <c r="A98" s="44"/>
      <c r="B98" s="44"/>
      <c r="C98" s="54"/>
      <c r="D98" s="44"/>
      <c r="E98" s="44"/>
      <c r="F98" s="44"/>
      <c r="G98" s="44"/>
    </row>
    <row r="99" spans="1:7" ht="16.5">
      <c r="A99" s="44">
        <v>1</v>
      </c>
      <c r="B99" s="44" t="s">
        <v>701</v>
      </c>
      <c r="C99" s="50" t="s">
        <v>2369</v>
      </c>
      <c r="D99" s="44">
        <f>D71</f>
        <v>881</v>
      </c>
      <c r="E99" s="50" t="s">
        <v>701</v>
      </c>
      <c r="F99" s="44">
        <f>D99*A99</f>
        <v>881</v>
      </c>
      <c r="G99" s="44"/>
    </row>
    <row r="100" spans="1:7" ht="16.5">
      <c r="A100" s="44">
        <v>1</v>
      </c>
      <c r="B100" s="44" t="s">
        <v>701</v>
      </c>
      <c r="C100" s="50" t="s">
        <v>2370</v>
      </c>
      <c r="D100" s="44">
        <f>D72</f>
        <v>651</v>
      </c>
      <c r="E100" s="50" t="s">
        <v>701</v>
      </c>
      <c r="F100" s="44">
        <f>D100*A100</f>
        <v>651</v>
      </c>
      <c r="G100" s="44"/>
    </row>
    <row r="101" spans="1:7" ht="16.5">
      <c r="A101" s="44">
        <v>0.5</v>
      </c>
      <c r="B101" s="44" t="s">
        <v>701</v>
      </c>
      <c r="C101" s="50" t="s">
        <v>2371</v>
      </c>
      <c r="D101" s="44">
        <f>D73</f>
        <v>932</v>
      </c>
      <c r="E101" s="50" t="s">
        <v>701</v>
      </c>
      <c r="F101" s="44">
        <f>D101*A101</f>
        <v>466</v>
      </c>
      <c r="G101" s="44"/>
    </row>
    <row r="102" spans="1:7" ht="16.5">
      <c r="A102" s="44"/>
      <c r="B102" s="44"/>
      <c r="C102" s="50"/>
      <c r="D102" s="44"/>
      <c r="E102" s="50"/>
      <c r="F102" s="44"/>
      <c r="G102" s="44"/>
    </row>
    <row r="103" spans="1:7" ht="16.5">
      <c r="A103" s="44"/>
      <c r="B103" s="44"/>
      <c r="C103" s="50" t="s">
        <v>2372</v>
      </c>
      <c r="D103" s="44"/>
      <c r="E103" s="50"/>
      <c r="F103" s="52">
        <f>SUM(F99:F102)</f>
        <v>1998</v>
      </c>
      <c r="G103" s="44"/>
    </row>
    <row r="104" spans="1:7" ht="16.5">
      <c r="A104" s="44"/>
      <c r="B104" s="44"/>
      <c r="C104" s="44"/>
      <c r="D104" s="44"/>
      <c r="E104" s="50"/>
      <c r="F104" s="55" t="s">
        <v>1288</v>
      </c>
      <c r="G104" s="44"/>
    </row>
    <row r="105" spans="1:7" ht="16.5">
      <c r="A105" s="44"/>
      <c r="B105" s="44"/>
      <c r="C105" s="44"/>
      <c r="D105" s="44"/>
      <c r="E105" s="44"/>
      <c r="F105" s="44"/>
      <c r="G105" s="44"/>
    </row>
    <row r="106" spans="1:7" ht="16.5">
      <c r="A106" s="975" t="s">
        <v>2382</v>
      </c>
      <c r="B106" s="975"/>
      <c r="C106" s="975"/>
      <c r="D106" s="975"/>
      <c r="E106" s="975"/>
      <c r="F106" s="975"/>
      <c r="G106" s="44"/>
    </row>
    <row r="107" spans="1:7" ht="16.5">
      <c r="A107" s="975"/>
      <c r="B107" s="975"/>
      <c r="C107" s="975"/>
      <c r="D107" s="975"/>
      <c r="E107" s="975"/>
      <c r="F107" s="975"/>
      <c r="G107" s="44"/>
    </row>
    <row r="108" spans="1:7" ht="16.5">
      <c r="A108" s="49"/>
      <c r="B108" s="44"/>
      <c r="C108" s="50"/>
      <c r="D108" s="44"/>
      <c r="E108" s="44"/>
      <c r="F108" s="44"/>
      <c r="G108" s="44"/>
    </row>
    <row r="109" spans="1:7" ht="16.5">
      <c r="A109" s="49">
        <v>10.33</v>
      </c>
      <c r="B109" s="44" t="s">
        <v>734</v>
      </c>
      <c r="C109" s="50" t="s">
        <v>2375</v>
      </c>
      <c r="D109" s="44">
        <f>D87</f>
        <v>325</v>
      </c>
      <c r="E109" s="44" t="s">
        <v>734</v>
      </c>
      <c r="F109" s="44">
        <f>D109*A109</f>
        <v>3357.25</v>
      </c>
      <c r="G109" s="44"/>
    </row>
    <row r="110" spans="1:7" ht="16.5">
      <c r="A110" s="49">
        <v>1.42</v>
      </c>
      <c r="B110" s="44" t="s">
        <v>184</v>
      </c>
      <c r="C110" s="50" t="s">
        <v>2359</v>
      </c>
      <c r="D110" s="44">
        <v>208.8</v>
      </c>
      <c r="E110" s="44" t="s">
        <v>184</v>
      </c>
      <c r="F110" s="44">
        <f t="shared" ref="F110:F115" si="6">D110*A110</f>
        <v>296.5</v>
      </c>
      <c r="G110" s="44"/>
    </row>
    <row r="111" spans="1:7" ht="16.5">
      <c r="A111" s="49">
        <v>6.9</v>
      </c>
      <c r="B111" s="44" t="s">
        <v>669</v>
      </c>
      <c r="C111" s="50" t="s">
        <v>2358</v>
      </c>
      <c r="D111" s="44">
        <f>D89</f>
        <v>27.1</v>
      </c>
      <c r="E111" s="44" t="s">
        <v>669</v>
      </c>
      <c r="F111" s="44">
        <f t="shared" si="6"/>
        <v>186.99</v>
      </c>
      <c r="G111" s="44"/>
    </row>
    <row r="112" spans="1:7" ht="16.5">
      <c r="A112" s="49">
        <v>2</v>
      </c>
      <c r="B112" s="44" t="s">
        <v>2367</v>
      </c>
      <c r="C112" s="50" t="str">
        <f>C36</f>
        <v>Aluminium section</v>
      </c>
      <c r="D112" s="44">
        <v>350</v>
      </c>
      <c r="E112" s="44" t="s">
        <v>619</v>
      </c>
      <c r="F112" s="44">
        <f t="shared" si="6"/>
        <v>700</v>
      </c>
      <c r="G112" s="44"/>
    </row>
    <row r="113" spans="1:8" ht="16.5">
      <c r="A113" s="49">
        <v>2</v>
      </c>
      <c r="B113" s="44" t="s">
        <v>619</v>
      </c>
      <c r="C113" s="50" t="s">
        <v>2360</v>
      </c>
      <c r="D113" s="44">
        <v>48</v>
      </c>
      <c r="E113" s="44" t="s">
        <v>619</v>
      </c>
      <c r="F113" s="44">
        <f t="shared" si="6"/>
        <v>96</v>
      </c>
      <c r="G113" s="44"/>
    </row>
    <row r="114" spans="1:8" ht="16.5">
      <c r="A114" s="49">
        <v>4</v>
      </c>
      <c r="B114" s="44" t="s">
        <v>619</v>
      </c>
      <c r="C114" s="50" t="s">
        <v>2362</v>
      </c>
      <c r="D114" s="44">
        <v>15</v>
      </c>
      <c r="E114" s="44" t="s">
        <v>619</v>
      </c>
      <c r="F114" s="44">
        <f t="shared" si="6"/>
        <v>60</v>
      </c>
      <c r="G114" s="44"/>
    </row>
    <row r="115" spans="1:8" ht="16.5">
      <c r="A115" s="49">
        <v>1.42</v>
      </c>
      <c r="B115" s="44" t="s">
        <v>1861</v>
      </c>
      <c r="C115" s="50" t="s">
        <v>2363</v>
      </c>
      <c r="D115" s="44">
        <f>F125</f>
        <v>1998</v>
      </c>
      <c r="E115" s="44" t="s">
        <v>1861</v>
      </c>
      <c r="F115" s="44">
        <f t="shared" si="6"/>
        <v>2837.16</v>
      </c>
      <c r="G115" s="44"/>
    </row>
    <row r="116" spans="1:8" ht="16.5">
      <c r="A116" s="49"/>
      <c r="B116" s="44"/>
      <c r="C116" s="50" t="s">
        <v>1850</v>
      </c>
      <c r="D116" s="44"/>
      <c r="E116" s="47"/>
      <c r="F116" s="44">
        <v>3.06</v>
      </c>
      <c r="G116" s="44"/>
    </row>
    <row r="117" spans="1:8" ht="16.5">
      <c r="A117" s="49"/>
      <c r="B117" s="44"/>
      <c r="C117" s="50"/>
      <c r="D117" s="44"/>
      <c r="E117" s="44"/>
      <c r="F117" s="44"/>
      <c r="G117" s="44"/>
    </row>
    <row r="118" spans="1:8" ht="16.5">
      <c r="A118" s="49"/>
      <c r="B118" s="44"/>
      <c r="C118" s="51" t="s">
        <v>2128</v>
      </c>
      <c r="D118" s="52"/>
      <c r="E118" s="46"/>
      <c r="F118" s="52">
        <f>SUM(F109:F117)</f>
        <v>7536.96</v>
      </c>
      <c r="G118" s="52" t="s">
        <v>1134</v>
      </c>
      <c r="H118">
        <f>F118/A115</f>
        <v>5307.72</v>
      </c>
    </row>
    <row r="119" spans="1:8" ht="16.5">
      <c r="A119" s="44"/>
      <c r="B119" s="44"/>
      <c r="C119" s="54"/>
      <c r="D119" s="44"/>
      <c r="E119" s="44"/>
      <c r="F119" s="44"/>
      <c r="G119" s="44"/>
    </row>
    <row r="120" spans="1:8" ht="16.5">
      <c r="A120" s="44">
        <v>1</v>
      </c>
      <c r="B120" s="44" t="s">
        <v>701</v>
      </c>
      <c r="C120" s="50" t="s">
        <v>2369</v>
      </c>
      <c r="D120" s="44">
        <f>D99</f>
        <v>881</v>
      </c>
      <c r="E120" s="50" t="s">
        <v>701</v>
      </c>
      <c r="F120" s="44">
        <f>D120*A120</f>
        <v>881</v>
      </c>
      <c r="G120" s="44"/>
    </row>
    <row r="121" spans="1:8" ht="16.5">
      <c r="A121" s="44">
        <v>1</v>
      </c>
      <c r="B121" s="44" t="s">
        <v>701</v>
      </c>
      <c r="C121" s="50" t="s">
        <v>2370</v>
      </c>
      <c r="D121" s="44">
        <f>D100</f>
        <v>651</v>
      </c>
      <c r="E121" s="50" t="s">
        <v>701</v>
      </c>
      <c r="F121" s="44">
        <f>D121*A121</f>
        <v>651</v>
      </c>
      <c r="G121" s="44"/>
    </row>
    <row r="122" spans="1:8" ht="16.5">
      <c r="A122" s="44">
        <v>0.5</v>
      </c>
      <c r="B122" s="44" t="s">
        <v>701</v>
      </c>
      <c r="C122" s="50" t="s">
        <v>2371</v>
      </c>
      <c r="D122" s="44">
        <f>D101</f>
        <v>932</v>
      </c>
      <c r="E122" s="50" t="s">
        <v>701</v>
      </c>
      <c r="F122" s="44">
        <f>D122*A122</f>
        <v>466</v>
      </c>
      <c r="G122" s="44"/>
    </row>
    <row r="123" spans="1:8" ht="16.5">
      <c r="A123" s="44"/>
      <c r="B123" s="44"/>
      <c r="C123" s="50"/>
      <c r="D123" s="44"/>
      <c r="E123" s="50"/>
      <c r="F123" s="44"/>
      <c r="G123" s="44"/>
    </row>
    <row r="124" spans="1:8" ht="16.5">
      <c r="A124" s="44"/>
      <c r="B124" s="44"/>
      <c r="C124" s="44"/>
      <c r="D124" s="44"/>
      <c r="E124" s="50"/>
      <c r="F124" s="55" t="s">
        <v>1288</v>
      </c>
      <c r="G124" s="44"/>
    </row>
    <row r="125" spans="1:8" ht="16.5">
      <c r="A125" s="44"/>
      <c r="B125" s="44"/>
      <c r="C125" s="50" t="s">
        <v>2372</v>
      </c>
      <c r="D125" s="44"/>
      <c r="E125" s="50"/>
      <c r="F125" s="52">
        <f>SUM(F120:F124)</f>
        <v>1998</v>
      </c>
      <c r="G125" s="44"/>
    </row>
    <row r="126" spans="1:8" ht="16.5">
      <c r="A126" s="44"/>
      <c r="B126" s="44"/>
      <c r="C126" s="50"/>
      <c r="D126" s="44"/>
      <c r="E126" s="50"/>
      <c r="F126" s="52"/>
      <c r="G126" s="44"/>
    </row>
    <row r="127" spans="1:8" ht="16.5">
      <c r="A127" s="44"/>
      <c r="B127" s="44"/>
      <c r="C127" s="44"/>
      <c r="D127" s="44"/>
      <c r="E127" s="50"/>
      <c r="F127" s="55" t="s">
        <v>1288</v>
      </c>
      <c r="G127" s="44"/>
    </row>
    <row r="128" spans="1:8" ht="16.5">
      <c r="A128" s="44"/>
      <c r="B128" s="975" t="s">
        <v>2383</v>
      </c>
      <c r="C128" s="975"/>
      <c r="D128" s="975"/>
      <c r="E128" s="46"/>
      <c r="F128" s="46"/>
      <c r="G128" s="44"/>
    </row>
    <row r="129" spans="1:7" ht="16.5">
      <c r="A129" s="49"/>
      <c r="B129" s="44"/>
      <c r="C129" s="46" t="s">
        <v>2377</v>
      </c>
      <c r="D129" s="44"/>
      <c r="E129" s="44"/>
      <c r="F129" s="44"/>
      <c r="G129" s="44"/>
    </row>
    <row r="130" spans="1:7" ht="16.5">
      <c r="A130" s="49"/>
      <c r="B130" s="44"/>
      <c r="C130" s="50"/>
      <c r="D130" s="44"/>
      <c r="E130" s="44"/>
      <c r="F130" s="44"/>
      <c r="G130" s="44"/>
    </row>
    <row r="131" spans="1:7" ht="16.5">
      <c r="A131" s="49"/>
      <c r="B131" s="44"/>
      <c r="C131" s="50"/>
      <c r="D131" s="44"/>
      <c r="E131" s="44"/>
      <c r="F131" s="44"/>
      <c r="G131" s="44"/>
    </row>
    <row r="132" spans="1:7" ht="16.5">
      <c r="A132" s="49">
        <v>4.42</v>
      </c>
      <c r="B132" s="44" t="s">
        <v>734</v>
      </c>
      <c r="C132" s="50" t="s">
        <v>2378</v>
      </c>
      <c r="D132" s="44">
        <f>D109</f>
        <v>325</v>
      </c>
      <c r="E132" s="44" t="s">
        <v>734</v>
      </c>
      <c r="F132" s="44">
        <f>D132*A132</f>
        <v>1436.5</v>
      </c>
      <c r="G132" s="44"/>
    </row>
    <row r="133" spans="1:7" ht="16.5">
      <c r="A133" s="49">
        <v>7.36</v>
      </c>
      <c r="B133" s="44" t="s">
        <v>734</v>
      </c>
      <c r="C133" s="50" t="s">
        <v>2379</v>
      </c>
      <c r="D133" s="44">
        <f>D132</f>
        <v>325</v>
      </c>
      <c r="E133" s="44" t="s">
        <v>734</v>
      </c>
      <c r="F133" s="44">
        <f t="shared" ref="F133:F141" si="7">D133*A133</f>
        <v>2392</v>
      </c>
      <c r="G133" s="44"/>
    </row>
    <row r="134" spans="1:7" ht="16.5">
      <c r="A134" s="49">
        <v>3.03</v>
      </c>
      <c r="B134" s="44" t="s">
        <v>734</v>
      </c>
      <c r="C134" s="50" t="s">
        <v>2380</v>
      </c>
      <c r="D134" s="44">
        <f>D133</f>
        <v>325</v>
      </c>
      <c r="E134" s="44" t="s">
        <v>734</v>
      </c>
      <c r="F134" s="44">
        <f t="shared" si="7"/>
        <v>984.75</v>
      </c>
      <c r="G134" s="44"/>
    </row>
    <row r="135" spans="1:7" ht="16.5">
      <c r="A135" s="49">
        <v>1.38</v>
      </c>
      <c r="B135" s="44" t="s">
        <v>734</v>
      </c>
      <c r="C135" s="50" t="s">
        <v>2375</v>
      </c>
      <c r="D135" s="44">
        <f>D134</f>
        <v>325</v>
      </c>
      <c r="E135" s="44" t="s">
        <v>734</v>
      </c>
      <c r="F135" s="44">
        <f t="shared" si="7"/>
        <v>448.5</v>
      </c>
      <c r="G135" s="44"/>
    </row>
    <row r="136" spans="1:7" ht="16.5">
      <c r="A136" s="49">
        <v>2.0249999999999999</v>
      </c>
      <c r="B136" s="44" t="s">
        <v>184</v>
      </c>
      <c r="C136" s="50" t="s">
        <v>1506</v>
      </c>
      <c r="D136" s="44">
        <f>D110</f>
        <v>208.8</v>
      </c>
      <c r="E136" s="44" t="s">
        <v>184</v>
      </c>
      <c r="F136" s="44">
        <f t="shared" si="7"/>
        <v>422.82</v>
      </c>
      <c r="G136" s="44"/>
    </row>
    <row r="137" spans="1:7" ht="16.5">
      <c r="A137" s="49">
        <v>11.1</v>
      </c>
      <c r="B137" s="44" t="s">
        <v>669</v>
      </c>
      <c r="C137" s="50" t="s">
        <v>1507</v>
      </c>
      <c r="D137" s="44">
        <f>D111</f>
        <v>27.1</v>
      </c>
      <c r="E137" s="44" t="s">
        <v>669</v>
      </c>
      <c r="F137" s="44">
        <f t="shared" si="7"/>
        <v>300.81</v>
      </c>
      <c r="G137" s="44"/>
    </row>
    <row r="138" spans="1:7" ht="16.5">
      <c r="A138" s="49">
        <v>3</v>
      </c>
      <c r="B138" s="44" t="s">
        <v>2367</v>
      </c>
      <c r="C138" s="50" t="str">
        <f>C62</f>
        <v>10" I Max hinges (304 grade) qtn</v>
      </c>
      <c r="D138" s="44">
        <f>D112</f>
        <v>350</v>
      </c>
      <c r="E138" s="44" t="s">
        <v>619</v>
      </c>
      <c r="F138" s="44">
        <f t="shared" si="7"/>
        <v>1050</v>
      </c>
      <c r="G138" s="44"/>
    </row>
    <row r="139" spans="1:7" ht="16.5">
      <c r="A139" s="49">
        <v>3</v>
      </c>
      <c r="B139" s="44" t="s">
        <v>619</v>
      </c>
      <c r="C139" s="50" t="s">
        <v>2384</v>
      </c>
      <c r="D139" s="44">
        <f>D113</f>
        <v>48</v>
      </c>
      <c r="E139" s="44" t="s">
        <v>619</v>
      </c>
      <c r="F139" s="44">
        <f t="shared" si="7"/>
        <v>144</v>
      </c>
      <c r="G139" s="44"/>
    </row>
    <row r="140" spans="1:7" ht="16.5">
      <c r="A140" s="49">
        <v>4</v>
      </c>
      <c r="B140" s="44" t="s">
        <v>619</v>
      </c>
      <c r="C140" s="50" t="s">
        <v>2385</v>
      </c>
      <c r="D140" s="44">
        <v>15</v>
      </c>
      <c r="E140" s="44" t="s">
        <v>619</v>
      </c>
      <c r="F140" s="44">
        <f t="shared" si="7"/>
        <v>60</v>
      </c>
      <c r="G140" s="44"/>
    </row>
    <row r="141" spans="1:7" ht="16.5">
      <c r="A141" s="49">
        <v>2.0249999999999999</v>
      </c>
      <c r="B141" s="44" t="s">
        <v>1861</v>
      </c>
      <c r="C141" s="50" t="s">
        <v>1513</v>
      </c>
      <c r="D141" s="44">
        <f>F152</f>
        <v>1998</v>
      </c>
      <c r="E141" s="44" t="s">
        <v>1861</v>
      </c>
      <c r="F141" s="44">
        <f t="shared" si="7"/>
        <v>4045.95</v>
      </c>
      <c r="G141" s="44"/>
    </row>
    <row r="142" spans="1:7" ht="16.5">
      <c r="A142" s="49"/>
      <c r="B142" s="44"/>
      <c r="C142" s="50" t="s">
        <v>1514</v>
      </c>
      <c r="D142" s="44"/>
      <c r="E142" s="47"/>
      <c r="F142" s="44"/>
      <c r="G142" s="44"/>
    </row>
    <row r="143" spans="1:7" ht="16.5">
      <c r="A143" s="44"/>
      <c r="B143" s="44"/>
      <c r="C143" s="50"/>
      <c r="D143" s="44"/>
      <c r="E143" s="47"/>
      <c r="F143" s="44"/>
      <c r="G143" s="44"/>
    </row>
    <row r="144" spans="1:7" ht="16.5">
      <c r="A144" s="44"/>
      <c r="B144" s="44"/>
      <c r="C144" s="54" t="s">
        <v>2326</v>
      </c>
      <c r="D144" s="44"/>
      <c r="E144" s="44"/>
      <c r="F144" s="52">
        <f>SUM(F132:F143)</f>
        <v>11285.33</v>
      </c>
      <c r="G144" s="52" t="s">
        <v>1134</v>
      </c>
    </row>
    <row r="145" spans="1:7" ht="16.5">
      <c r="A145" s="44"/>
      <c r="B145" s="44"/>
      <c r="C145" s="9" t="s">
        <v>2386</v>
      </c>
      <c r="D145" s="44"/>
      <c r="E145" s="44"/>
      <c r="F145" s="9">
        <f>F144/A136</f>
        <v>5573</v>
      </c>
      <c r="G145" s="44" t="s">
        <v>1861</v>
      </c>
    </row>
    <row r="146" spans="1:7" ht="16.5">
      <c r="A146" s="44"/>
      <c r="B146" s="44"/>
      <c r="C146" s="54"/>
      <c r="D146" s="44"/>
      <c r="E146" s="44"/>
      <c r="F146" s="44"/>
      <c r="G146" s="44"/>
    </row>
    <row r="147" spans="1:7" ht="16.5">
      <c r="A147" s="44">
        <v>1</v>
      </c>
      <c r="B147" s="44" t="s">
        <v>701</v>
      </c>
      <c r="C147" s="50" t="s">
        <v>2369</v>
      </c>
      <c r="D147" s="44">
        <f>D120</f>
        <v>881</v>
      </c>
      <c r="E147" s="50" t="s">
        <v>701</v>
      </c>
      <c r="F147" s="44">
        <f>D147*A147</f>
        <v>881</v>
      </c>
      <c r="G147" s="44"/>
    </row>
    <row r="148" spans="1:7" ht="16.5">
      <c r="A148" s="44">
        <v>1</v>
      </c>
      <c r="B148" s="44" t="s">
        <v>701</v>
      </c>
      <c r="C148" s="50" t="s">
        <v>2370</v>
      </c>
      <c r="D148" s="44">
        <f>D121</f>
        <v>651</v>
      </c>
      <c r="E148" s="50" t="s">
        <v>701</v>
      </c>
      <c r="F148" s="44">
        <f>D148*A148</f>
        <v>651</v>
      </c>
      <c r="G148" s="44"/>
    </row>
    <row r="149" spans="1:7" ht="16.5">
      <c r="A149" s="44">
        <v>0.5</v>
      </c>
      <c r="B149" s="44" t="s">
        <v>701</v>
      </c>
      <c r="C149" s="50" t="s">
        <v>2371</v>
      </c>
      <c r="D149" s="44">
        <f>D122</f>
        <v>932</v>
      </c>
      <c r="E149" s="50" t="s">
        <v>701</v>
      </c>
      <c r="F149" s="44">
        <f>D149*A149</f>
        <v>466</v>
      </c>
      <c r="G149" s="44"/>
    </row>
    <row r="150" spans="1:7" ht="16.5">
      <c r="A150" s="44"/>
      <c r="B150" s="44"/>
      <c r="C150" s="50"/>
      <c r="D150" s="44"/>
      <c r="E150" s="50"/>
      <c r="F150" s="44"/>
      <c r="G150" s="44"/>
    </row>
    <row r="151" spans="1:7" ht="16.5">
      <c r="A151" s="44"/>
      <c r="B151" s="44"/>
      <c r="C151" s="44"/>
      <c r="D151" s="44"/>
      <c r="E151" s="50"/>
      <c r="F151" s="55" t="s">
        <v>1288</v>
      </c>
      <c r="G151" s="44"/>
    </row>
    <row r="152" spans="1:7" ht="16.5">
      <c r="A152" s="44"/>
      <c r="B152" s="44"/>
      <c r="C152" s="50" t="s">
        <v>2372</v>
      </c>
      <c r="D152" s="44"/>
      <c r="E152" s="50"/>
      <c r="F152" s="52">
        <f>SUM(F147:F151)</f>
        <v>1998</v>
      </c>
      <c r="G152" s="44"/>
    </row>
    <row r="153" spans="1:7" ht="16.5">
      <c r="A153" s="44"/>
      <c r="B153" s="44"/>
      <c r="C153" s="44"/>
      <c r="D153" s="44"/>
      <c r="E153" s="50"/>
      <c r="F153" s="55" t="s">
        <v>1288</v>
      </c>
      <c r="G153" s="44"/>
    </row>
    <row r="155" spans="1:7">
      <c r="A155" s="975" t="s">
        <v>2387</v>
      </c>
      <c r="B155" s="975"/>
      <c r="C155" s="975"/>
      <c r="D155" s="975"/>
      <c r="E155" s="975"/>
      <c r="F155" s="975"/>
    </row>
    <row r="156" spans="1:7">
      <c r="A156" s="975"/>
      <c r="B156" s="975"/>
      <c r="C156" s="975"/>
      <c r="D156" s="975"/>
      <c r="E156" s="975"/>
      <c r="F156" s="975"/>
    </row>
    <row r="157" spans="1:7" ht="16.5">
      <c r="A157" s="49"/>
      <c r="B157" s="44"/>
      <c r="C157" s="50"/>
      <c r="D157" s="44"/>
      <c r="E157" s="44"/>
      <c r="F157" s="44"/>
    </row>
    <row r="158" spans="1:7" ht="16.5">
      <c r="A158" s="49">
        <v>6.56</v>
      </c>
      <c r="B158" s="44" t="s">
        <v>734</v>
      </c>
      <c r="C158" s="50" t="s">
        <v>2375</v>
      </c>
      <c r="D158" s="44">
        <f>D135</f>
        <v>325</v>
      </c>
      <c r="E158" s="44" t="s">
        <v>734</v>
      </c>
      <c r="F158" s="44">
        <f>D158*A158</f>
        <v>2132</v>
      </c>
    </row>
    <row r="159" spans="1:7" ht="16.5">
      <c r="A159" s="49">
        <v>1.0129999999999999</v>
      </c>
      <c r="B159" s="44" t="s">
        <v>184</v>
      </c>
      <c r="C159" s="50" t="s">
        <v>2359</v>
      </c>
      <c r="D159" s="44">
        <f>D136</f>
        <v>208.8</v>
      </c>
      <c r="E159" s="44" t="s">
        <v>184</v>
      </c>
      <c r="F159" s="44">
        <f t="shared" ref="F159:F164" si="8">D159*A159</f>
        <v>211.51</v>
      </c>
    </row>
    <row r="160" spans="1:7" ht="16.5">
      <c r="A160" s="49">
        <v>4.2</v>
      </c>
      <c r="B160" s="44" t="s">
        <v>669</v>
      </c>
      <c r="C160" s="50" t="s">
        <v>2358</v>
      </c>
      <c r="D160" s="44">
        <f>D137</f>
        <v>27.1</v>
      </c>
      <c r="E160" s="44" t="s">
        <v>669</v>
      </c>
      <c r="F160" s="44">
        <f t="shared" si="8"/>
        <v>113.82</v>
      </c>
    </row>
    <row r="161" spans="1:7" ht="16.5">
      <c r="A161" s="49">
        <v>1</v>
      </c>
      <c r="B161" s="44" t="s">
        <v>2367</v>
      </c>
      <c r="C161" s="50" t="str">
        <f>C138</f>
        <v>10" I Max hinges (304 grade) qtn</v>
      </c>
      <c r="D161" s="44">
        <f>D138</f>
        <v>350</v>
      </c>
      <c r="E161" s="44" t="s">
        <v>619</v>
      </c>
      <c r="F161" s="44">
        <f t="shared" si="8"/>
        <v>350</v>
      </c>
    </row>
    <row r="162" spans="1:7" ht="16.5">
      <c r="A162" s="49">
        <v>1</v>
      </c>
      <c r="B162" s="44" t="s">
        <v>619</v>
      </c>
      <c r="C162" s="50" t="s">
        <v>2360</v>
      </c>
      <c r="D162" s="44">
        <f>D139</f>
        <v>48</v>
      </c>
      <c r="E162" s="44" t="s">
        <v>619</v>
      </c>
      <c r="F162" s="44">
        <f t="shared" si="8"/>
        <v>48</v>
      </c>
    </row>
    <row r="163" spans="1:7" ht="16.5">
      <c r="A163" s="49">
        <v>4</v>
      </c>
      <c r="B163" s="44" t="s">
        <v>619</v>
      </c>
      <c r="C163" s="50" t="s">
        <v>2362</v>
      </c>
      <c r="D163" s="44">
        <v>15</v>
      </c>
      <c r="E163" s="44" t="s">
        <v>619</v>
      </c>
      <c r="F163" s="44">
        <f>D163*A163</f>
        <v>60</v>
      </c>
    </row>
    <row r="164" spans="1:7" ht="16.5">
      <c r="A164" s="49">
        <v>1.0129999999999999</v>
      </c>
      <c r="B164" s="44" t="s">
        <v>1861</v>
      </c>
      <c r="C164" s="50" t="s">
        <v>2363</v>
      </c>
      <c r="D164" s="44">
        <f>D141</f>
        <v>1998</v>
      </c>
      <c r="E164" s="44" t="s">
        <v>1861</v>
      </c>
      <c r="F164" s="44">
        <f t="shared" si="8"/>
        <v>2023.97</v>
      </c>
    </row>
    <row r="165" spans="1:7" ht="16.5">
      <c r="A165" s="49"/>
      <c r="B165" s="44"/>
      <c r="C165" s="50" t="s">
        <v>1850</v>
      </c>
      <c r="D165" s="44"/>
      <c r="E165" s="47"/>
      <c r="F165" s="44"/>
    </row>
    <row r="166" spans="1:7" ht="23.25" customHeight="1">
      <c r="A166" s="49"/>
      <c r="B166" s="44"/>
      <c r="C166" s="51" t="s">
        <v>2128</v>
      </c>
      <c r="D166" s="52"/>
      <c r="E166" s="46"/>
      <c r="F166" s="52">
        <f>SUM(F158:F165)</f>
        <v>4939.3</v>
      </c>
    </row>
    <row r="167" spans="1:7" ht="13.5" customHeight="1">
      <c r="A167" s="49"/>
      <c r="B167" s="44"/>
      <c r="C167" s="9" t="s">
        <v>2388</v>
      </c>
      <c r="D167" s="44"/>
      <c r="E167" s="44"/>
      <c r="F167" s="9">
        <f>F166/A164</f>
        <v>4875.91</v>
      </c>
      <c r="G167" s="44" t="s">
        <v>1861</v>
      </c>
    </row>
    <row r="168" spans="1:7" ht="16.5">
      <c r="A168" s="44"/>
      <c r="B168" s="44"/>
      <c r="C168" s="54"/>
      <c r="D168" s="44"/>
      <c r="E168" s="44"/>
      <c r="F168" s="44"/>
    </row>
    <row r="169" spans="1:7" ht="16.5">
      <c r="A169" s="44">
        <v>1</v>
      </c>
      <c r="B169" s="44" t="s">
        <v>701</v>
      </c>
      <c r="C169" s="50" t="s">
        <v>2369</v>
      </c>
      <c r="D169" s="44">
        <f>D147</f>
        <v>881</v>
      </c>
      <c r="E169" s="50" t="s">
        <v>701</v>
      </c>
      <c r="F169" s="44">
        <f>D169*A169</f>
        <v>881</v>
      </c>
    </row>
    <row r="170" spans="1:7" ht="16.5">
      <c r="A170" s="44">
        <v>1</v>
      </c>
      <c r="B170" s="44" t="s">
        <v>701</v>
      </c>
      <c r="C170" s="50" t="s">
        <v>2370</v>
      </c>
      <c r="D170" s="44">
        <f>D148</f>
        <v>651</v>
      </c>
      <c r="E170" s="50" t="s">
        <v>701</v>
      </c>
      <c r="F170" s="44">
        <f>D170*A170</f>
        <v>651</v>
      </c>
    </row>
    <row r="171" spans="1:7" ht="16.5">
      <c r="A171" s="44">
        <v>0.5</v>
      </c>
      <c r="B171" s="44" t="s">
        <v>701</v>
      </c>
      <c r="C171" s="50" t="s">
        <v>2371</v>
      </c>
      <c r="D171" s="44">
        <f>D149</f>
        <v>932</v>
      </c>
      <c r="E171" s="50" t="s">
        <v>701</v>
      </c>
      <c r="F171" s="44">
        <f>D171*A171</f>
        <v>466</v>
      </c>
    </row>
    <row r="172" spans="1:7" ht="35.25" hidden="1" customHeight="1">
      <c r="A172" s="44"/>
      <c r="B172" s="44"/>
      <c r="C172" s="50"/>
      <c r="D172" s="44"/>
      <c r="E172" s="50"/>
      <c r="F172" s="44"/>
    </row>
    <row r="173" spans="1:7" ht="15.75" hidden="1" customHeight="1">
      <c r="A173" s="44"/>
      <c r="B173" s="44"/>
      <c r="C173" s="44"/>
      <c r="D173" s="44"/>
      <c r="E173" s="50"/>
      <c r="F173" s="55" t="s">
        <v>1288</v>
      </c>
    </row>
    <row r="174" spans="1:7" ht="15.75" hidden="1" customHeight="1">
      <c r="A174" s="44"/>
      <c r="B174" s="44"/>
      <c r="C174" s="50" t="s">
        <v>2372</v>
      </c>
      <c r="D174" s="44"/>
      <c r="E174" s="50"/>
      <c r="F174" s="52">
        <f>SUM(F169:F173)</f>
        <v>1998</v>
      </c>
    </row>
    <row r="175" spans="1:7" ht="15.75" hidden="1" customHeight="1">
      <c r="A175" s="44"/>
      <c r="B175" s="44"/>
      <c r="C175" s="44"/>
      <c r="D175" s="44"/>
      <c r="E175" s="50"/>
      <c r="F175" s="55" t="s">
        <v>1288</v>
      </c>
    </row>
    <row r="176" spans="1:7">
      <c r="F176" s="9">
        <f>SUM(F174)</f>
        <v>1998</v>
      </c>
    </row>
    <row r="178" spans="1:7" ht="19.5">
      <c r="C178" s="34"/>
      <c r="D178" s="976"/>
      <c r="E178" s="976"/>
      <c r="F178" s="976"/>
    </row>
    <row r="179" spans="1:7">
      <c r="A179" s="7"/>
      <c r="C179" s="1"/>
    </row>
    <row r="180" spans="1:7">
      <c r="A180" s="23"/>
      <c r="B180" s="22" t="s">
        <v>1833</v>
      </c>
      <c r="C180" s="26" t="s">
        <v>2786</v>
      </c>
      <c r="D180" s="22"/>
      <c r="E180" s="23"/>
      <c r="F180" s="22"/>
      <c r="G180" s="5"/>
    </row>
    <row r="181" spans="1:7">
      <c r="A181" s="22"/>
      <c r="B181" s="22"/>
      <c r="C181" s="26" t="s">
        <v>2787</v>
      </c>
      <c r="D181" s="22"/>
      <c r="E181" s="23"/>
      <c r="F181" s="22"/>
      <c r="G181" s="5"/>
    </row>
    <row r="182" spans="1:7" ht="18">
      <c r="A182" s="22"/>
      <c r="B182" s="22"/>
      <c r="C182" s="36" t="s">
        <v>2788</v>
      </c>
      <c r="D182" s="22"/>
      <c r="E182" s="23"/>
      <c r="F182" s="22"/>
      <c r="G182" s="5"/>
    </row>
    <row r="183" spans="1:7">
      <c r="A183" s="22"/>
      <c r="B183" s="22"/>
      <c r="C183" s="27" t="s">
        <v>1288</v>
      </c>
      <c r="D183" s="22"/>
      <c r="E183" s="23"/>
      <c r="F183" s="22"/>
      <c r="G183" s="5"/>
    </row>
    <row r="184" spans="1:7">
      <c r="A184" s="22"/>
      <c r="B184" s="22"/>
      <c r="C184" s="83" t="s">
        <v>2789</v>
      </c>
      <c r="D184" s="24"/>
      <c r="E184" s="37"/>
      <c r="F184" s="22"/>
      <c r="G184" s="5"/>
    </row>
    <row r="185" spans="1:7">
      <c r="A185" s="22"/>
      <c r="B185" s="22"/>
      <c r="C185" s="26" t="s">
        <v>2790</v>
      </c>
      <c r="D185" s="24"/>
      <c r="E185" s="37"/>
      <c r="F185" s="22"/>
      <c r="G185" s="5"/>
    </row>
    <row r="186" spans="1:7">
      <c r="A186" s="22"/>
      <c r="B186" s="22"/>
      <c r="C186" s="26" t="s">
        <v>2791</v>
      </c>
      <c r="G186" s="5"/>
    </row>
    <row r="187" spans="1:7">
      <c r="A187" s="22"/>
      <c r="B187" s="22"/>
      <c r="C187" s="26" t="s">
        <v>2805</v>
      </c>
      <c r="D187" s="24" t="s">
        <v>1676</v>
      </c>
      <c r="E187" s="38">
        <f>2*2*3*0.15*0.15</f>
        <v>0.27</v>
      </c>
      <c r="F187" s="22" t="s">
        <v>1749</v>
      </c>
      <c r="G187" s="5"/>
    </row>
    <row r="188" spans="1:7" ht="39" customHeight="1">
      <c r="A188" s="22"/>
      <c r="B188" s="22"/>
      <c r="C188" s="26" t="s">
        <v>2792</v>
      </c>
      <c r="D188" s="24" t="s">
        <v>1676</v>
      </c>
      <c r="E188" s="38">
        <f>4*2*0.15*0.15*2.4</f>
        <v>0.432</v>
      </c>
      <c r="F188" s="22" t="s">
        <v>1749</v>
      </c>
      <c r="G188" s="5"/>
    </row>
    <row r="189" spans="1:7" ht="22.5" customHeight="1">
      <c r="A189" s="22"/>
      <c r="B189" s="22"/>
      <c r="C189" s="26"/>
      <c r="D189" s="24"/>
      <c r="E189" s="27" t="s">
        <v>1288</v>
      </c>
      <c r="F189" s="30"/>
      <c r="G189" s="5"/>
    </row>
    <row r="190" spans="1:7" ht="16.5" customHeight="1">
      <c r="A190" s="22"/>
      <c r="B190" s="22"/>
      <c r="C190" s="22"/>
      <c r="D190" s="22"/>
      <c r="E190" s="41">
        <f>SUM(E187:E189)</f>
        <v>0.70199999999999996</v>
      </c>
      <c r="F190" s="9" t="s">
        <v>1749</v>
      </c>
      <c r="G190" s="5"/>
    </row>
    <row r="191" spans="1:7" ht="16.5" customHeight="1">
      <c r="A191" s="22"/>
      <c r="B191" s="22"/>
      <c r="C191" s="26" t="s">
        <v>2806</v>
      </c>
      <c r="D191" s="22"/>
      <c r="E191" s="33"/>
      <c r="F191" s="32"/>
      <c r="G191" s="5"/>
    </row>
    <row r="192" spans="1:7" ht="27.75" customHeight="1">
      <c r="A192" s="22"/>
      <c r="B192" s="22"/>
      <c r="C192" s="26" t="s">
        <v>2793</v>
      </c>
      <c r="D192" s="22"/>
      <c r="E192" s="38"/>
      <c r="F192" s="32"/>
      <c r="G192" s="5"/>
    </row>
    <row r="193" spans="1:8" ht="14.25" customHeight="1">
      <c r="A193" s="22"/>
      <c r="B193" s="22"/>
      <c r="C193" s="26"/>
      <c r="D193" s="22"/>
      <c r="E193" s="38"/>
      <c r="F193" s="32"/>
      <c r="G193" s="5"/>
    </row>
    <row r="194" spans="1:8" ht="39" customHeight="1">
      <c r="A194" s="31">
        <f>D197</f>
        <v>0.1208</v>
      </c>
      <c r="B194" s="22" t="s">
        <v>702</v>
      </c>
      <c r="C194" s="84" t="s">
        <v>2794</v>
      </c>
      <c r="D194" s="7">
        <f>3*1*1.8*0.15*0.05</f>
        <v>4.0500000000000001E-2</v>
      </c>
      <c r="E194" s="22">
        <v>106376</v>
      </c>
      <c r="F194" s="23" t="s">
        <v>702</v>
      </c>
      <c r="G194" s="22">
        <f>E194*A194</f>
        <v>12850.22</v>
      </c>
    </row>
    <row r="195" spans="1:8" ht="39" customHeight="1">
      <c r="A195" s="31"/>
      <c r="B195" s="22"/>
      <c r="C195" s="22" t="s">
        <v>2795</v>
      </c>
      <c r="D195" s="31">
        <f>6*1*0.1*0.05*2.15</f>
        <v>6.4500000000000002E-2</v>
      </c>
      <c r="E195" s="23"/>
      <c r="F195" s="22"/>
      <c r="G195" s="5"/>
    </row>
    <row r="196" spans="1:8" ht="39" customHeight="1">
      <c r="A196" s="31"/>
      <c r="B196" s="22"/>
      <c r="C196" s="22" t="s">
        <v>2796</v>
      </c>
      <c r="D196" s="31">
        <f>2*3*0.35*0.15*0.05</f>
        <v>1.5800000000000002E-2</v>
      </c>
      <c r="E196" s="23"/>
      <c r="F196" s="22"/>
      <c r="G196" s="5"/>
    </row>
    <row r="197" spans="1:8" ht="39" customHeight="1">
      <c r="A197" s="31"/>
      <c r="B197" s="22"/>
      <c r="C197" s="22"/>
      <c r="D197" s="86">
        <f>SUM(D194:D196)</f>
        <v>0.1208</v>
      </c>
      <c r="E197" s="23"/>
      <c r="F197" s="22"/>
      <c r="G197" s="5"/>
    </row>
    <row r="198" spans="1:8" ht="54.75" customHeight="1">
      <c r="A198" s="30">
        <v>4.5969999999999997E-2</v>
      </c>
      <c r="B198" s="22" t="s">
        <v>702</v>
      </c>
      <c r="C198" s="29" t="s">
        <v>2808</v>
      </c>
      <c r="D198" s="6">
        <f>8*1*0.815*0.35*0.01875</f>
        <v>4.2790000000000002E-2</v>
      </c>
      <c r="E198" s="22">
        <v>101921</v>
      </c>
      <c r="F198" s="23" t="s">
        <v>702</v>
      </c>
      <c r="G198" s="22">
        <f>E198*A198</f>
        <v>4685.3100000000004</v>
      </c>
      <c r="H198" s="5"/>
    </row>
    <row r="199" spans="1:8" ht="30.75">
      <c r="A199" s="30">
        <f>D199</f>
        <v>3.98</v>
      </c>
      <c r="B199" s="22" t="s">
        <v>702</v>
      </c>
      <c r="C199" s="29" t="s">
        <v>2807</v>
      </c>
      <c r="D199">
        <f>1.85*2.15</f>
        <v>3.98</v>
      </c>
      <c r="E199" s="22">
        <f>Data!AE30</f>
        <v>1537</v>
      </c>
      <c r="F199" s="23" t="s">
        <v>1861</v>
      </c>
      <c r="G199" s="22">
        <f>E199*A199</f>
        <v>6117.26</v>
      </c>
      <c r="H199" s="5"/>
    </row>
    <row r="200" spans="1:8">
      <c r="A200" s="30">
        <f>D200</f>
        <v>17.399999999999999</v>
      </c>
      <c r="B200" s="22" t="s">
        <v>1443</v>
      </c>
      <c r="C200" s="29" t="s">
        <v>2809</v>
      </c>
      <c r="D200">
        <f>6*2+3*1.8</f>
        <v>17.399999999999999</v>
      </c>
      <c r="E200" s="22">
        <v>30</v>
      </c>
      <c r="F200" s="23" t="s">
        <v>1443</v>
      </c>
      <c r="G200" s="22">
        <f>E200*A200</f>
        <v>522</v>
      </c>
      <c r="H200" s="5"/>
    </row>
    <row r="201" spans="1:8">
      <c r="A201" s="31"/>
      <c r="B201" s="22"/>
      <c r="C201" s="26"/>
      <c r="E201" s="22"/>
      <c r="F201" s="23"/>
      <c r="G201" s="22">
        <f>E201*A201</f>
        <v>0</v>
      </c>
      <c r="H201" s="5"/>
    </row>
    <row r="202" spans="1:8">
      <c r="A202" s="31"/>
      <c r="B202" s="22"/>
      <c r="C202" s="26" t="s">
        <v>2810</v>
      </c>
      <c r="E202" s="22"/>
      <c r="F202" s="23"/>
      <c r="G202" s="22"/>
      <c r="H202" s="5"/>
    </row>
    <row r="203" spans="1:8" ht="37.5" customHeight="1">
      <c r="A203" s="31">
        <f>D205</f>
        <v>1.26</v>
      </c>
      <c r="B203" s="22" t="s">
        <v>488</v>
      </c>
      <c r="C203" s="29" t="s">
        <v>2813</v>
      </c>
      <c r="D203">
        <f>2*1*0.35*1.4</f>
        <v>0.98</v>
      </c>
      <c r="E203" s="22">
        <v>336</v>
      </c>
      <c r="F203" s="23" t="s">
        <v>488</v>
      </c>
      <c r="G203" s="22">
        <f>E203*A203</f>
        <v>423.36</v>
      </c>
      <c r="H203" s="5"/>
    </row>
    <row r="204" spans="1:8" ht="37.5" customHeight="1">
      <c r="A204" s="31"/>
      <c r="B204" s="22"/>
      <c r="C204" s="29" t="s">
        <v>2811</v>
      </c>
      <c r="D204">
        <f>2*1*0.35*0.4</f>
        <v>0.28000000000000003</v>
      </c>
      <c r="E204" s="22"/>
      <c r="F204" s="23"/>
      <c r="G204" s="22"/>
      <c r="H204" s="5"/>
    </row>
    <row r="205" spans="1:8" ht="37.5" customHeight="1">
      <c r="A205" s="31"/>
      <c r="B205" s="22"/>
      <c r="C205" s="29"/>
      <c r="D205" s="9">
        <f>SUM(D203:D204)</f>
        <v>1.26</v>
      </c>
      <c r="E205" s="22"/>
      <c r="F205" s="23"/>
      <c r="G205" s="22"/>
      <c r="H205" s="5"/>
    </row>
    <row r="206" spans="1:8" ht="42.75" customHeight="1">
      <c r="A206" s="31">
        <v>9.8000000000000007</v>
      </c>
      <c r="B206" s="22" t="s">
        <v>1443</v>
      </c>
      <c r="C206" s="29" t="s">
        <v>2814</v>
      </c>
      <c r="D206">
        <v>9.8000000000000007</v>
      </c>
      <c r="E206" s="22">
        <v>59</v>
      </c>
      <c r="F206" s="23" t="s">
        <v>669</v>
      </c>
      <c r="G206" s="22">
        <f t="shared" ref="G206:G214" si="9">E206*A206</f>
        <v>578.20000000000005</v>
      </c>
      <c r="H206" s="5"/>
    </row>
    <row r="207" spans="1:8" ht="47.25">
      <c r="A207" s="31">
        <f>D207</f>
        <v>1.51</v>
      </c>
      <c r="B207" s="22" t="s">
        <v>488</v>
      </c>
      <c r="C207" s="85" t="s">
        <v>2797</v>
      </c>
      <c r="D207">
        <f>2*1*0.35*2.15</f>
        <v>1.51</v>
      </c>
      <c r="E207" s="22">
        <f>Data!AE32</f>
        <v>1436</v>
      </c>
      <c r="F207" s="23" t="s">
        <v>488</v>
      </c>
      <c r="G207" s="22">
        <f t="shared" si="9"/>
        <v>2168.36</v>
      </c>
      <c r="H207" s="5"/>
    </row>
    <row r="208" spans="1:8">
      <c r="A208" s="22"/>
      <c r="B208" s="22"/>
      <c r="C208" s="20" t="s">
        <v>1960</v>
      </c>
      <c r="E208" s="22"/>
      <c r="F208" s="23"/>
      <c r="G208" s="22">
        <f t="shared" si="9"/>
        <v>0</v>
      </c>
      <c r="H208" s="5"/>
    </row>
    <row r="209" spans="1:8">
      <c r="A209" s="22">
        <v>8</v>
      </c>
      <c r="B209" s="22" t="s">
        <v>701</v>
      </c>
      <c r="C209" s="26" t="s">
        <v>2798</v>
      </c>
      <c r="E209" s="22">
        <f>Data!P2645</f>
        <v>214.1</v>
      </c>
      <c r="F209" s="23" t="s">
        <v>701</v>
      </c>
      <c r="G209" s="22">
        <f t="shared" si="9"/>
        <v>1712.8</v>
      </c>
      <c r="H209" s="5"/>
    </row>
    <row r="210" spans="1:8">
      <c r="A210" s="22">
        <v>3</v>
      </c>
      <c r="B210" s="22" t="s">
        <v>701</v>
      </c>
      <c r="C210" s="26" t="s">
        <v>2799</v>
      </c>
      <c r="E210" s="22">
        <f>Data!P2646</f>
        <v>408</v>
      </c>
      <c r="F210" s="23" t="s">
        <v>701</v>
      </c>
      <c r="G210" s="22">
        <f t="shared" si="9"/>
        <v>1224</v>
      </c>
      <c r="H210" s="5"/>
    </row>
    <row r="211" spans="1:8">
      <c r="A211" s="22">
        <v>1</v>
      </c>
      <c r="B211" s="22" t="s">
        <v>701</v>
      </c>
      <c r="C211" s="26" t="s">
        <v>2800</v>
      </c>
      <c r="E211" s="81">
        <v>320</v>
      </c>
      <c r="F211" s="23" t="s">
        <v>701</v>
      </c>
      <c r="G211" s="22">
        <f t="shared" si="9"/>
        <v>320</v>
      </c>
      <c r="H211" s="5"/>
    </row>
    <row r="212" spans="1:8">
      <c r="A212" s="22">
        <v>2</v>
      </c>
      <c r="B212" s="22" t="s">
        <v>701</v>
      </c>
      <c r="C212" s="26" t="s">
        <v>2801</v>
      </c>
      <c r="E212" s="22">
        <v>650</v>
      </c>
      <c r="F212" s="23" t="s">
        <v>701</v>
      </c>
      <c r="G212" s="22">
        <f t="shared" si="9"/>
        <v>1300</v>
      </c>
      <c r="H212" s="5"/>
    </row>
    <row r="213" spans="1:8">
      <c r="A213" s="22">
        <v>2</v>
      </c>
      <c r="B213" s="22" t="s">
        <v>701</v>
      </c>
      <c r="C213" s="26" t="s">
        <v>2802</v>
      </c>
      <c r="E213" s="22">
        <v>200</v>
      </c>
      <c r="F213" s="23" t="s">
        <v>701</v>
      </c>
      <c r="G213" s="22">
        <f t="shared" si="9"/>
        <v>400</v>
      </c>
      <c r="H213" s="5"/>
    </row>
    <row r="214" spans="1:8">
      <c r="A214" s="22">
        <v>2</v>
      </c>
      <c r="B214" s="22" t="s">
        <v>701</v>
      </c>
      <c r="C214" s="26" t="s">
        <v>2803</v>
      </c>
      <c r="E214" s="22">
        <v>60</v>
      </c>
      <c r="F214" s="23" t="s">
        <v>701</v>
      </c>
      <c r="G214" s="22">
        <f t="shared" si="9"/>
        <v>120</v>
      </c>
      <c r="H214" s="5"/>
    </row>
    <row r="215" spans="1:8" hidden="1">
      <c r="A215" s="22"/>
      <c r="B215" s="22"/>
      <c r="C215" s="22" t="s">
        <v>2804</v>
      </c>
      <c r="E215" s="23" t="s">
        <v>528</v>
      </c>
      <c r="F215" s="23"/>
      <c r="G215" s="40">
        <v>400</v>
      </c>
      <c r="H215" s="5"/>
    </row>
    <row r="216" spans="1:8">
      <c r="A216" s="22"/>
      <c r="B216" s="22"/>
      <c r="C216" s="22" t="s">
        <v>2812</v>
      </c>
      <c r="E216" s="22"/>
      <c r="F216" s="23" t="s">
        <v>528</v>
      </c>
      <c r="G216" s="24">
        <v>400</v>
      </c>
      <c r="H216" s="5"/>
    </row>
    <row r="217" spans="1:8">
      <c r="A217" s="22"/>
      <c r="B217" s="22"/>
      <c r="E217" s="22"/>
      <c r="F217" s="23"/>
      <c r="G217" s="22"/>
      <c r="H217" s="5"/>
    </row>
    <row r="218" spans="1:8">
      <c r="A218" s="22"/>
      <c r="B218" s="22"/>
      <c r="C218" s="26" t="s">
        <v>2326</v>
      </c>
      <c r="E218" s="22"/>
      <c r="F218" s="23"/>
      <c r="G218" s="27">
        <f>SUM(G194:G217)</f>
        <v>33221.51</v>
      </c>
      <c r="H218" s="5"/>
    </row>
    <row r="219" spans="1:8">
      <c r="A219" s="22"/>
      <c r="B219" s="22"/>
      <c r="C219" s="20" t="s">
        <v>447</v>
      </c>
      <c r="E219" s="22"/>
      <c r="F219" s="25" t="s">
        <v>577</v>
      </c>
      <c r="G219" s="21">
        <v>27750</v>
      </c>
      <c r="H219" s="41" t="s">
        <v>2182</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1"/>
      <c r="E227" s="1"/>
    </row>
    <row r="228" spans="1:6">
      <c r="A228" s="5"/>
      <c r="C228" s="1"/>
      <c r="D228" s="11"/>
      <c r="E228" s="1"/>
    </row>
    <row r="229" spans="1:6">
      <c r="A229" s="5"/>
      <c r="C229" s="1"/>
      <c r="D229" s="11"/>
      <c r="E229" s="1"/>
    </row>
    <row r="230" spans="1:6" ht="18" customHeight="1">
      <c r="A230" s="5"/>
      <c r="C230" s="1"/>
      <c r="D230" s="11"/>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9"/>
    </row>
    <row r="236" spans="1:6">
      <c r="A236" s="5"/>
      <c r="C236" s="1"/>
      <c r="E236" s="1"/>
      <c r="F236" s="9"/>
    </row>
    <row r="237" spans="1:6">
      <c r="A237" s="5"/>
      <c r="C237" s="1"/>
      <c r="E237" s="1"/>
      <c r="F237" s="9"/>
    </row>
    <row r="238" spans="1:6">
      <c r="A238" s="5"/>
      <c r="C238" s="1"/>
      <c r="E238" s="1"/>
      <c r="F238" s="9"/>
    </row>
    <row r="239" spans="1:6">
      <c r="A239" s="5"/>
      <c r="C239" s="1"/>
      <c r="E239" s="1"/>
      <c r="F239" s="9"/>
    </row>
    <row r="247" spans="1:8" ht="16.5">
      <c r="A247" s="975" t="s">
        <v>2505</v>
      </c>
      <c r="B247" s="975"/>
      <c r="C247" s="975"/>
      <c r="D247" s="975"/>
      <c r="E247" s="46"/>
      <c r="F247" s="46"/>
      <c r="G247" s="44"/>
    </row>
    <row r="248" spans="1:8" ht="16.5">
      <c r="A248" s="49"/>
      <c r="B248" s="44"/>
      <c r="C248" s="46"/>
      <c r="D248" s="44"/>
      <c r="E248" s="44"/>
      <c r="F248" s="44"/>
      <c r="G248" s="44"/>
    </row>
    <row r="249" spans="1:8" ht="16.5">
      <c r="A249" s="49"/>
      <c r="B249" s="44"/>
      <c r="C249" s="50"/>
      <c r="D249" s="44"/>
      <c r="E249" s="44"/>
      <c r="F249" s="44"/>
      <c r="G249" s="44"/>
    </row>
    <row r="250" spans="1:8" ht="16.5">
      <c r="A250" s="49">
        <v>28.49</v>
      </c>
      <c r="B250" s="44" t="s">
        <v>734</v>
      </c>
      <c r="C250" s="62" t="s">
        <v>2506</v>
      </c>
      <c r="D250" s="44">
        <v>292</v>
      </c>
      <c r="E250" s="44" t="s">
        <v>734</v>
      </c>
      <c r="F250" s="44">
        <f>D250*A250</f>
        <v>8319.08</v>
      </c>
      <c r="G250" s="44"/>
    </row>
    <row r="251" spans="1:8" ht="16.5">
      <c r="A251" s="58">
        <v>3.82</v>
      </c>
      <c r="B251" s="44" t="s">
        <v>669</v>
      </c>
      <c r="C251" s="50" t="s">
        <v>2445</v>
      </c>
      <c r="D251" s="44">
        <v>36.299999999999997</v>
      </c>
      <c r="E251" s="44" t="s">
        <v>669</v>
      </c>
      <c r="F251" s="44">
        <v>501.66</v>
      </c>
      <c r="G251" s="44"/>
    </row>
    <row r="252" spans="1:8" ht="16.5">
      <c r="A252" s="49">
        <v>1.52</v>
      </c>
      <c r="B252" s="44" t="s">
        <v>184</v>
      </c>
      <c r="C252" s="50" t="s">
        <v>2443</v>
      </c>
      <c r="D252" s="44">
        <v>387.2</v>
      </c>
      <c r="E252" s="44" t="s">
        <v>184</v>
      </c>
      <c r="F252" s="44">
        <f t="shared" ref="F252:F261" si="10">D252*A252</f>
        <v>588.54</v>
      </c>
      <c r="G252" s="44"/>
    </row>
    <row r="253" spans="1:8" ht="16.5">
      <c r="A253" s="49">
        <v>1.52</v>
      </c>
      <c r="B253" s="44" t="s">
        <v>184</v>
      </c>
      <c r="C253" s="50" t="s">
        <v>2444</v>
      </c>
      <c r="D253" s="44">
        <v>695</v>
      </c>
      <c r="E253" s="44" t="s">
        <v>619</v>
      </c>
      <c r="F253" s="44">
        <f t="shared" si="10"/>
        <v>1056.4000000000001</v>
      </c>
      <c r="G253" s="44"/>
    </row>
    <row r="254" spans="1:8" ht="16.5">
      <c r="A254" s="49">
        <v>3</v>
      </c>
      <c r="B254" s="44" t="s">
        <v>181</v>
      </c>
      <c r="C254" s="50" t="s">
        <v>2446</v>
      </c>
      <c r="D254" s="44">
        <v>9</v>
      </c>
      <c r="E254" s="44" t="s">
        <v>181</v>
      </c>
      <c r="F254" s="44">
        <f t="shared" si="10"/>
        <v>27</v>
      </c>
      <c r="G254" s="44"/>
      <c r="H254" s="57"/>
    </row>
    <row r="255" spans="1:8" ht="16.5">
      <c r="A255" s="49">
        <v>4.2</v>
      </c>
      <c r="B255" s="44" t="s">
        <v>1134</v>
      </c>
      <c r="C255" s="50" t="s">
        <v>2507</v>
      </c>
      <c r="D255" s="44">
        <v>8.4499999999999993</v>
      </c>
      <c r="E255" s="44" t="s">
        <v>619</v>
      </c>
      <c r="F255" s="44">
        <f t="shared" si="10"/>
        <v>35.49</v>
      </c>
      <c r="G255" s="44"/>
      <c r="H255" s="57"/>
    </row>
    <row r="256" spans="1:8" ht="16.5">
      <c r="A256" s="49">
        <v>3.15</v>
      </c>
      <c r="B256" s="44" t="s">
        <v>1861</v>
      </c>
      <c r="C256" s="50" t="s">
        <v>2363</v>
      </c>
      <c r="D256" s="44">
        <f>F272</f>
        <v>0</v>
      </c>
      <c r="E256" s="44" t="s">
        <v>1861</v>
      </c>
      <c r="F256" s="44">
        <f t="shared" si="10"/>
        <v>0</v>
      </c>
      <c r="G256" s="44"/>
      <c r="H256" s="57"/>
    </row>
    <row r="257" spans="1:8" ht="16.5">
      <c r="A257" s="9">
        <v>1</v>
      </c>
      <c r="B257" s="9" t="s">
        <v>1524</v>
      </c>
      <c r="C257" s="9" t="s">
        <v>2508</v>
      </c>
      <c r="D257" s="9">
        <v>44.4</v>
      </c>
      <c r="E257" s="8" t="s">
        <v>1134</v>
      </c>
      <c r="F257" s="9">
        <f t="shared" si="10"/>
        <v>44.4</v>
      </c>
      <c r="G257" s="44"/>
      <c r="H257" s="57"/>
    </row>
    <row r="258" spans="1:8" ht="16.5">
      <c r="A258" s="9">
        <v>1</v>
      </c>
      <c r="B258" s="9" t="s">
        <v>1524</v>
      </c>
      <c r="C258" s="9" t="s">
        <v>2509</v>
      </c>
      <c r="D258" s="9">
        <v>867.3</v>
      </c>
      <c r="E258" s="8" t="s">
        <v>1134</v>
      </c>
      <c r="F258" s="9">
        <f t="shared" si="10"/>
        <v>867.3</v>
      </c>
      <c r="G258" s="44"/>
      <c r="H258" s="57"/>
    </row>
    <row r="259" spans="1:8" ht="18">
      <c r="A259" s="35">
        <v>45</v>
      </c>
      <c r="B259" s="35" t="s">
        <v>1524</v>
      </c>
      <c r="C259" s="35" t="s">
        <v>2510</v>
      </c>
      <c r="D259" s="35">
        <v>1.65</v>
      </c>
      <c r="E259" s="43" t="s">
        <v>1130</v>
      </c>
      <c r="F259" s="44">
        <f t="shared" si="10"/>
        <v>74.25</v>
      </c>
      <c r="G259" s="44"/>
      <c r="H259" s="57"/>
    </row>
    <row r="260" spans="1:8" ht="18">
      <c r="A260" s="35">
        <v>2</v>
      </c>
      <c r="B260" s="35" t="s">
        <v>1524</v>
      </c>
      <c r="C260" s="35" t="s">
        <v>2511</v>
      </c>
      <c r="D260" s="35">
        <v>76.2</v>
      </c>
      <c r="E260" s="8" t="s">
        <v>1134</v>
      </c>
      <c r="F260" s="44">
        <f t="shared" si="10"/>
        <v>152.4</v>
      </c>
      <c r="G260" s="44"/>
      <c r="H260" s="57"/>
    </row>
    <row r="261" spans="1:8" ht="18">
      <c r="A261" s="35">
        <v>2</v>
      </c>
      <c r="B261" s="35" t="s">
        <v>1524</v>
      </c>
      <c r="C261" s="35" t="s">
        <v>2512</v>
      </c>
      <c r="D261" s="35">
        <v>50.6</v>
      </c>
      <c r="E261" s="8" t="s">
        <v>1134</v>
      </c>
      <c r="F261" s="44">
        <f t="shared" si="10"/>
        <v>101.2</v>
      </c>
      <c r="G261" s="44"/>
      <c r="H261" s="57"/>
    </row>
    <row r="262" spans="1:8" ht="16.5">
      <c r="F262" s="5"/>
      <c r="G262" s="44"/>
      <c r="H262" s="57"/>
    </row>
    <row r="263" spans="1:8" ht="16.5">
      <c r="A263" s="49"/>
      <c r="B263" s="44"/>
      <c r="C263" s="50"/>
      <c r="D263" s="44"/>
      <c r="E263" s="47"/>
      <c r="F263" s="44"/>
      <c r="G263" s="44"/>
      <c r="H263" s="57"/>
    </row>
    <row r="264" spans="1:8" ht="16.5">
      <c r="A264" s="49"/>
      <c r="B264" s="44"/>
      <c r="C264" s="1" t="s">
        <v>2513</v>
      </c>
      <c r="E264" s="44"/>
      <c r="F264" s="44">
        <f>SUM(F250:F263)</f>
        <v>11767.72</v>
      </c>
      <c r="G264" s="44"/>
      <c r="H264" s="57"/>
    </row>
    <row r="265" spans="1:8" ht="16.5">
      <c r="A265" s="49"/>
      <c r="B265" s="44"/>
      <c r="C265" s="1" t="s">
        <v>447</v>
      </c>
      <c r="E265" s="46"/>
      <c r="F265" s="52">
        <f>F264/3.15</f>
        <v>3735.78</v>
      </c>
      <c r="G265" s="52" t="s">
        <v>1134</v>
      </c>
      <c r="H265" s="57"/>
    </row>
    <row r="266" spans="1:8" ht="16.5">
      <c r="A266" s="44"/>
      <c r="B266" s="44"/>
      <c r="C266" s="54"/>
      <c r="D266" s="44"/>
      <c r="E266" s="44"/>
      <c r="F266" s="44"/>
      <c r="G266" s="44"/>
      <c r="H266" s="57"/>
    </row>
    <row r="267" spans="1:8" ht="16.5">
      <c r="A267" s="44">
        <v>1</v>
      </c>
      <c r="B267" s="44" t="s">
        <v>701</v>
      </c>
      <c r="C267" s="50" t="s">
        <v>2369</v>
      </c>
      <c r="D267" s="44">
        <f>E218</f>
        <v>0</v>
      </c>
      <c r="E267" s="50" t="s">
        <v>701</v>
      </c>
      <c r="F267" s="44">
        <f>D267*A267</f>
        <v>0</v>
      </c>
      <c r="G267" s="44"/>
      <c r="H267" s="57"/>
    </row>
    <row r="268" spans="1:8" ht="16.5">
      <c r="A268" s="44">
        <v>1</v>
      </c>
      <c r="B268" s="44" t="s">
        <v>701</v>
      </c>
      <c r="C268" s="50" t="s">
        <v>2370</v>
      </c>
      <c r="D268" s="44">
        <f>E219</f>
        <v>0</v>
      </c>
      <c r="E268" s="50" t="s">
        <v>701</v>
      </c>
      <c r="F268" s="44">
        <f>D268*A268</f>
        <v>0</v>
      </c>
      <c r="G268" s="44"/>
      <c r="H268" s="57"/>
    </row>
    <row r="269" spans="1:8" ht="16.5">
      <c r="A269" s="44">
        <v>0.5</v>
      </c>
      <c r="B269" s="44" t="s">
        <v>701</v>
      </c>
      <c r="C269" s="50" t="s">
        <v>2371</v>
      </c>
      <c r="D269" s="44">
        <f>D220</f>
        <v>0</v>
      </c>
      <c r="E269" s="50" t="s">
        <v>701</v>
      </c>
      <c r="F269" s="44">
        <f>D269*A269</f>
        <v>0</v>
      </c>
      <c r="G269" s="44"/>
      <c r="H269" s="57"/>
    </row>
    <row r="270" spans="1:8" ht="16.5">
      <c r="A270" s="44"/>
      <c r="B270" s="44" t="s">
        <v>358</v>
      </c>
      <c r="C270" s="50"/>
      <c r="D270" s="44"/>
      <c r="E270" s="50" t="s">
        <v>358</v>
      </c>
      <c r="F270" s="44"/>
      <c r="G270" s="44"/>
      <c r="H270" s="57"/>
    </row>
    <row r="271" spans="1:8" ht="16.5">
      <c r="A271" s="44"/>
      <c r="B271" s="44"/>
      <c r="C271" s="44"/>
      <c r="D271" s="44"/>
      <c r="E271" s="50"/>
      <c r="F271" s="55" t="s">
        <v>1288</v>
      </c>
      <c r="G271" s="44"/>
      <c r="H271" s="57"/>
    </row>
    <row r="272" spans="1:8" ht="16.5">
      <c r="A272" s="44"/>
      <c r="B272" s="44"/>
      <c r="C272" s="50" t="s">
        <v>2372</v>
      </c>
      <c r="D272" s="44"/>
      <c r="E272" s="50"/>
      <c r="F272" s="52">
        <f>SUM(F267:F271)</f>
        <v>0</v>
      </c>
      <c r="G272" s="44"/>
      <c r="H272" s="57"/>
    </row>
    <row r="273" spans="1:8" ht="16.5">
      <c r="A273" s="44"/>
      <c r="B273" s="44"/>
      <c r="C273" s="44"/>
      <c r="D273" s="44"/>
      <c r="E273" s="50"/>
      <c r="F273" s="55" t="s">
        <v>1288</v>
      </c>
      <c r="G273" s="44"/>
      <c r="H273" s="57"/>
    </row>
    <row r="274" spans="1:8">
      <c r="H274" s="57"/>
    </row>
    <row r="275" spans="1:8">
      <c r="H275" s="57"/>
    </row>
    <row r="276" spans="1:8">
      <c r="A276" s="57"/>
      <c r="B276" s="57"/>
      <c r="C276" s="57" t="s">
        <v>2514</v>
      </c>
      <c r="D276" s="57"/>
      <c r="E276" s="57"/>
      <c r="F276" s="57"/>
      <c r="H276" s="57"/>
    </row>
    <row r="277" spans="1:8" ht="16.5">
      <c r="A277" s="975" t="s">
        <v>2517</v>
      </c>
      <c r="B277" s="975"/>
      <c r="C277" s="975"/>
      <c r="D277" s="975"/>
      <c r="E277" s="46"/>
      <c r="F277" s="46"/>
      <c r="H277" s="57"/>
    </row>
    <row r="278" spans="1:8" ht="16.5">
      <c r="A278" s="49"/>
      <c r="B278" s="44"/>
      <c r="C278" s="46"/>
      <c r="D278" s="44"/>
      <c r="E278" s="44"/>
      <c r="F278" s="44"/>
      <c r="H278" s="57"/>
    </row>
    <row r="279" spans="1:8" ht="16.5">
      <c r="A279" s="49"/>
      <c r="B279" s="44"/>
      <c r="C279" s="50"/>
      <c r="D279" s="44"/>
      <c r="E279" s="44"/>
      <c r="F279" s="44"/>
    </row>
    <row r="280" spans="1:8" ht="16.5">
      <c r="A280" s="49">
        <v>29.06</v>
      </c>
      <c r="B280" s="44" t="s">
        <v>734</v>
      </c>
      <c r="C280" s="62" t="s">
        <v>2515</v>
      </c>
      <c r="D280" s="44">
        <v>321</v>
      </c>
      <c r="E280" s="44" t="s">
        <v>734</v>
      </c>
      <c r="F280" s="44">
        <f>D280*A280</f>
        <v>9328.26</v>
      </c>
    </row>
    <row r="281" spans="1:8" ht="16.5">
      <c r="A281" s="58">
        <v>9.24</v>
      </c>
      <c r="B281" s="44" t="s">
        <v>669</v>
      </c>
      <c r="C281" s="50" t="s">
        <v>2445</v>
      </c>
      <c r="D281" s="44">
        <v>38.799999999999997</v>
      </c>
      <c r="E281" s="44" t="s">
        <v>669</v>
      </c>
      <c r="F281" s="44">
        <f t="shared" ref="F281:F291" si="11">D281*A281</f>
        <v>358.51</v>
      </c>
    </row>
    <row r="282" spans="1:8" ht="16.5">
      <c r="A282" s="49">
        <v>1.49</v>
      </c>
      <c r="B282" s="44" t="s">
        <v>184</v>
      </c>
      <c r="C282" s="50" t="s">
        <v>2443</v>
      </c>
      <c r="D282" s="44">
        <v>394</v>
      </c>
      <c r="E282" s="44" t="s">
        <v>184</v>
      </c>
      <c r="F282" s="44">
        <f t="shared" si="11"/>
        <v>587.05999999999995</v>
      </c>
    </row>
    <row r="283" spans="1:8" ht="16.5">
      <c r="A283" s="49">
        <v>0.75</v>
      </c>
      <c r="B283" s="44" t="s">
        <v>184</v>
      </c>
      <c r="C283" s="50" t="s">
        <v>2444</v>
      </c>
      <c r="D283" s="44">
        <v>695</v>
      </c>
      <c r="E283" s="44" t="s">
        <v>619</v>
      </c>
      <c r="F283" s="44">
        <f t="shared" si="11"/>
        <v>521.25</v>
      </c>
    </row>
    <row r="284" spans="1:8" ht="16.5">
      <c r="A284" s="49">
        <v>2</v>
      </c>
      <c r="B284" s="44" t="s">
        <v>181</v>
      </c>
      <c r="C284" s="50" t="s">
        <v>2446</v>
      </c>
      <c r="D284" s="44">
        <v>9</v>
      </c>
      <c r="E284" s="44" t="s">
        <v>181</v>
      </c>
      <c r="F284" s="44">
        <f t="shared" si="11"/>
        <v>18</v>
      </c>
    </row>
    <row r="285" spans="1:8" ht="16.5">
      <c r="A285" s="49">
        <v>7.08</v>
      </c>
      <c r="B285" s="44" t="s">
        <v>1134</v>
      </c>
      <c r="C285" s="50" t="s">
        <v>2507</v>
      </c>
      <c r="D285" s="44">
        <v>8.6</v>
      </c>
      <c r="E285" s="44" t="s">
        <v>619</v>
      </c>
      <c r="F285" s="44">
        <f t="shared" si="11"/>
        <v>60.89</v>
      </c>
    </row>
    <row r="286" spans="1:8" ht="16.5">
      <c r="A286" s="49">
        <v>2.1</v>
      </c>
      <c r="B286" s="44" t="s">
        <v>1861</v>
      </c>
      <c r="C286" s="50" t="s">
        <v>2363</v>
      </c>
      <c r="D286" s="44">
        <f>D263</f>
        <v>0</v>
      </c>
      <c r="E286" s="44" t="s">
        <v>1861</v>
      </c>
      <c r="F286" s="44">
        <f t="shared" si="11"/>
        <v>0</v>
      </c>
    </row>
    <row r="287" spans="1:8" ht="16.5">
      <c r="A287" s="9">
        <v>1</v>
      </c>
      <c r="B287" s="9" t="s">
        <v>1524</v>
      </c>
      <c r="C287" s="9" t="s">
        <v>2508</v>
      </c>
      <c r="D287" s="9">
        <v>48.9</v>
      </c>
      <c r="E287" s="8" t="s">
        <v>1134</v>
      </c>
      <c r="F287" s="44">
        <f t="shared" si="11"/>
        <v>48.9</v>
      </c>
    </row>
    <row r="288" spans="1:8" ht="16.5">
      <c r="A288" s="9">
        <v>1</v>
      </c>
      <c r="B288" s="9" t="s">
        <v>1524</v>
      </c>
      <c r="C288" s="9" t="s">
        <v>2509</v>
      </c>
      <c r="D288" s="9">
        <v>884</v>
      </c>
      <c r="E288" s="8" t="s">
        <v>1134</v>
      </c>
      <c r="F288" s="44">
        <f t="shared" si="11"/>
        <v>884</v>
      </c>
    </row>
    <row r="289" spans="1:7" ht="18">
      <c r="A289" s="35">
        <v>6</v>
      </c>
      <c r="B289" s="35" t="s">
        <v>1524</v>
      </c>
      <c r="C289" s="35" t="s">
        <v>2516</v>
      </c>
      <c r="D289" s="35">
        <f>D260</f>
        <v>76.2</v>
      </c>
      <c r="E289" s="43" t="s">
        <v>1130</v>
      </c>
      <c r="F289" s="44">
        <f t="shared" si="11"/>
        <v>457.2</v>
      </c>
    </row>
    <row r="290" spans="1:7" ht="18">
      <c r="A290" s="35">
        <v>2</v>
      </c>
      <c r="B290" s="35" t="s">
        <v>1524</v>
      </c>
      <c r="C290" s="35" t="s">
        <v>2511</v>
      </c>
      <c r="D290" s="35">
        <v>108.7</v>
      </c>
      <c r="E290" s="8" t="s">
        <v>1134</v>
      </c>
      <c r="F290" s="44">
        <f t="shared" si="11"/>
        <v>217.4</v>
      </c>
    </row>
    <row r="291" spans="1:7" ht="18">
      <c r="A291" s="35">
        <v>2</v>
      </c>
      <c r="B291" s="35" t="s">
        <v>1524</v>
      </c>
      <c r="C291" s="35" t="s">
        <v>2512</v>
      </c>
      <c r="D291" s="35">
        <v>54.1</v>
      </c>
      <c r="E291" s="8" t="s">
        <v>1134</v>
      </c>
      <c r="F291" s="44">
        <f t="shared" si="11"/>
        <v>108.2</v>
      </c>
    </row>
    <row r="292" spans="1:7">
      <c r="F292" s="5">
        <f>SUM(F280:F291)</f>
        <v>12589.67</v>
      </c>
    </row>
    <row r="293" spans="1:7" ht="16.5">
      <c r="A293" s="57"/>
      <c r="B293" s="57"/>
      <c r="C293" s="57"/>
      <c r="D293" s="57"/>
      <c r="E293" s="57"/>
      <c r="F293" s="44">
        <f>F292/A286</f>
        <v>5995.08</v>
      </c>
    </row>
    <row r="294" spans="1:7">
      <c r="A294" s="57"/>
      <c r="B294" s="57"/>
      <c r="C294" s="57"/>
      <c r="D294" s="57"/>
      <c r="E294" s="57"/>
      <c r="F294" s="57"/>
    </row>
    <row r="297" spans="1:7" ht="19.5">
      <c r="A297" s="63"/>
      <c r="B297" s="64"/>
      <c r="C297" s="65" t="s">
        <v>2546</v>
      </c>
      <c r="D297" s="64"/>
      <c r="E297" s="66"/>
      <c r="F297" s="64"/>
      <c r="G297" s="67"/>
    </row>
    <row r="298" spans="1:7" ht="18.75">
      <c r="A298" s="63">
        <v>3.488</v>
      </c>
      <c r="B298" s="64" t="s">
        <v>734</v>
      </c>
      <c r="C298" s="66" t="s">
        <v>2547</v>
      </c>
      <c r="D298" s="64">
        <f>D132</f>
        <v>325</v>
      </c>
      <c r="E298" s="64" t="s">
        <v>734</v>
      </c>
      <c r="F298" s="64">
        <f t="shared" ref="F298:F307" si="12">D298*A298</f>
        <v>1133.5999999999999</v>
      </c>
      <c r="G298" s="67"/>
    </row>
    <row r="299" spans="1:7" ht="18.75">
      <c r="A299" s="63">
        <v>4.38</v>
      </c>
      <c r="B299" s="64" t="s">
        <v>734</v>
      </c>
      <c r="C299" s="66" t="s">
        <v>2548</v>
      </c>
      <c r="D299" s="64">
        <f>D133</f>
        <v>325</v>
      </c>
      <c r="E299" s="64" t="s">
        <v>734</v>
      </c>
      <c r="F299" s="64">
        <f t="shared" si="12"/>
        <v>1423.5</v>
      </c>
      <c r="G299" s="67"/>
    </row>
    <row r="300" spans="1:7" ht="18.75">
      <c r="A300" s="63">
        <v>1.18</v>
      </c>
      <c r="B300" s="64" t="s">
        <v>734</v>
      </c>
      <c r="C300" s="66" t="s">
        <v>2549</v>
      </c>
      <c r="D300" s="64">
        <f>D134</f>
        <v>325</v>
      </c>
      <c r="E300" s="64" t="s">
        <v>734</v>
      </c>
      <c r="F300" s="64">
        <f t="shared" si="12"/>
        <v>383.5</v>
      </c>
      <c r="G300" s="67"/>
    </row>
    <row r="301" spans="1:7" ht="18.75">
      <c r="A301" s="63">
        <v>0.82</v>
      </c>
      <c r="B301" s="64" t="s">
        <v>734</v>
      </c>
      <c r="C301" s="66" t="s">
        <v>2550</v>
      </c>
      <c r="D301" s="64">
        <f>D135</f>
        <v>325</v>
      </c>
      <c r="E301" s="64" t="s">
        <v>734</v>
      </c>
      <c r="F301" s="64">
        <f t="shared" si="12"/>
        <v>266.5</v>
      </c>
      <c r="G301" s="67"/>
    </row>
    <row r="302" spans="1:7" ht="18.75">
      <c r="A302" s="63">
        <v>1.26</v>
      </c>
      <c r="B302" s="64" t="s">
        <v>184</v>
      </c>
      <c r="C302" s="66" t="s">
        <v>1506</v>
      </c>
      <c r="D302" s="64">
        <f t="shared" ref="D302:D307" si="13">D136</f>
        <v>208.8</v>
      </c>
      <c r="E302" s="64" t="s">
        <v>184</v>
      </c>
      <c r="F302" s="64">
        <f t="shared" si="12"/>
        <v>263.08999999999997</v>
      </c>
      <c r="G302" s="67"/>
    </row>
    <row r="303" spans="1:7" ht="18.75">
      <c r="A303" s="63">
        <v>6.6</v>
      </c>
      <c r="B303" s="64" t="s">
        <v>669</v>
      </c>
      <c r="C303" s="66" t="s">
        <v>2358</v>
      </c>
      <c r="D303" s="64">
        <f t="shared" si="13"/>
        <v>27.1</v>
      </c>
      <c r="E303" s="64" t="s">
        <v>669</v>
      </c>
      <c r="F303" s="64">
        <f t="shared" si="12"/>
        <v>178.86</v>
      </c>
      <c r="G303" s="67"/>
    </row>
    <row r="304" spans="1:7" ht="18.75">
      <c r="A304" s="63">
        <v>2</v>
      </c>
      <c r="B304" s="64" t="s">
        <v>619</v>
      </c>
      <c r="C304" s="66" t="s">
        <v>2551</v>
      </c>
      <c r="D304" s="64">
        <f t="shared" si="13"/>
        <v>350</v>
      </c>
      <c r="E304" s="64" t="s">
        <v>2552</v>
      </c>
      <c r="F304" s="64">
        <f t="shared" si="12"/>
        <v>700</v>
      </c>
      <c r="G304" s="67"/>
    </row>
    <row r="305" spans="1:8" ht="18.75">
      <c r="A305" s="63">
        <v>2</v>
      </c>
      <c r="B305" s="64" t="s">
        <v>619</v>
      </c>
      <c r="C305" s="66" t="s">
        <v>2384</v>
      </c>
      <c r="D305" s="64">
        <f t="shared" si="13"/>
        <v>48</v>
      </c>
      <c r="E305" s="64" t="s">
        <v>619</v>
      </c>
      <c r="F305" s="64">
        <f t="shared" si="12"/>
        <v>96</v>
      </c>
      <c r="G305" s="67"/>
    </row>
    <row r="306" spans="1:8" ht="18.75">
      <c r="A306" s="63">
        <v>4</v>
      </c>
      <c r="B306" s="64" t="s">
        <v>619</v>
      </c>
      <c r="C306" s="66" t="s">
        <v>1512</v>
      </c>
      <c r="D306" s="64">
        <f t="shared" si="13"/>
        <v>15</v>
      </c>
      <c r="E306" s="64" t="s">
        <v>619</v>
      </c>
      <c r="F306" s="64">
        <f t="shared" si="12"/>
        <v>60</v>
      </c>
      <c r="G306" s="67"/>
    </row>
    <row r="307" spans="1:8" ht="18.75">
      <c r="A307" s="63">
        <v>1.26</v>
      </c>
      <c r="B307" s="64" t="s">
        <v>1861</v>
      </c>
      <c r="C307" s="66" t="s">
        <v>1513</v>
      </c>
      <c r="D307" s="64">
        <f t="shared" si="13"/>
        <v>1998</v>
      </c>
      <c r="E307" s="64" t="s">
        <v>1861</v>
      </c>
      <c r="F307" s="64">
        <f t="shared" si="12"/>
        <v>2517.48</v>
      </c>
      <c r="G307" s="67"/>
    </row>
    <row r="308" spans="1:8" ht="18.75">
      <c r="A308" s="63"/>
      <c r="B308" s="64"/>
      <c r="C308" s="66" t="s">
        <v>1514</v>
      </c>
      <c r="D308" s="64"/>
      <c r="E308" s="68"/>
      <c r="F308" s="64">
        <v>9.4</v>
      </c>
      <c r="G308" s="67"/>
    </row>
    <row r="309" spans="1:8" ht="19.5">
      <c r="A309" s="63"/>
      <c r="B309" s="64"/>
      <c r="C309" s="69" t="s">
        <v>2141</v>
      </c>
      <c r="D309" s="64"/>
      <c r="E309" s="64"/>
      <c r="F309" s="65">
        <f>SUM(F298:F308)</f>
        <v>7031.93</v>
      </c>
      <c r="G309" s="67" t="s">
        <v>1134</v>
      </c>
    </row>
    <row r="310" spans="1:8">
      <c r="F310" s="9">
        <f>F309/1.26</f>
        <v>5580.9</v>
      </c>
      <c r="G310" t="s">
        <v>1861</v>
      </c>
    </row>
    <row r="315" spans="1:8">
      <c r="A315" s="978" t="s">
        <v>2665</v>
      </c>
      <c r="B315" s="978"/>
      <c r="C315" s="978"/>
      <c r="D315" s="978"/>
      <c r="E315" s="978"/>
      <c r="F315" s="978"/>
      <c r="G315" s="978"/>
      <c r="H315" s="978"/>
    </row>
    <row r="316" spans="1:8">
      <c r="A316" s="978" t="s">
        <v>2666</v>
      </c>
      <c r="B316" s="978"/>
      <c r="C316" s="978"/>
      <c r="D316" s="978"/>
      <c r="E316" s="978"/>
      <c r="F316" s="978"/>
      <c r="G316" s="978"/>
      <c r="H316" s="978"/>
    </row>
    <row r="317" spans="1:8">
      <c r="A317" s="57"/>
      <c r="B317" s="57" t="s">
        <v>2667</v>
      </c>
      <c r="C317" s="57" t="s">
        <v>2668</v>
      </c>
      <c r="D317" s="57"/>
      <c r="E317" s="57"/>
      <c r="F317" s="57"/>
      <c r="G317" s="57"/>
      <c r="H317" s="57"/>
    </row>
    <row r="318" spans="1:8">
      <c r="A318" s="57"/>
      <c r="B318" s="57"/>
      <c r="C318" s="57" t="s">
        <v>2669</v>
      </c>
      <c r="D318" s="57" t="s">
        <v>1676</v>
      </c>
      <c r="E318" s="57" t="s">
        <v>2670</v>
      </c>
      <c r="F318" s="57" t="s">
        <v>1676</v>
      </c>
      <c r="G318" s="18">
        <f>1*1.2*1.558</f>
        <v>1.87</v>
      </c>
      <c r="H318" s="57" t="s">
        <v>1341</v>
      </c>
    </row>
    <row r="319" spans="1:8">
      <c r="A319" s="57"/>
      <c r="B319" s="57" t="s">
        <v>2671</v>
      </c>
      <c r="C319" s="57" t="s">
        <v>2672</v>
      </c>
      <c r="D319" s="57"/>
      <c r="E319" s="57"/>
      <c r="F319" s="57"/>
      <c r="G319" s="57"/>
      <c r="H319" s="57"/>
    </row>
    <row r="320" spans="1:8">
      <c r="A320" s="57"/>
      <c r="B320" s="57"/>
      <c r="C320" s="57" t="s">
        <v>2673</v>
      </c>
      <c r="D320" s="57" t="s">
        <v>1676</v>
      </c>
      <c r="E320" s="57" t="s">
        <v>2674</v>
      </c>
      <c r="F320" s="57" t="s">
        <v>1676</v>
      </c>
      <c r="G320" s="18">
        <f>1*2*1.35*0.695</f>
        <v>1.88</v>
      </c>
      <c r="H320" s="57" t="s">
        <v>1341</v>
      </c>
    </row>
    <row r="321" spans="1:8">
      <c r="A321" s="57"/>
      <c r="B321" s="57" t="s">
        <v>2675</v>
      </c>
      <c r="C321" s="57" t="s">
        <v>2676</v>
      </c>
      <c r="D321" s="57"/>
      <c r="E321" s="57"/>
      <c r="F321" s="57"/>
      <c r="G321" s="18"/>
      <c r="H321" s="57"/>
    </row>
    <row r="322" spans="1:8">
      <c r="A322" s="57"/>
      <c r="B322" s="57"/>
      <c r="C322" s="57" t="s">
        <v>2677</v>
      </c>
      <c r="D322" s="57" t="s">
        <v>1676</v>
      </c>
      <c r="E322" s="57" t="s">
        <v>2678</v>
      </c>
      <c r="F322" s="57" t="s">
        <v>1676</v>
      </c>
      <c r="G322" s="18">
        <f>1*1*1.2*1.088</f>
        <v>1.31</v>
      </c>
      <c r="H322" s="57" t="s">
        <v>1341</v>
      </c>
    </row>
    <row r="323" spans="1:8">
      <c r="A323" s="57"/>
      <c r="B323" s="57" t="s">
        <v>2679</v>
      </c>
      <c r="C323" s="57" t="s">
        <v>2680</v>
      </c>
      <c r="D323" s="57"/>
      <c r="E323" s="57"/>
      <c r="F323" s="57"/>
      <c r="G323" s="18"/>
      <c r="H323" s="57"/>
    </row>
    <row r="324" spans="1:8">
      <c r="A324" s="57"/>
      <c r="B324" s="57"/>
      <c r="C324" s="57" t="s">
        <v>2681</v>
      </c>
      <c r="D324" s="57" t="s">
        <v>1676</v>
      </c>
      <c r="E324" s="57" t="s">
        <v>2682</v>
      </c>
      <c r="F324" s="57" t="s">
        <v>1676</v>
      </c>
      <c r="G324" s="18">
        <f>1*2*1.25*0.605</f>
        <v>1.51</v>
      </c>
      <c r="H324" s="57" t="s">
        <v>1341</v>
      </c>
    </row>
    <row r="325" spans="1:8">
      <c r="A325" s="57"/>
      <c r="B325" s="57" t="s">
        <v>2683</v>
      </c>
      <c r="C325" s="57" t="s">
        <v>2684</v>
      </c>
      <c r="D325" s="57"/>
      <c r="E325" s="57"/>
      <c r="F325" s="57"/>
      <c r="G325" s="18"/>
      <c r="H325" s="57"/>
    </row>
    <row r="326" spans="1:8">
      <c r="A326" s="57"/>
      <c r="B326" s="57"/>
      <c r="C326" s="57" t="s">
        <v>2685</v>
      </c>
      <c r="D326" s="57" t="s">
        <v>1676</v>
      </c>
      <c r="E326" s="57" t="s">
        <v>2686</v>
      </c>
      <c r="F326" s="57" t="s">
        <v>1676</v>
      </c>
      <c r="G326" s="18">
        <f>1*2*1.25*0.488</f>
        <v>1.22</v>
      </c>
      <c r="H326" s="57" t="s">
        <v>1341</v>
      </c>
    </row>
    <row r="327" spans="1:8">
      <c r="A327" s="57"/>
      <c r="B327" s="57" t="s">
        <v>2683</v>
      </c>
      <c r="C327" s="57" t="s">
        <v>2687</v>
      </c>
      <c r="D327" s="57"/>
      <c r="E327" s="57"/>
      <c r="F327" s="57"/>
      <c r="G327" s="18"/>
      <c r="H327" s="57"/>
    </row>
    <row r="328" spans="1:8">
      <c r="A328" s="57"/>
      <c r="B328" s="57"/>
      <c r="C328" s="57" t="s">
        <v>2688</v>
      </c>
      <c r="D328" s="57" t="s">
        <v>1676</v>
      </c>
      <c r="E328" s="57" t="s">
        <v>2689</v>
      </c>
      <c r="F328" s="57" t="s">
        <v>1676</v>
      </c>
      <c r="G328" s="18">
        <f>2*2*0.55*0.355</f>
        <v>0.78</v>
      </c>
      <c r="H328" s="57" t="s">
        <v>1341</v>
      </c>
    </row>
    <row r="329" spans="1:8">
      <c r="A329" s="57"/>
      <c r="B329" s="57"/>
      <c r="C329" s="57"/>
      <c r="D329" s="57"/>
      <c r="E329" s="57"/>
      <c r="F329" s="57"/>
      <c r="G329" s="18">
        <f>SUM(G318:G328)</f>
        <v>8.57</v>
      </c>
      <c r="H329" s="57" t="s">
        <v>1341</v>
      </c>
    </row>
    <row r="330" spans="1:8">
      <c r="A330" s="57"/>
      <c r="B330" s="57"/>
      <c r="C330" s="57"/>
      <c r="D330" s="57"/>
      <c r="E330" s="57" t="s">
        <v>2690</v>
      </c>
      <c r="F330" s="57" t="s">
        <v>1676</v>
      </c>
      <c r="G330" s="18">
        <f>G329*10%</f>
        <v>0.86</v>
      </c>
      <c r="H330" s="57" t="s">
        <v>1341</v>
      </c>
    </row>
    <row r="331" spans="1:8">
      <c r="A331" s="57"/>
      <c r="B331" s="57"/>
      <c r="C331" s="57"/>
      <c r="D331" s="57"/>
      <c r="E331" s="57"/>
      <c r="F331" s="57"/>
      <c r="G331" s="60">
        <f>SUM(G329:G330)</f>
        <v>9.43</v>
      </c>
      <c r="H331" s="57" t="s">
        <v>1341</v>
      </c>
    </row>
    <row r="332" spans="1:8">
      <c r="A332" s="57"/>
      <c r="B332" s="57"/>
      <c r="C332" s="57"/>
      <c r="D332" s="57"/>
      <c r="E332" s="57"/>
      <c r="F332" s="57"/>
      <c r="G332" s="57"/>
      <c r="H332" s="57"/>
    </row>
    <row r="333" spans="1:8">
      <c r="A333" s="57"/>
      <c r="B333" s="75" t="s">
        <v>2691</v>
      </c>
      <c r="C333" s="57" t="s">
        <v>2692</v>
      </c>
      <c r="D333" s="57"/>
      <c r="E333" s="57"/>
      <c r="F333" s="57"/>
      <c r="G333" s="57"/>
      <c r="H333" s="57"/>
    </row>
    <row r="334" spans="1:8" ht="17.25">
      <c r="A334" s="57"/>
      <c r="B334" s="57"/>
      <c r="C334" s="57" t="s">
        <v>2693</v>
      </c>
      <c r="D334" s="57" t="s">
        <v>1676</v>
      </c>
      <c r="E334" s="57" t="s">
        <v>2694</v>
      </c>
      <c r="F334" s="57" t="s">
        <v>1676</v>
      </c>
      <c r="G334" s="57">
        <f>1*2*0.55*1.25</f>
        <v>1.375</v>
      </c>
      <c r="H334" s="57" t="s">
        <v>2695</v>
      </c>
    </row>
    <row r="335" spans="1:8">
      <c r="A335" s="57"/>
      <c r="B335" s="57"/>
      <c r="C335" s="57"/>
      <c r="D335" s="57"/>
      <c r="E335" s="57"/>
      <c r="F335" s="57"/>
      <c r="G335" s="57"/>
      <c r="H335" s="57"/>
    </row>
    <row r="336" spans="1:8">
      <c r="A336" s="57"/>
      <c r="B336" s="75" t="s">
        <v>2696</v>
      </c>
      <c r="C336" s="57" t="s">
        <v>2358</v>
      </c>
      <c r="D336" s="57" t="s">
        <v>1676</v>
      </c>
      <c r="E336" s="57" t="s">
        <v>2697</v>
      </c>
      <c r="F336" s="57" t="s">
        <v>1676</v>
      </c>
      <c r="G336" s="57">
        <f>1*2*2*3.6</f>
        <v>14.4</v>
      </c>
      <c r="H336" s="57" t="s">
        <v>669</v>
      </c>
    </row>
    <row r="337" spans="1:8">
      <c r="A337" s="57"/>
      <c r="B337" s="57"/>
      <c r="C337" s="57"/>
      <c r="D337" s="57"/>
      <c r="E337" s="57"/>
      <c r="F337" s="57"/>
      <c r="G337" s="57"/>
      <c r="H337" s="57"/>
    </row>
    <row r="338" spans="1:8" ht="17.25">
      <c r="A338" s="57"/>
      <c r="B338" s="75" t="s">
        <v>2698</v>
      </c>
      <c r="C338" s="57" t="s">
        <v>2699</v>
      </c>
      <c r="D338" s="57" t="s">
        <v>1676</v>
      </c>
      <c r="E338" s="57" t="s">
        <v>2700</v>
      </c>
      <c r="F338" s="57" t="s">
        <v>1676</v>
      </c>
      <c r="G338" s="57">
        <f>1.2*1.35</f>
        <v>1.62</v>
      </c>
      <c r="H338" s="57" t="s">
        <v>2695</v>
      </c>
    </row>
    <row r="339" spans="1:8">
      <c r="A339" s="57"/>
      <c r="B339" s="57"/>
      <c r="C339" s="57"/>
      <c r="D339" s="57"/>
      <c r="E339" s="57"/>
      <c r="F339" s="57"/>
      <c r="G339" s="57"/>
      <c r="H339" s="57"/>
    </row>
    <row r="340" spans="1:8">
      <c r="A340" s="57"/>
      <c r="B340" s="57"/>
      <c r="C340" s="57"/>
      <c r="D340" s="57"/>
      <c r="E340" s="57"/>
      <c r="F340" s="57"/>
      <c r="G340" s="57"/>
      <c r="H340" s="57"/>
    </row>
    <row r="341" spans="1:8">
      <c r="A341" s="57"/>
      <c r="B341" s="57"/>
      <c r="C341" s="57"/>
      <c r="D341" s="57"/>
      <c r="E341" s="57"/>
      <c r="F341" s="57"/>
      <c r="G341" s="57"/>
      <c r="H341" s="57"/>
    </row>
    <row r="342" spans="1:8">
      <c r="A342" s="7">
        <v>9.43</v>
      </c>
      <c r="B342" t="s">
        <v>734</v>
      </c>
      <c r="C342" s="1" t="s">
        <v>2701</v>
      </c>
      <c r="E342">
        <v>287</v>
      </c>
      <c r="F342" t="s">
        <v>734</v>
      </c>
      <c r="G342">
        <f t="shared" ref="G342:G347" si="14">E342*A342</f>
        <v>2706.41</v>
      </c>
      <c r="H342" s="57"/>
    </row>
    <row r="343" spans="1:8">
      <c r="A343" s="7">
        <f>G334</f>
        <v>1.375</v>
      </c>
      <c r="B343" t="s">
        <v>184</v>
      </c>
      <c r="C343" s="1" t="s">
        <v>2702</v>
      </c>
      <c r="E343">
        <v>336</v>
      </c>
      <c r="F343" t="s">
        <v>184</v>
      </c>
      <c r="G343">
        <f t="shared" si="14"/>
        <v>462</v>
      </c>
      <c r="H343" s="57"/>
    </row>
    <row r="344" spans="1:8">
      <c r="A344" s="7">
        <v>14.4</v>
      </c>
      <c r="B344" t="s">
        <v>669</v>
      </c>
      <c r="C344" s="1" t="s">
        <v>1507</v>
      </c>
      <c r="E344">
        <v>27.1</v>
      </c>
      <c r="F344" t="s">
        <v>669</v>
      </c>
      <c r="G344">
        <f t="shared" si="14"/>
        <v>390.24</v>
      </c>
      <c r="H344" s="57"/>
    </row>
    <row r="345" spans="1:8">
      <c r="A345" s="7">
        <v>1</v>
      </c>
      <c r="B345" t="s">
        <v>619</v>
      </c>
      <c r="C345" s="1" t="s">
        <v>2703</v>
      </c>
      <c r="E345">
        <v>59.4</v>
      </c>
      <c r="F345" t="s">
        <v>619</v>
      </c>
      <c r="G345">
        <f t="shared" si="14"/>
        <v>59.4</v>
      </c>
      <c r="H345" s="57"/>
    </row>
    <row r="346" spans="1:8">
      <c r="A346" s="7">
        <v>1</v>
      </c>
      <c r="B346" t="s">
        <v>619</v>
      </c>
      <c r="C346" s="1" t="s">
        <v>2704</v>
      </c>
      <c r="E346">
        <v>13.1</v>
      </c>
      <c r="F346" t="s">
        <v>619</v>
      </c>
      <c r="G346">
        <f t="shared" si="14"/>
        <v>13.1</v>
      </c>
      <c r="H346" s="57"/>
    </row>
    <row r="347" spans="1:8">
      <c r="A347" s="7">
        <v>1.62</v>
      </c>
      <c r="B347" t="s">
        <v>1861</v>
      </c>
      <c r="C347" s="1" t="s">
        <v>1513</v>
      </c>
      <c r="E347">
        <f>G357</f>
        <v>1110</v>
      </c>
      <c r="F347" t="s">
        <v>1861</v>
      </c>
      <c r="G347">
        <f t="shared" si="14"/>
        <v>1798.2</v>
      </c>
      <c r="H347" s="57"/>
    </row>
    <row r="348" spans="1:8">
      <c r="C348" s="1" t="s">
        <v>1850</v>
      </c>
      <c r="E348" s="2"/>
      <c r="F348" t="s">
        <v>528</v>
      </c>
      <c r="G348" s="57">
        <v>2.56</v>
      </c>
      <c r="H348" s="57"/>
    </row>
    <row r="349" spans="1:8">
      <c r="C349" s="4" t="s">
        <v>2705</v>
      </c>
      <c r="G349">
        <f>SUM(G342:G348)</f>
        <v>5431.91</v>
      </c>
      <c r="H349" s="57"/>
    </row>
    <row r="350" spans="1:8">
      <c r="C350" s="76" t="s">
        <v>2706</v>
      </c>
      <c r="D350" s="61" t="s">
        <v>1676</v>
      </c>
      <c r="E350" s="61"/>
      <c r="F350" s="9"/>
      <c r="G350" s="60">
        <f>G349/A347</f>
        <v>3353.03</v>
      </c>
      <c r="H350" s="57"/>
    </row>
    <row r="351" spans="1:8">
      <c r="A351" s="57"/>
      <c r="B351" s="57"/>
      <c r="C351" s="57"/>
      <c r="D351" s="57"/>
      <c r="E351" s="57"/>
      <c r="F351" s="57"/>
      <c r="G351" s="57"/>
      <c r="H351" s="57"/>
    </row>
    <row r="352" spans="1:8">
      <c r="A352" s="57"/>
      <c r="B352" s="57"/>
      <c r="C352" s="59" t="s">
        <v>2707</v>
      </c>
      <c r="D352" s="57"/>
      <c r="E352" s="57"/>
      <c r="F352" s="57"/>
      <c r="G352" s="57"/>
      <c r="H352" s="57"/>
    </row>
    <row r="353" spans="1:8">
      <c r="A353">
        <v>1</v>
      </c>
      <c r="B353" t="s">
        <v>701</v>
      </c>
      <c r="C353" s="1" t="s">
        <v>2708</v>
      </c>
      <c r="E353">
        <v>501</v>
      </c>
      <c r="F353" s="1" t="s">
        <v>701</v>
      </c>
      <c r="G353" s="57">
        <f>E353*A353</f>
        <v>501</v>
      </c>
      <c r="H353" s="57"/>
    </row>
    <row r="354" spans="1:8">
      <c r="A354">
        <v>1</v>
      </c>
      <c r="B354" t="s">
        <v>701</v>
      </c>
      <c r="C354" s="1" t="s">
        <v>2709</v>
      </c>
      <c r="E354">
        <v>355</v>
      </c>
      <c r="F354" s="1" t="s">
        <v>701</v>
      </c>
      <c r="G354" s="57">
        <f>E354*A354</f>
        <v>355</v>
      </c>
      <c r="H354" s="57"/>
    </row>
    <row r="355" spans="1:8">
      <c r="A355">
        <v>0.5</v>
      </c>
      <c r="B355" t="s">
        <v>701</v>
      </c>
      <c r="C355" s="1" t="s">
        <v>2710</v>
      </c>
      <c r="E355">
        <v>508</v>
      </c>
      <c r="F355" s="1" t="s">
        <v>701</v>
      </c>
      <c r="G355" s="57">
        <f>E355*A355</f>
        <v>254</v>
      </c>
      <c r="H355" s="57"/>
    </row>
    <row r="356" spans="1:8">
      <c r="C356" s="1"/>
      <c r="E356" s="1"/>
      <c r="F356" s="3"/>
      <c r="G356" s="57"/>
      <c r="H356" s="57"/>
    </row>
    <row r="357" spans="1:8">
      <c r="C357" s="1" t="s">
        <v>2372</v>
      </c>
      <c r="E357" s="1"/>
      <c r="F357" s="9"/>
      <c r="G357" s="61">
        <f>SUM(G353:G356)</f>
        <v>1110</v>
      </c>
      <c r="H357" s="57"/>
    </row>
    <row r="358" spans="1:8">
      <c r="E358" s="1"/>
      <c r="F358" s="3"/>
      <c r="G358" s="57"/>
      <c r="H358" s="57"/>
    </row>
    <row r="359" spans="1:8">
      <c r="A359" s="42"/>
      <c r="B359" s="42"/>
      <c r="C359" s="70"/>
      <c r="D359" s="42"/>
      <c r="E359" s="70"/>
      <c r="F359" s="42"/>
      <c r="G359" s="77"/>
      <c r="H359" s="77"/>
    </row>
    <row r="360" spans="1:8">
      <c r="A360" s="57"/>
      <c r="B360" s="57"/>
      <c r="C360" s="57"/>
      <c r="D360" s="57"/>
      <c r="E360" s="57"/>
      <c r="F360" s="57"/>
      <c r="G360" s="57"/>
      <c r="H360" s="57"/>
    </row>
    <row r="361" spans="1:8">
      <c r="A361" s="978" t="s">
        <v>2711</v>
      </c>
      <c r="B361" s="978"/>
      <c r="C361" s="978"/>
      <c r="D361" s="978"/>
      <c r="E361" s="978"/>
      <c r="F361" s="978"/>
      <c r="G361" s="978"/>
      <c r="H361" s="978"/>
    </row>
    <row r="362" spans="1:8">
      <c r="A362" s="57"/>
      <c r="B362" s="57" t="s">
        <v>2667</v>
      </c>
      <c r="C362" s="57" t="s">
        <v>2668</v>
      </c>
      <c r="D362" s="57"/>
      <c r="E362" s="57"/>
      <c r="F362" s="57"/>
      <c r="G362" s="57"/>
      <c r="H362" s="57"/>
    </row>
    <row r="363" spans="1:8">
      <c r="A363" s="57"/>
      <c r="B363" s="57"/>
      <c r="C363" s="57" t="s">
        <v>2669</v>
      </c>
      <c r="D363" s="57" t="s">
        <v>1676</v>
      </c>
      <c r="E363" s="57" t="s">
        <v>2712</v>
      </c>
      <c r="F363" s="57" t="s">
        <v>1676</v>
      </c>
      <c r="G363" s="18">
        <f>1*2*2.4*1.558</f>
        <v>7.48</v>
      </c>
      <c r="H363" s="57" t="s">
        <v>1341</v>
      </c>
    </row>
    <row r="364" spans="1:8">
      <c r="A364" s="57"/>
      <c r="B364" s="57" t="s">
        <v>2671</v>
      </c>
      <c r="C364" s="57" t="s">
        <v>2672</v>
      </c>
      <c r="D364" s="57"/>
      <c r="E364" s="57"/>
      <c r="F364" s="57"/>
      <c r="G364" s="18"/>
      <c r="H364" s="57"/>
    </row>
    <row r="365" spans="1:8">
      <c r="A365" s="57"/>
      <c r="B365" s="57"/>
      <c r="C365" s="57" t="s">
        <v>2673</v>
      </c>
      <c r="D365" s="57" t="s">
        <v>1676</v>
      </c>
      <c r="E365" s="57" t="s">
        <v>2713</v>
      </c>
      <c r="F365" s="57" t="s">
        <v>1676</v>
      </c>
      <c r="G365" s="18">
        <f>1*4*1.05*0.695</f>
        <v>2.92</v>
      </c>
      <c r="H365" s="57" t="s">
        <v>1341</v>
      </c>
    </row>
    <row r="366" spans="1:8">
      <c r="A366" s="57"/>
      <c r="B366" s="57" t="s">
        <v>2675</v>
      </c>
      <c r="C366" s="57" t="s">
        <v>2676</v>
      </c>
      <c r="D366" s="57"/>
      <c r="E366" s="57"/>
      <c r="F366" s="57"/>
      <c r="G366" s="18"/>
      <c r="H366" s="57"/>
    </row>
    <row r="367" spans="1:8">
      <c r="A367" s="57"/>
      <c r="B367" s="57"/>
      <c r="C367" s="57" t="s">
        <v>2677</v>
      </c>
      <c r="D367" s="57" t="s">
        <v>1676</v>
      </c>
      <c r="E367" s="57" t="s">
        <v>2714</v>
      </c>
      <c r="F367" s="57" t="s">
        <v>1676</v>
      </c>
      <c r="G367" s="18">
        <f>1*1*2.4*1.088</f>
        <v>2.61</v>
      </c>
      <c r="H367" s="57" t="s">
        <v>1341</v>
      </c>
    </row>
    <row r="368" spans="1:8">
      <c r="A368" s="57"/>
      <c r="B368" s="57" t="s">
        <v>2679</v>
      </c>
      <c r="C368" s="57" t="s">
        <v>2680</v>
      </c>
      <c r="D368" s="57"/>
      <c r="E368" s="57"/>
      <c r="F368" s="57"/>
      <c r="G368" s="18"/>
      <c r="H368" s="57"/>
    </row>
    <row r="369" spans="1:8">
      <c r="A369" s="57"/>
      <c r="B369" s="57"/>
      <c r="C369" s="57" t="s">
        <v>2681</v>
      </c>
      <c r="D369" s="57" t="s">
        <v>1676</v>
      </c>
      <c r="E369" s="57" t="s">
        <v>2715</v>
      </c>
      <c r="F369" s="57" t="s">
        <v>1676</v>
      </c>
      <c r="G369" s="18">
        <f>1*4*0.95*0.605</f>
        <v>2.2999999999999998</v>
      </c>
      <c r="H369" s="57" t="s">
        <v>1341</v>
      </c>
    </row>
    <row r="370" spans="1:8">
      <c r="A370" s="57"/>
      <c r="B370" s="57" t="s">
        <v>2683</v>
      </c>
      <c r="C370" s="57" t="s">
        <v>2684</v>
      </c>
      <c r="D370" s="57"/>
      <c r="E370" s="57"/>
      <c r="F370" s="57"/>
      <c r="G370" s="18"/>
      <c r="H370" s="57"/>
    </row>
    <row r="371" spans="1:8">
      <c r="A371" s="57"/>
      <c r="B371" s="57"/>
      <c r="C371" s="57" t="s">
        <v>2685</v>
      </c>
      <c r="D371" s="57" t="s">
        <v>1676</v>
      </c>
      <c r="E371" s="57" t="s">
        <v>2716</v>
      </c>
      <c r="F371" s="57" t="s">
        <v>1676</v>
      </c>
      <c r="G371" s="18">
        <f>1*4*0.95*0.488</f>
        <v>1.85</v>
      </c>
      <c r="H371" s="57" t="s">
        <v>1341</v>
      </c>
    </row>
    <row r="372" spans="1:8">
      <c r="A372" s="57"/>
      <c r="B372" s="57" t="s">
        <v>2683</v>
      </c>
      <c r="C372" s="57" t="s">
        <v>2687</v>
      </c>
      <c r="D372" s="57"/>
      <c r="E372" s="57"/>
      <c r="F372" s="57"/>
      <c r="G372" s="18"/>
      <c r="H372" s="57"/>
    </row>
    <row r="373" spans="1:8">
      <c r="A373" s="57"/>
      <c r="B373" s="57"/>
      <c r="C373" s="57" t="s">
        <v>2688</v>
      </c>
      <c r="D373" s="57" t="s">
        <v>1676</v>
      </c>
      <c r="E373" s="57" t="s">
        <v>2717</v>
      </c>
      <c r="F373" s="57" t="s">
        <v>1676</v>
      </c>
      <c r="G373" s="18">
        <f>2*4*0.55*0.355</f>
        <v>1.56</v>
      </c>
      <c r="H373" s="57" t="s">
        <v>1341</v>
      </c>
    </row>
    <row r="374" spans="1:8">
      <c r="A374" s="57"/>
      <c r="B374" s="57"/>
      <c r="C374" s="57"/>
      <c r="D374" s="57"/>
      <c r="E374" s="57"/>
      <c r="F374" s="57"/>
      <c r="G374" s="18">
        <f>SUM(G363:G373)</f>
        <v>18.72</v>
      </c>
      <c r="H374" s="57" t="s">
        <v>1341</v>
      </c>
    </row>
    <row r="375" spans="1:8">
      <c r="A375" s="57"/>
      <c r="B375" s="57"/>
      <c r="C375" s="57"/>
      <c r="D375" s="57"/>
      <c r="E375" s="57" t="s">
        <v>2690</v>
      </c>
      <c r="F375" s="57" t="s">
        <v>1676</v>
      </c>
      <c r="G375" s="18">
        <f>G374*10%</f>
        <v>1.87</v>
      </c>
      <c r="H375" s="57" t="s">
        <v>1341</v>
      </c>
    </row>
    <row r="376" spans="1:8">
      <c r="A376" s="57"/>
      <c r="B376" s="57"/>
      <c r="C376" s="57"/>
      <c r="D376" s="57"/>
      <c r="E376" s="57"/>
      <c r="F376" s="57"/>
      <c r="G376" s="60">
        <f>SUM(G374:G375)</f>
        <v>20.59</v>
      </c>
      <c r="H376" s="57" t="s">
        <v>1341</v>
      </c>
    </row>
    <row r="377" spans="1:8">
      <c r="A377" s="57"/>
      <c r="B377" s="57"/>
      <c r="C377" s="57"/>
      <c r="D377" s="57"/>
      <c r="E377" s="57"/>
      <c r="F377" s="57"/>
      <c r="G377" s="57"/>
      <c r="H377" s="57"/>
    </row>
    <row r="378" spans="1:8">
      <c r="A378" s="57"/>
      <c r="B378" s="75" t="s">
        <v>2691</v>
      </c>
      <c r="C378" s="57" t="s">
        <v>2692</v>
      </c>
      <c r="D378" s="57"/>
      <c r="E378" s="57"/>
      <c r="F378" s="57"/>
      <c r="G378" s="18"/>
      <c r="H378" s="57"/>
    </row>
    <row r="379" spans="1:8" ht="17.25">
      <c r="A379" s="57"/>
      <c r="B379" s="57"/>
      <c r="C379" s="57" t="s">
        <v>2693</v>
      </c>
      <c r="D379" s="57" t="s">
        <v>1676</v>
      </c>
      <c r="E379" s="57" t="s">
        <v>2718</v>
      </c>
      <c r="F379" s="57" t="s">
        <v>1676</v>
      </c>
      <c r="G379" s="78">
        <f>1*4*0.55*0.95</f>
        <v>2.09</v>
      </c>
      <c r="H379" s="57" t="s">
        <v>2695</v>
      </c>
    </row>
    <row r="380" spans="1:8">
      <c r="A380" s="57"/>
      <c r="B380" s="57"/>
      <c r="C380" s="57"/>
      <c r="D380" s="57"/>
      <c r="E380" s="57"/>
      <c r="F380" s="57"/>
      <c r="G380" s="18"/>
      <c r="H380" s="57"/>
    </row>
    <row r="381" spans="1:8">
      <c r="A381" s="57"/>
      <c r="B381" s="75" t="s">
        <v>2696</v>
      </c>
      <c r="C381" s="57" t="s">
        <v>2358</v>
      </c>
      <c r="D381" s="57" t="s">
        <v>1676</v>
      </c>
      <c r="E381" s="57" t="s">
        <v>2719</v>
      </c>
      <c r="F381" s="57" t="s">
        <v>1676</v>
      </c>
      <c r="G381" s="18">
        <f>1*2*4*3.3</f>
        <v>26.4</v>
      </c>
      <c r="H381" s="57" t="s">
        <v>669</v>
      </c>
    </row>
    <row r="382" spans="1:8">
      <c r="A382" s="57"/>
      <c r="B382" s="57"/>
      <c r="C382" s="57"/>
      <c r="D382" s="57"/>
      <c r="E382" s="57"/>
      <c r="F382" s="57"/>
      <c r="G382" s="18"/>
      <c r="H382" s="57"/>
    </row>
    <row r="383" spans="1:8" ht="17.25">
      <c r="A383" s="57"/>
      <c r="B383" s="75" t="s">
        <v>2698</v>
      </c>
      <c r="C383" s="57" t="s">
        <v>2699</v>
      </c>
      <c r="D383" s="57" t="s">
        <v>1676</v>
      </c>
      <c r="E383" s="57" t="s">
        <v>2720</v>
      </c>
      <c r="F383" s="57" t="s">
        <v>1676</v>
      </c>
      <c r="G383" s="18">
        <f>2.4*1.05</f>
        <v>2.52</v>
      </c>
      <c r="H383" s="57" t="s">
        <v>2695</v>
      </c>
    </row>
    <row r="384" spans="1:8">
      <c r="A384" s="57"/>
      <c r="B384" s="57"/>
      <c r="C384" s="57"/>
      <c r="D384" s="57"/>
      <c r="E384" s="57"/>
      <c r="F384" s="57"/>
      <c r="G384" s="57"/>
      <c r="H384" s="57"/>
    </row>
    <row r="385" spans="1:8">
      <c r="A385" s="57"/>
      <c r="B385" s="57"/>
      <c r="C385" s="57"/>
      <c r="D385" s="57"/>
      <c r="E385" s="57"/>
      <c r="F385" s="57"/>
      <c r="G385" s="57"/>
      <c r="H385" s="57"/>
    </row>
    <row r="386" spans="1:8">
      <c r="A386" s="57"/>
      <c r="B386" s="57"/>
      <c r="C386" s="57"/>
      <c r="D386" s="57"/>
      <c r="E386" s="57"/>
      <c r="F386" s="57"/>
      <c r="G386" s="57"/>
      <c r="H386" s="57"/>
    </row>
    <row r="387" spans="1:8">
      <c r="A387" s="7">
        <v>20.59</v>
      </c>
      <c r="B387" t="s">
        <v>734</v>
      </c>
      <c r="C387" s="1" t="s">
        <v>2701</v>
      </c>
      <c r="E387">
        <v>287</v>
      </c>
      <c r="F387" t="s">
        <v>734</v>
      </c>
      <c r="G387">
        <f t="shared" ref="G387:G392" si="15">E387*A387</f>
        <v>5909.33</v>
      </c>
      <c r="H387" s="57"/>
    </row>
    <row r="388" spans="1:8">
      <c r="A388" s="7">
        <v>2.09</v>
      </c>
      <c r="B388" t="s">
        <v>184</v>
      </c>
      <c r="C388" s="1" t="s">
        <v>2702</v>
      </c>
      <c r="E388">
        <v>336</v>
      </c>
      <c r="F388" t="s">
        <v>184</v>
      </c>
      <c r="G388">
        <f t="shared" si="15"/>
        <v>702.24</v>
      </c>
      <c r="H388" s="57"/>
    </row>
    <row r="389" spans="1:8">
      <c r="A389" s="7">
        <v>26.4</v>
      </c>
      <c r="B389" t="s">
        <v>669</v>
      </c>
      <c r="C389" s="1" t="s">
        <v>1507</v>
      </c>
      <c r="E389">
        <v>27.1</v>
      </c>
      <c r="F389" t="s">
        <v>669</v>
      </c>
      <c r="G389">
        <f t="shared" si="15"/>
        <v>715.44</v>
      </c>
      <c r="H389" s="57"/>
    </row>
    <row r="390" spans="1:8">
      <c r="A390" s="7">
        <v>1</v>
      </c>
      <c r="B390" t="s">
        <v>619</v>
      </c>
      <c r="C390" s="1" t="s">
        <v>2703</v>
      </c>
      <c r="E390">
        <v>59.4</v>
      </c>
      <c r="F390" t="s">
        <v>619</v>
      </c>
      <c r="G390">
        <f t="shared" si="15"/>
        <v>59.4</v>
      </c>
      <c r="H390" s="57"/>
    </row>
    <row r="391" spans="1:8">
      <c r="A391" s="7">
        <v>1</v>
      </c>
      <c r="B391" t="s">
        <v>619</v>
      </c>
      <c r="C391" s="1" t="s">
        <v>2704</v>
      </c>
      <c r="E391">
        <v>13.1</v>
      </c>
      <c r="F391" t="s">
        <v>619</v>
      </c>
      <c r="G391">
        <f t="shared" si="15"/>
        <v>13.1</v>
      </c>
      <c r="H391" s="57"/>
    </row>
    <row r="392" spans="1:8">
      <c r="A392" s="7">
        <v>2.52</v>
      </c>
      <c r="B392" t="s">
        <v>1861</v>
      </c>
      <c r="C392" s="1" t="s">
        <v>1513</v>
      </c>
      <c r="E392">
        <f>G402</f>
        <v>1110</v>
      </c>
      <c r="F392" t="s">
        <v>1861</v>
      </c>
      <c r="G392">
        <f t="shared" si="15"/>
        <v>2797.2</v>
      </c>
      <c r="H392" s="57"/>
    </row>
    <row r="393" spans="1:8">
      <c r="C393" s="1" t="s">
        <v>1850</v>
      </c>
      <c r="E393" s="2"/>
      <c r="F393" t="s">
        <v>528</v>
      </c>
      <c r="G393">
        <v>4.26</v>
      </c>
      <c r="H393" s="57"/>
    </row>
    <row r="394" spans="1:8">
      <c r="C394" s="4" t="s">
        <v>1150</v>
      </c>
      <c r="G394">
        <f>SUM(G387:G393)</f>
        <v>10200.969999999999</v>
      </c>
      <c r="H394" s="57"/>
    </row>
    <row r="395" spans="1:8">
      <c r="C395" s="76" t="s">
        <v>2706</v>
      </c>
      <c r="D395" s="61" t="s">
        <v>1676</v>
      </c>
      <c r="E395" s="61"/>
      <c r="F395" s="9"/>
      <c r="G395" s="60">
        <f>G394/A392</f>
        <v>4048</v>
      </c>
      <c r="H395" s="57"/>
    </row>
    <row r="396" spans="1:8">
      <c r="A396" s="57"/>
      <c r="B396" s="57"/>
      <c r="C396" s="57"/>
      <c r="D396" s="57"/>
      <c r="E396" s="57"/>
      <c r="F396" s="57"/>
      <c r="G396" s="57"/>
      <c r="H396" s="57"/>
    </row>
    <row r="397" spans="1:8">
      <c r="A397" s="57"/>
      <c r="B397" s="57"/>
      <c r="C397" s="59" t="s">
        <v>2707</v>
      </c>
      <c r="D397" s="57"/>
      <c r="E397" s="57"/>
      <c r="F397" s="57"/>
      <c r="G397" s="57"/>
      <c r="H397" s="57"/>
    </row>
    <row r="398" spans="1:8">
      <c r="A398">
        <v>1</v>
      </c>
      <c r="B398" t="s">
        <v>701</v>
      </c>
      <c r="C398" s="1" t="s">
        <v>2708</v>
      </c>
      <c r="E398">
        <v>501</v>
      </c>
      <c r="F398" s="1" t="s">
        <v>701</v>
      </c>
      <c r="G398" s="18">
        <f>E398*A398</f>
        <v>501</v>
      </c>
      <c r="H398" s="57"/>
    </row>
    <row r="399" spans="1:8">
      <c r="A399">
        <v>1</v>
      </c>
      <c r="B399" t="s">
        <v>701</v>
      </c>
      <c r="C399" s="1" t="s">
        <v>2709</v>
      </c>
      <c r="E399">
        <v>355</v>
      </c>
      <c r="F399" s="1" t="s">
        <v>701</v>
      </c>
      <c r="G399" s="18">
        <f>E399*A399</f>
        <v>355</v>
      </c>
      <c r="H399" s="57"/>
    </row>
    <row r="400" spans="1:8">
      <c r="A400">
        <v>0.5</v>
      </c>
      <c r="B400" t="s">
        <v>701</v>
      </c>
      <c r="C400" s="1" t="s">
        <v>2710</v>
      </c>
      <c r="E400">
        <v>508</v>
      </c>
      <c r="F400" s="1" t="s">
        <v>701</v>
      </c>
      <c r="G400" s="18">
        <f>E400*A400</f>
        <v>254</v>
      </c>
      <c r="H400" s="57"/>
    </row>
    <row r="401" spans="1:8">
      <c r="C401" s="1"/>
      <c r="E401" s="1"/>
      <c r="F401" s="3"/>
      <c r="G401" s="57"/>
      <c r="H401" s="57"/>
    </row>
    <row r="402" spans="1:8">
      <c r="C402" s="1" t="s">
        <v>2372</v>
      </c>
      <c r="E402" s="1"/>
      <c r="F402" s="9"/>
      <c r="G402" s="61">
        <f>SUM(G398:G401)</f>
        <v>1110</v>
      </c>
      <c r="H402" s="57"/>
    </row>
    <row r="403" spans="1:8">
      <c r="E403" s="1"/>
      <c r="F403" s="3"/>
      <c r="G403" s="57"/>
      <c r="H403" s="57"/>
    </row>
    <row r="404" spans="1:8">
      <c r="A404" s="77"/>
      <c r="B404" s="77"/>
      <c r="C404" s="77"/>
      <c r="D404" s="77"/>
      <c r="E404" s="77"/>
      <c r="F404" s="77"/>
      <c r="G404" s="77"/>
      <c r="H404" s="77"/>
    </row>
    <row r="405" spans="1:8">
      <c r="A405" s="57"/>
      <c r="B405" s="57"/>
      <c r="C405" s="57"/>
      <c r="D405" s="57"/>
      <c r="E405" s="57"/>
      <c r="F405" s="57"/>
      <c r="G405" s="57"/>
      <c r="H405" s="57"/>
    </row>
    <row r="406" spans="1:8">
      <c r="A406" s="978" t="s">
        <v>2721</v>
      </c>
      <c r="B406" s="978"/>
      <c r="C406" s="978"/>
      <c r="D406" s="978"/>
      <c r="E406" s="978"/>
      <c r="F406" s="978"/>
      <c r="G406" s="978"/>
      <c r="H406" s="978"/>
    </row>
    <row r="407" spans="1:8">
      <c r="A407" s="57"/>
      <c r="B407" s="57" t="s">
        <v>2667</v>
      </c>
      <c r="C407" s="57" t="s">
        <v>2668</v>
      </c>
      <c r="D407" s="57"/>
      <c r="E407" s="57"/>
      <c r="F407" s="57"/>
      <c r="G407" s="57"/>
      <c r="H407" s="57"/>
    </row>
    <row r="408" spans="1:8">
      <c r="A408" s="57"/>
      <c r="B408" s="57"/>
      <c r="C408" s="57" t="s">
        <v>2669</v>
      </c>
      <c r="D408" s="57" t="s">
        <v>1676</v>
      </c>
      <c r="E408" s="57" t="s">
        <v>2722</v>
      </c>
      <c r="F408" s="57" t="s">
        <v>1676</v>
      </c>
      <c r="G408" s="18">
        <f>1*1*0.9*1.558</f>
        <v>1.4</v>
      </c>
      <c r="H408" s="57" t="s">
        <v>1341</v>
      </c>
    </row>
    <row r="409" spans="1:8">
      <c r="A409" s="57"/>
      <c r="B409" s="57" t="s">
        <v>2671</v>
      </c>
      <c r="C409" s="57" t="s">
        <v>2672</v>
      </c>
      <c r="D409" s="57"/>
      <c r="E409" s="57"/>
      <c r="F409" s="57"/>
      <c r="G409" s="57"/>
      <c r="H409" s="57"/>
    </row>
    <row r="410" spans="1:8">
      <c r="A410" s="57"/>
      <c r="B410" s="57"/>
      <c r="C410" s="57" t="s">
        <v>2673</v>
      </c>
      <c r="D410" s="57" t="s">
        <v>1676</v>
      </c>
      <c r="E410" s="57" t="s">
        <v>2674</v>
      </c>
      <c r="F410" s="57" t="s">
        <v>1676</v>
      </c>
      <c r="G410" s="18">
        <f>1*2*1.35*0.695</f>
        <v>1.88</v>
      </c>
      <c r="H410" s="57" t="s">
        <v>1341</v>
      </c>
    </row>
    <row r="411" spans="1:8">
      <c r="A411" s="57"/>
      <c r="B411" s="57" t="s">
        <v>2675</v>
      </c>
      <c r="C411" s="57" t="s">
        <v>2676</v>
      </c>
      <c r="D411" s="57"/>
      <c r="E411" s="57"/>
      <c r="F411" s="57"/>
      <c r="G411" s="18"/>
      <c r="H411" s="57"/>
    </row>
    <row r="412" spans="1:8">
      <c r="A412" s="57"/>
      <c r="B412" s="57"/>
      <c r="C412" s="57" t="s">
        <v>2677</v>
      </c>
      <c r="D412" s="57" t="s">
        <v>1676</v>
      </c>
      <c r="E412" s="57" t="s">
        <v>2723</v>
      </c>
      <c r="F412" s="57" t="s">
        <v>1676</v>
      </c>
      <c r="G412" s="18">
        <f>1*1*0.9*1.088</f>
        <v>0.98</v>
      </c>
      <c r="H412" s="57" t="s">
        <v>1341</v>
      </c>
    </row>
    <row r="413" spans="1:8">
      <c r="A413" s="57"/>
      <c r="B413" s="57" t="s">
        <v>2679</v>
      </c>
      <c r="C413" s="57" t="s">
        <v>2680</v>
      </c>
      <c r="D413" s="57"/>
      <c r="E413" s="57"/>
      <c r="F413" s="57"/>
      <c r="G413" s="18"/>
      <c r="H413" s="57"/>
    </row>
    <row r="414" spans="1:8">
      <c r="A414" s="57"/>
      <c r="B414" s="57"/>
      <c r="C414" s="57" t="s">
        <v>2681</v>
      </c>
      <c r="D414" s="57" t="s">
        <v>1676</v>
      </c>
      <c r="E414" s="57" t="s">
        <v>2682</v>
      </c>
      <c r="F414" s="57" t="s">
        <v>1676</v>
      </c>
      <c r="G414" s="18">
        <f>1*2*1.25*0.605</f>
        <v>1.51</v>
      </c>
      <c r="H414" s="57" t="s">
        <v>1341</v>
      </c>
    </row>
    <row r="415" spans="1:8">
      <c r="A415" s="57"/>
      <c r="B415" s="57" t="s">
        <v>2683</v>
      </c>
      <c r="C415" s="57" t="s">
        <v>2684</v>
      </c>
      <c r="D415" s="57"/>
      <c r="E415" s="57"/>
      <c r="F415" s="57"/>
      <c r="G415" s="18"/>
      <c r="H415" s="57"/>
    </row>
    <row r="416" spans="1:8">
      <c r="A416" s="57"/>
      <c r="B416" s="57"/>
      <c r="C416" s="57" t="s">
        <v>2685</v>
      </c>
      <c r="D416" s="57" t="s">
        <v>1676</v>
      </c>
      <c r="E416" s="57" t="s">
        <v>2686</v>
      </c>
      <c r="F416" s="57" t="s">
        <v>1676</v>
      </c>
      <c r="G416" s="18">
        <f>1*2*1.25*0.488</f>
        <v>1.22</v>
      </c>
      <c r="H416" s="57" t="s">
        <v>1341</v>
      </c>
    </row>
    <row r="417" spans="1:8">
      <c r="A417" s="57"/>
      <c r="B417" s="57" t="s">
        <v>2683</v>
      </c>
      <c r="C417" s="57" t="s">
        <v>2687</v>
      </c>
      <c r="D417" s="57"/>
      <c r="E417" s="57"/>
      <c r="F417" s="57"/>
      <c r="G417" s="18"/>
      <c r="H417" s="57"/>
    </row>
    <row r="418" spans="1:8">
      <c r="A418" s="57"/>
      <c r="B418" s="57"/>
      <c r="C418" s="57" t="s">
        <v>2688</v>
      </c>
      <c r="D418" s="57" t="s">
        <v>1676</v>
      </c>
      <c r="E418" s="57" t="s">
        <v>2724</v>
      </c>
      <c r="F418" s="57" t="s">
        <v>1676</v>
      </c>
      <c r="G418" s="18">
        <f>2*2*0.45*0.355</f>
        <v>0.64</v>
      </c>
      <c r="H418" s="57" t="s">
        <v>1341</v>
      </c>
    </row>
    <row r="419" spans="1:8">
      <c r="A419" s="57"/>
      <c r="B419" s="57"/>
      <c r="C419" s="57"/>
      <c r="D419" s="57"/>
      <c r="E419" s="57"/>
      <c r="F419" s="57"/>
      <c r="G419" s="18">
        <f>SUM(G408:G418)</f>
        <v>7.63</v>
      </c>
      <c r="H419" s="57" t="s">
        <v>1341</v>
      </c>
    </row>
    <row r="420" spans="1:8">
      <c r="A420" s="57"/>
      <c r="B420" s="57"/>
      <c r="C420" s="57"/>
      <c r="D420" s="57"/>
      <c r="E420" s="57" t="s">
        <v>2690</v>
      </c>
      <c r="F420" s="57" t="s">
        <v>1676</v>
      </c>
      <c r="G420" s="18">
        <f>G419*10%</f>
        <v>0.76</v>
      </c>
      <c r="H420" s="57" t="s">
        <v>1341</v>
      </c>
    </row>
    <row r="421" spans="1:8">
      <c r="A421" s="57"/>
      <c r="B421" s="57"/>
      <c r="C421" s="57"/>
      <c r="D421" s="57"/>
      <c r="E421" s="57"/>
      <c r="F421" s="57"/>
      <c r="G421" s="79">
        <f>SUM(G419:G420)</f>
        <v>8.39</v>
      </c>
      <c r="H421" s="57" t="s">
        <v>1341</v>
      </c>
    </row>
    <row r="422" spans="1:8">
      <c r="A422" s="57"/>
      <c r="B422" s="57"/>
      <c r="C422" s="57"/>
      <c r="D422" s="57"/>
      <c r="E422" s="57"/>
      <c r="F422" s="57"/>
      <c r="G422" s="57"/>
      <c r="H422" s="57"/>
    </row>
    <row r="423" spans="1:8">
      <c r="A423" s="57"/>
      <c r="B423" s="75" t="s">
        <v>2691</v>
      </c>
      <c r="C423" s="57" t="s">
        <v>2692</v>
      </c>
      <c r="D423" s="57"/>
      <c r="E423" s="57"/>
      <c r="F423" s="57"/>
      <c r="G423" s="57"/>
      <c r="H423" s="57"/>
    </row>
    <row r="424" spans="1:8" ht="17.25">
      <c r="A424" s="57"/>
      <c r="B424" s="57"/>
      <c r="C424" s="57" t="s">
        <v>2693</v>
      </c>
      <c r="D424" s="57" t="s">
        <v>1676</v>
      </c>
      <c r="E424" s="57" t="s">
        <v>2725</v>
      </c>
      <c r="F424" s="57" t="s">
        <v>1676</v>
      </c>
      <c r="G424" s="78">
        <f>1*2*0.45*1.25</f>
        <v>1.125</v>
      </c>
      <c r="H424" s="57" t="s">
        <v>2695</v>
      </c>
    </row>
    <row r="425" spans="1:8">
      <c r="A425" s="57"/>
      <c r="B425" s="57"/>
      <c r="C425" s="57"/>
      <c r="D425" s="57"/>
      <c r="E425" s="57"/>
      <c r="F425" s="57"/>
      <c r="G425" s="18"/>
      <c r="H425" s="57"/>
    </row>
    <row r="426" spans="1:8">
      <c r="A426" s="57"/>
      <c r="B426" s="75" t="s">
        <v>2696</v>
      </c>
      <c r="C426" s="57" t="s">
        <v>2358</v>
      </c>
      <c r="D426" s="57" t="s">
        <v>1676</v>
      </c>
      <c r="E426" s="57" t="s">
        <v>2726</v>
      </c>
      <c r="F426" s="57" t="s">
        <v>1676</v>
      </c>
      <c r="G426" s="18">
        <f>1*2*2*3.4</f>
        <v>13.6</v>
      </c>
      <c r="H426" s="57" t="s">
        <v>669</v>
      </c>
    </row>
    <row r="427" spans="1:8">
      <c r="A427" s="57"/>
      <c r="B427" s="57"/>
      <c r="C427" s="57"/>
      <c r="D427" s="57"/>
      <c r="E427" s="57"/>
      <c r="F427" s="57"/>
      <c r="G427" s="18"/>
      <c r="H427" s="57"/>
    </row>
    <row r="428" spans="1:8" ht="17.25">
      <c r="A428" s="57"/>
      <c r="B428" s="75" t="s">
        <v>2698</v>
      </c>
      <c r="C428" s="57" t="s">
        <v>2699</v>
      </c>
      <c r="D428" s="57" t="s">
        <v>1676</v>
      </c>
      <c r="E428" s="57" t="s">
        <v>2727</v>
      </c>
      <c r="F428" s="57" t="s">
        <v>1676</v>
      </c>
      <c r="G428" s="18">
        <f>0.9*1.35</f>
        <v>1.22</v>
      </c>
      <c r="H428" s="57" t="s">
        <v>2695</v>
      </c>
    </row>
    <row r="429" spans="1:8">
      <c r="A429" s="57"/>
      <c r="B429" s="57"/>
      <c r="C429" s="57"/>
      <c r="D429" s="57"/>
      <c r="E429" s="57"/>
      <c r="F429" s="57"/>
      <c r="G429" s="57"/>
      <c r="H429" s="57"/>
    </row>
    <row r="430" spans="1:8">
      <c r="A430" s="57"/>
      <c r="B430" s="57"/>
      <c r="C430" s="57"/>
      <c r="D430" s="57"/>
      <c r="E430" s="57"/>
      <c r="F430" s="57"/>
      <c r="G430" s="57"/>
      <c r="H430" s="57"/>
    </row>
    <row r="431" spans="1:8">
      <c r="A431" s="57"/>
      <c r="B431" s="57"/>
      <c r="C431" s="57"/>
      <c r="D431" s="57"/>
      <c r="E431" s="57"/>
      <c r="F431" s="57"/>
      <c r="G431" s="57"/>
      <c r="H431" s="57"/>
    </row>
    <row r="432" spans="1:8">
      <c r="A432" s="7">
        <f>G421</f>
        <v>8.39</v>
      </c>
      <c r="B432" t="s">
        <v>734</v>
      </c>
      <c r="C432" s="1" t="s">
        <v>2701</v>
      </c>
      <c r="E432">
        <v>287</v>
      </c>
      <c r="F432" t="s">
        <v>734</v>
      </c>
      <c r="G432">
        <f t="shared" ref="G432:G437" si="16">E432*A432</f>
        <v>2407.9299999999998</v>
      </c>
      <c r="H432" s="57"/>
    </row>
    <row r="433" spans="1:8">
      <c r="A433" s="7">
        <f>G424</f>
        <v>1.125</v>
      </c>
      <c r="B433" t="s">
        <v>184</v>
      </c>
      <c r="C433" s="1" t="s">
        <v>2702</v>
      </c>
      <c r="E433">
        <v>336</v>
      </c>
      <c r="F433" t="s">
        <v>184</v>
      </c>
      <c r="G433">
        <f t="shared" si="16"/>
        <v>378</v>
      </c>
      <c r="H433" s="57"/>
    </row>
    <row r="434" spans="1:8">
      <c r="A434" s="7">
        <v>13.6</v>
      </c>
      <c r="B434" t="s">
        <v>669</v>
      </c>
      <c r="C434" s="1" t="s">
        <v>1507</v>
      </c>
      <c r="E434">
        <v>27.1</v>
      </c>
      <c r="F434" t="s">
        <v>669</v>
      </c>
      <c r="G434">
        <f t="shared" si="16"/>
        <v>368.56</v>
      </c>
      <c r="H434" s="57"/>
    </row>
    <row r="435" spans="1:8">
      <c r="A435" s="7">
        <v>1</v>
      </c>
      <c r="B435" t="s">
        <v>619</v>
      </c>
      <c r="C435" s="1" t="s">
        <v>2703</v>
      </c>
      <c r="E435">
        <v>59.4</v>
      </c>
      <c r="F435" t="s">
        <v>619</v>
      </c>
      <c r="G435">
        <f t="shared" si="16"/>
        <v>59.4</v>
      </c>
      <c r="H435" s="57"/>
    </row>
    <row r="436" spans="1:8">
      <c r="A436" s="7">
        <v>1</v>
      </c>
      <c r="B436" t="s">
        <v>619</v>
      </c>
      <c r="C436" s="1" t="s">
        <v>2704</v>
      </c>
      <c r="E436">
        <v>13.1</v>
      </c>
      <c r="F436" t="s">
        <v>619</v>
      </c>
      <c r="G436">
        <f t="shared" si="16"/>
        <v>13.1</v>
      </c>
      <c r="H436" s="57"/>
    </row>
    <row r="437" spans="1:8">
      <c r="A437" s="7">
        <v>1.22</v>
      </c>
      <c r="B437" t="s">
        <v>1861</v>
      </c>
      <c r="C437" s="1" t="s">
        <v>1513</v>
      </c>
      <c r="E437">
        <f>G447</f>
        <v>1110</v>
      </c>
      <c r="F437" t="s">
        <v>1861</v>
      </c>
      <c r="G437">
        <f t="shared" si="16"/>
        <v>1354.2</v>
      </c>
      <c r="H437" s="57"/>
    </row>
    <row r="438" spans="1:8">
      <c r="C438" s="1" t="s">
        <v>1850</v>
      </c>
      <c r="E438" s="2"/>
      <c r="F438" t="s">
        <v>528</v>
      </c>
      <c r="G438" s="57">
        <v>4.7</v>
      </c>
      <c r="H438" s="57"/>
    </row>
    <row r="439" spans="1:8">
      <c r="C439" s="4" t="s">
        <v>2728</v>
      </c>
      <c r="G439">
        <f>SUM(G432:G438)</f>
        <v>4585.8900000000003</v>
      </c>
      <c r="H439" s="57"/>
    </row>
    <row r="440" spans="1:8">
      <c r="C440" s="76" t="s">
        <v>2706</v>
      </c>
      <c r="D440" s="61" t="s">
        <v>1676</v>
      </c>
      <c r="E440" s="61"/>
      <c r="F440" s="9"/>
      <c r="G440" s="60">
        <f>G439/A437</f>
        <v>3758.93</v>
      </c>
      <c r="H440" s="57"/>
    </row>
    <row r="441" spans="1:8">
      <c r="A441" s="57"/>
      <c r="B441" s="57"/>
      <c r="C441" s="57"/>
      <c r="D441" s="57"/>
      <c r="E441" s="57"/>
      <c r="F441" s="57"/>
      <c r="G441" s="57"/>
      <c r="H441" s="57"/>
    </row>
    <row r="442" spans="1:8">
      <c r="A442" s="57"/>
      <c r="B442" s="57"/>
      <c r="C442" s="59" t="s">
        <v>2707</v>
      </c>
      <c r="D442" s="57"/>
      <c r="E442" s="57"/>
      <c r="F442" s="57"/>
      <c r="G442" s="57"/>
      <c r="H442" s="57"/>
    </row>
    <row r="443" spans="1:8">
      <c r="A443">
        <v>1</v>
      </c>
      <c r="B443" t="s">
        <v>701</v>
      </c>
      <c r="C443" s="1" t="s">
        <v>2708</v>
      </c>
      <c r="E443">
        <v>501</v>
      </c>
      <c r="F443" s="1" t="s">
        <v>701</v>
      </c>
      <c r="G443" s="57">
        <f>E443*A443</f>
        <v>501</v>
      </c>
      <c r="H443" s="57"/>
    </row>
    <row r="444" spans="1:8">
      <c r="A444">
        <v>1</v>
      </c>
      <c r="B444" t="s">
        <v>701</v>
      </c>
      <c r="C444" s="1" t="s">
        <v>2709</v>
      </c>
      <c r="E444">
        <v>355</v>
      </c>
      <c r="F444" s="1" t="s">
        <v>701</v>
      </c>
      <c r="G444" s="57">
        <f>E444*A444</f>
        <v>355</v>
      </c>
      <c r="H444" s="57"/>
    </row>
    <row r="445" spans="1:8">
      <c r="A445">
        <v>0.5</v>
      </c>
      <c r="B445" t="s">
        <v>701</v>
      </c>
      <c r="C445" s="1" t="s">
        <v>2710</v>
      </c>
      <c r="E445">
        <v>508</v>
      </c>
      <c r="F445" s="1" t="s">
        <v>701</v>
      </c>
      <c r="G445" s="57">
        <f>E445*A445</f>
        <v>254</v>
      </c>
      <c r="H445" s="57"/>
    </row>
    <row r="446" spans="1:8">
      <c r="C446" s="1"/>
      <c r="E446" s="1"/>
      <c r="F446" s="3"/>
      <c r="G446" s="57"/>
      <c r="H446" s="57"/>
    </row>
    <row r="447" spans="1:8">
      <c r="C447" s="1" t="s">
        <v>2372</v>
      </c>
      <c r="E447" s="1"/>
      <c r="F447" s="9"/>
      <c r="G447" s="61">
        <f>SUM(G443:G446)</f>
        <v>1110</v>
      </c>
      <c r="H447" s="57"/>
    </row>
    <row r="448" spans="1:8">
      <c r="E448" s="1"/>
      <c r="F448" s="3"/>
      <c r="G448" s="57"/>
      <c r="H448" s="57"/>
    </row>
    <row r="449" spans="1:8">
      <c r="A449" s="77"/>
      <c r="B449" s="77"/>
      <c r="C449" s="77"/>
      <c r="D449" s="77"/>
      <c r="E449" s="77"/>
      <c r="F449" s="77"/>
      <c r="G449" s="77"/>
      <c r="H449" s="77"/>
    </row>
    <row r="450" spans="1:8">
      <c r="A450" s="57"/>
      <c r="B450" s="57"/>
      <c r="C450" s="57"/>
      <c r="D450" s="57"/>
      <c r="E450" s="57"/>
      <c r="F450" s="57"/>
      <c r="G450" s="57"/>
      <c r="H450" s="57"/>
    </row>
    <row r="451" spans="1:8">
      <c r="A451" s="978" t="s">
        <v>2729</v>
      </c>
      <c r="B451" s="978"/>
      <c r="C451" s="978"/>
      <c r="D451" s="978"/>
      <c r="E451" s="978"/>
      <c r="F451" s="978"/>
      <c r="G451" s="978"/>
      <c r="H451" s="978"/>
    </row>
    <row r="452" spans="1:8">
      <c r="A452" s="57"/>
      <c r="B452" s="57" t="s">
        <v>2667</v>
      </c>
      <c r="C452" s="57" t="s">
        <v>2668</v>
      </c>
      <c r="D452" s="57"/>
      <c r="E452" s="57"/>
      <c r="F452" s="57"/>
      <c r="G452" s="57"/>
      <c r="H452" s="57"/>
    </row>
    <row r="453" spans="1:8">
      <c r="A453" s="57"/>
      <c r="B453" s="57"/>
      <c r="C453" s="57" t="s">
        <v>2669</v>
      </c>
      <c r="D453" s="57" t="s">
        <v>1676</v>
      </c>
      <c r="E453" s="57" t="s">
        <v>2712</v>
      </c>
      <c r="F453" s="57" t="s">
        <v>1676</v>
      </c>
      <c r="G453" s="18">
        <f>1*2*2.4*1.558</f>
        <v>7.48</v>
      </c>
      <c r="H453" s="57" t="s">
        <v>1341</v>
      </c>
    </row>
    <row r="454" spans="1:8">
      <c r="A454" s="57"/>
      <c r="B454" s="57" t="s">
        <v>2671</v>
      </c>
      <c r="C454" s="57" t="s">
        <v>2672</v>
      </c>
      <c r="D454" s="57"/>
      <c r="E454" s="57"/>
      <c r="F454" s="57"/>
      <c r="G454" s="57"/>
      <c r="H454" s="57"/>
    </row>
    <row r="455" spans="1:8">
      <c r="A455" s="57"/>
      <c r="B455" s="57"/>
      <c r="C455" s="57" t="s">
        <v>2673</v>
      </c>
      <c r="D455" s="57" t="s">
        <v>1676</v>
      </c>
      <c r="E455" s="57" t="s">
        <v>2730</v>
      </c>
      <c r="F455" s="57" t="s">
        <v>1676</v>
      </c>
      <c r="G455" s="18">
        <f>1*2*1.8*0.695</f>
        <v>2.5</v>
      </c>
      <c r="H455" s="57" t="s">
        <v>1341</v>
      </c>
    </row>
    <row r="456" spans="1:8">
      <c r="A456" s="57"/>
      <c r="B456" s="57" t="s">
        <v>2675</v>
      </c>
      <c r="C456" s="57" t="s">
        <v>2676</v>
      </c>
      <c r="D456" s="57"/>
      <c r="E456" s="57"/>
      <c r="F456" s="57"/>
      <c r="G456" s="18"/>
      <c r="H456" s="57"/>
    </row>
    <row r="457" spans="1:8">
      <c r="A457" s="57"/>
      <c r="B457" s="57"/>
      <c r="C457" s="57" t="s">
        <v>2677</v>
      </c>
      <c r="D457" s="57" t="s">
        <v>1676</v>
      </c>
      <c r="E457" s="57" t="s">
        <v>2714</v>
      </c>
      <c r="F457" s="57" t="s">
        <v>1676</v>
      </c>
      <c r="G457" s="18">
        <f>1*1*2.4*1.088</f>
        <v>2.61</v>
      </c>
      <c r="H457" s="57" t="s">
        <v>1341</v>
      </c>
    </row>
    <row r="458" spans="1:8">
      <c r="A458" s="57"/>
      <c r="B458" s="57" t="s">
        <v>2671</v>
      </c>
      <c r="C458" s="57" t="s">
        <v>2672</v>
      </c>
      <c r="D458" s="57"/>
      <c r="E458" s="57"/>
      <c r="F458" s="57"/>
      <c r="G458" s="57"/>
      <c r="H458" s="57"/>
    </row>
    <row r="459" spans="1:8">
      <c r="A459" s="57"/>
      <c r="B459" s="57"/>
      <c r="C459" s="57" t="s">
        <v>2731</v>
      </c>
      <c r="D459" s="57" t="s">
        <v>1676</v>
      </c>
      <c r="E459" s="57" t="s">
        <v>2732</v>
      </c>
      <c r="F459" s="57" t="s">
        <v>1676</v>
      </c>
      <c r="G459" s="18">
        <f>1*2*1.2*0.695</f>
        <v>1.67</v>
      </c>
      <c r="H459" s="57" t="s">
        <v>1341</v>
      </c>
    </row>
    <row r="460" spans="1:8">
      <c r="A460" s="57"/>
      <c r="B460" s="57" t="s">
        <v>2679</v>
      </c>
      <c r="C460" s="57" t="s">
        <v>2680</v>
      </c>
      <c r="D460" s="57"/>
      <c r="E460" s="57"/>
      <c r="F460" s="57"/>
      <c r="G460" s="18"/>
      <c r="H460" s="57"/>
    </row>
    <row r="461" spans="1:8">
      <c r="A461" s="57"/>
      <c r="B461" s="57"/>
      <c r="C461" s="57" t="s">
        <v>2681</v>
      </c>
      <c r="D461" s="57" t="s">
        <v>1676</v>
      </c>
      <c r="E461" s="57" t="s">
        <v>2733</v>
      </c>
      <c r="F461" s="57" t="s">
        <v>1676</v>
      </c>
      <c r="G461" s="18">
        <f>1*4*1.1*0.605</f>
        <v>2.66</v>
      </c>
      <c r="H461" s="57" t="s">
        <v>1341</v>
      </c>
    </row>
    <row r="462" spans="1:8">
      <c r="A462" s="57"/>
      <c r="B462" s="57" t="s">
        <v>2683</v>
      </c>
      <c r="C462" s="57" t="s">
        <v>2684</v>
      </c>
      <c r="D462" s="57"/>
      <c r="E462" s="57"/>
      <c r="F462" s="57"/>
      <c r="G462" s="18"/>
      <c r="H462" s="57"/>
    </row>
    <row r="463" spans="1:8">
      <c r="A463" s="57"/>
      <c r="B463" s="57"/>
      <c r="C463" s="57" t="s">
        <v>2685</v>
      </c>
      <c r="D463" s="57" t="s">
        <v>1676</v>
      </c>
      <c r="E463" s="57" t="s">
        <v>2734</v>
      </c>
      <c r="F463" s="57" t="s">
        <v>1676</v>
      </c>
      <c r="G463" s="18">
        <f>1*4*1.1*0.488</f>
        <v>2.15</v>
      </c>
      <c r="H463" s="57" t="s">
        <v>1341</v>
      </c>
    </row>
    <row r="464" spans="1:8">
      <c r="A464" s="57"/>
      <c r="B464" s="57" t="s">
        <v>2735</v>
      </c>
      <c r="C464" s="57" t="s">
        <v>2687</v>
      </c>
      <c r="D464" s="57"/>
      <c r="E464" s="57"/>
      <c r="F464" s="57"/>
      <c r="G464" s="18"/>
      <c r="H464" s="57"/>
    </row>
    <row r="465" spans="1:8">
      <c r="A465" s="57"/>
      <c r="B465" s="57"/>
      <c r="C465" s="57" t="s">
        <v>2688</v>
      </c>
      <c r="D465" s="57" t="s">
        <v>1676</v>
      </c>
      <c r="E465" s="57" t="s">
        <v>2717</v>
      </c>
      <c r="F465" s="57" t="s">
        <v>1676</v>
      </c>
      <c r="G465" s="18">
        <f>2*4*0.55*0.355</f>
        <v>1.56</v>
      </c>
      <c r="H465" s="57" t="s">
        <v>1341</v>
      </c>
    </row>
    <row r="466" spans="1:8">
      <c r="A466" s="57"/>
      <c r="B466" s="57"/>
      <c r="C466" s="57"/>
      <c r="D466" s="57"/>
      <c r="E466" s="57"/>
      <c r="F466" s="57"/>
      <c r="G466" s="18">
        <f>SUM(G453:G465)</f>
        <v>20.63</v>
      </c>
      <c r="H466" s="57" t="s">
        <v>1341</v>
      </c>
    </row>
    <row r="467" spans="1:8">
      <c r="A467" s="57"/>
      <c r="B467" s="57"/>
      <c r="C467" s="57"/>
      <c r="D467" s="57"/>
      <c r="E467" s="57" t="s">
        <v>2690</v>
      </c>
      <c r="F467" s="57" t="s">
        <v>1676</v>
      </c>
      <c r="G467" s="18">
        <f>G466*10%</f>
        <v>2.06</v>
      </c>
      <c r="H467" s="57" t="s">
        <v>1341</v>
      </c>
    </row>
    <row r="468" spans="1:8">
      <c r="A468" s="57"/>
      <c r="B468" s="57"/>
      <c r="C468" s="57"/>
      <c r="D468" s="57"/>
      <c r="E468" s="57"/>
      <c r="F468" s="57"/>
      <c r="G468" s="60">
        <f>SUM(G466:G467)</f>
        <v>22.69</v>
      </c>
      <c r="H468" s="57" t="s">
        <v>1341</v>
      </c>
    </row>
    <row r="469" spans="1:8">
      <c r="A469" s="57"/>
      <c r="B469" s="57"/>
      <c r="C469" s="57"/>
      <c r="D469" s="57"/>
      <c r="E469" s="57"/>
      <c r="F469" s="57"/>
      <c r="G469" s="57"/>
      <c r="H469" s="57"/>
    </row>
    <row r="470" spans="1:8">
      <c r="A470" s="57"/>
      <c r="B470" s="75" t="s">
        <v>2691</v>
      </c>
      <c r="C470" s="57" t="s">
        <v>2692</v>
      </c>
      <c r="D470" s="57"/>
      <c r="E470" s="57"/>
      <c r="F470" s="57"/>
      <c r="G470" s="57"/>
      <c r="H470" s="57"/>
    </row>
    <row r="471" spans="1:8" ht="17.25">
      <c r="A471" s="57"/>
      <c r="B471" s="57"/>
      <c r="C471" s="57" t="s">
        <v>2693</v>
      </c>
      <c r="D471" s="57" t="s">
        <v>1676</v>
      </c>
      <c r="E471" s="57" t="s">
        <v>2736</v>
      </c>
      <c r="F471" s="57" t="s">
        <v>1676</v>
      </c>
      <c r="G471" s="18">
        <f>1*4*0.55*1.1</f>
        <v>2.42</v>
      </c>
      <c r="H471" s="57" t="s">
        <v>2695</v>
      </c>
    </row>
    <row r="472" spans="1:8" ht="17.25">
      <c r="A472" s="57"/>
      <c r="B472" s="57"/>
      <c r="C472" s="57" t="s">
        <v>2737</v>
      </c>
      <c r="D472" s="57" t="s">
        <v>1676</v>
      </c>
      <c r="E472" s="57" t="s">
        <v>2738</v>
      </c>
      <c r="F472" s="57" t="s">
        <v>1676</v>
      </c>
      <c r="G472" s="18">
        <f>1*1*2.3*0.6</f>
        <v>1.38</v>
      </c>
      <c r="H472" s="57" t="s">
        <v>2695</v>
      </c>
    </row>
    <row r="473" spans="1:8" ht="17.25">
      <c r="A473" s="57"/>
      <c r="B473" s="57"/>
      <c r="C473" s="57"/>
      <c r="D473" s="57"/>
      <c r="E473" s="57"/>
      <c r="F473" s="57"/>
      <c r="G473" s="60">
        <f>SUM(G471:G472)</f>
        <v>3.8</v>
      </c>
      <c r="H473" s="59" t="s">
        <v>2739</v>
      </c>
    </row>
    <row r="474" spans="1:8">
      <c r="A474" s="57"/>
      <c r="B474" s="57"/>
      <c r="C474" s="57"/>
      <c r="D474" s="57"/>
      <c r="E474" s="57"/>
      <c r="F474" s="57"/>
      <c r="G474" s="60"/>
      <c r="H474" s="59"/>
    </row>
    <row r="475" spans="1:8">
      <c r="A475" s="57"/>
      <c r="B475" s="75" t="s">
        <v>2696</v>
      </c>
      <c r="C475" s="57" t="s">
        <v>2358</v>
      </c>
      <c r="D475" s="57" t="s">
        <v>1676</v>
      </c>
      <c r="E475" s="57" t="s">
        <v>2740</v>
      </c>
      <c r="F475" s="57" t="s">
        <v>1676</v>
      </c>
      <c r="G475" s="18">
        <f>1*2*4*3.3</f>
        <v>26.4</v>
      </c>
      <c r="H475" s="57" t="s">
        <v>669</v>
      </c>
    </row>
    <row r="476" spans="1:8">
      <c r="A476" s="57"/>
      <c r="B476" s="75"/>
      <c r="C476" s="57"/>
      <c r="D476" s="57" t="s">
        <v>1676</v>
      </c>
      <c r="E476" s="57" t="s">
        <v>2741</v>
      </c>
      <c r="F476" s="57" t="s">
        <v>1676</v>
      </c>
      <c r="G476" s="18">
        <f>1*2*1*5.8</f>
        <v>11.6</v>
      </c>
      <c r="H476" s="57" t="s">
        <v>669</v>
      </c>
    </row>
    <row r="477" spans="1:8">
      <c r="A477" s="57"/>
      <c r="B477" s="75"/>
      <c r="C477" s="57"/>
      <c r="D477" s="57"/>
      <c r="E477" s="57"/>
      <c r="F477" s="57"/>
      <c r="G477" s="60">
        <f>SUM(G475:G476)</f>
        <v>38</v>
      </c>
      <c r="H477" s="59" t="s">
        <v>669</v>
      </c>
    </row>
    <row r="478" spans="1:8">
      <c r="A478" s="57"/>
      <c r="B478" s="57"/>
      <c r="C478" s="57"/>
      <c r="D478" s="57"/>
      <c r="E478" s="57"/>
      <c r="F478" s="57"/>
      <c r="G478" s="18"/>
      <c r="H478" s="57"/>
    </row>
    <row r="479" spans="1:8" ht="17.25">
      <c r="A479" s="57"/>
      <c r="B479" s="75" t="s">
        <v>2698</v>
      </c>
      <c r="C479" s="57" t="s">
        <v>2699</v>
      </c>
      <c r="D479" s="57" t="s">
        <v>1676</v>
      </c>
      <c r="E479" s="57" t="s">
        <v>2742</v>
      </c>
      <c r="F479" s="57" t="s">
        <v>1676</v>
      </c>
      <c r="G479" s="18">
        <f>2.4*1.8</f>
        <v>4.32</v>
      </c>
      <c r="H479" s="57" t="s">
        <v>2695</v>
      </c>
    </row>
    <row r="480" spans="1:8">
      <c r="A480" s="57"/>
      <c r="B480" s="57"/>
      <c r="C480" s="57"/>
      <c r="D480" s="57"/>
      <c r="E480" s="57"/>
      <c r="F480" s="57"/>
      <c r="G480" s="57"/>
      <c r="H480" s="57"/>
    </row>
    <row r="481" spans="1:8">
      <c r="A481" s="57"/>
      <c r="B481" s="57"/>
      <c r="C481" s="57"/>
      <c r="D481" s="57"/>
      <c r="E481" s="57"/>
      <c r="F481" s="57"/>
      <c r="G481" s="57"/>
      <c r="H481" s="57"/>
    </row>
    <row r="482" spans="1:8">
      <c r="A482" s="57"/>
      <c r="B482" s="57"/>
      <c r="C482" s="57"/>
      <c r="D482" s="57"/>
      <c r="E482" s="57"/>
      <c r="F482" s="57"/>
      <c r="G482" s="57"/>
      <c r="H482" s="57"/>
    </row>
    <row r="483" spans="1:8">
      <c r="A483" s="7">
        <f>G468</f>
        <v>22.69</v>
      </c>
      <c r="B483" t="s">
        <v>734</v>
      </c>
      <c r="C483" s="1" t="s">
        <v>2701</v>
      </c>
      <c r="E483">
        <v>287</v>
      </c>
      <c r="F483" t="s">
        <v>734</v>
      </c>
      <c r="G483">
        <f t="shared" ref="G483:G488" si="17">E483*A483</f>
        <v>6512.03</v>
      </c>
      <c r="H483" s="57"/>
    </row>
    <row r="484" spans="1:8">
      <c r="A484" s="7">
        <f>G473</f>
        <v>3.8</v>
      </c>
      <c r="B484" t="s">
        <v>184</v>
      </c>
      <c r="C484" s="1" t="s">
        <v>2702</v>
      </c>
      <c r="E484">
        <v>336</v>
      </c>
      <c r="F484" t="s">
        <v>184</v>
      </c>
      <c r="G484">
        <f t="shared" si="17"/>
        <v>1276.8</v>
      </c>
      <c r="H484" s="57"/>
    </row>
    <row r="485" spans="1:8">
      <c r="A485" s="7">
        <v>38</v>
      </c>
      <c r="B485" t="s">
        <v>669</v>
      </c>
      <c r="C485" s="1" t="s">
        <v>1507</v>
      </c>
      <c r="E485">
        <v>27.1</v>
      </c>
      <c r="F485" t="s">
        <v>669</v>
      </c>
      <c r="G485">
        <f t="shared" si="17"/>
        <v>1029.8</v>
      </c>
      <c r="H485" s="57"/>
    </row>
    <row r="486" spans="1:8">
      <c r="A486" s="7">
        <v>1</v>
      </c>
      <c r="B486" t="s">
        <v>619</v>
      </c>
      <c r="C486" s="1" t="s">
        <v>2703</v>
      </c>
      <c r="E486">
        <v>59.4</v>
      </c>
      <c r="F486" t="s">
        <v>619</v>
      </c>
      <c r="G486">
        <f t="shared" si="17"/>
        <v>59.4</v>
      </c>
      <c r="H486" s="57"/>
    </row>
    <row r="487" spans="1:8">
      <c r="A487" s="7">
        <v>1</v>
      </c>
      <c r="B487" t="s">
        <v>619</v>
      </c>
      <c r="C487" s="1" t="s">
        <v>2704</v>
      </c>
      <c r="E487">
        <v>13.1</v>
      </c>
      <c r="F487" t="s">
        <v>619</v>
      </c>
      <c r="G487">
        <f t="shared" si="17"/>
        <v>13.1</v>
      </c>
      <c r="H487" s="57"/>
    </row>
    <row r="488" spans="1:8">
      <c r="A488" s="7">
        <v>4.32</v>
      </c>
      <c r="B488" t="s">
        <v>1861</v>
      </c>
      <c r="C488" s="1" t="s">
        <v>1513</v>
      </c>
      <c r="E488">
        <f>G498</f>
        <v>1110</v>
      </c>
      <c r="F488" t="s">
        <v>1861</v>
      </c>
      <c r="G488">
        <f t="shared" si="17"/>
        <v>4795.2</v>
      </c>
      <c r="H488" s="57"/>
    </row>
    <row r="489" spans="1:8">
      <c r="C489" s="1" t="s">
        <v>1850</v>
      </c>
      <c r="E489" s="2"/>
      <c r="F489" t="s">
        <v>528</v>
      </c>
      <c r="G489" s="57">
        <v>4.7</v>
      </c>
      <c r="H489" s="57"/>
    </row>
    <row r="490" spans="1:8">
      <c r="C490" s="4" t="s">
        <v>2743</v>
      </c>
      <c r="G490">
        <f>SUM(G483:G489)</f>
        <v>13691.03</v>
      </c>
      <c r="H490" s="57"/>
    </row>
    <row r="491" spans="1:8">
      <c r="C491" s="76" t="s">
        <v>2706</v>
      </c>
      <c r="D491" s="61" t="s">
        <v>1676</v>
      </c>
      <c r="E491" s="61"/>
      <c r="F491" s="9"/>
      <c r="G491" s="60">
        <f>G490/A488</f>
        <v>3169.22</v>
      </c>
      <c r="H491" s="57"/>
    </row>
    <row r="492" spans="1:8">
      <c r="A492" s="57"/>
      <c r="B492" s="57"/>
      <c r="C492" s="57"/>
      <c r="D492" s="57"/>
      <c r="E492" s="57"/>
      <c r="F492" s="57"/>
      <c r="G492" s="57"/>
      <c r="H492" s="57"/>
    </row>
    <row r="493" spans="1:8">
      <c r="A493" s="57"/>
      <c r="B493" s="57"/>
      <c r="C493" s="59" t="s">
        <v>2707</v>
      </c>
      <c r="D493" s="57"/>
      <c r="E493" s="57"/>
      <c r="F493" s="57"/>
      <c r="G493" s="57"/>
      <c r="H493" s="57"/>
    </row>
    <row r="494" spans="1:8">
      <c r="A494">
        <v>1</v>
      </c>
      <c r="B494" t="s">
        <v>701</v>
      </c>
      <c r="C494" s="1" t="s">
        <v>2708</v>
      </c>
      <c r="E494">
        <v>501</v>
      </c>
      <c r="F494" s="1" t="s">
        <v>701</v>
      </c>
      <c r="G494" s="57">
        <f>E494*A494</f>
        <v>501</v>
      </c>
      <c r="H494" s="57"/>
    </row>
    <row r="495" spans="1:8">
      <c r="A495">
        <v>1</v>
      </c>
      <c r="B495" t="s">
        <v>701</v>
      </c>
      <c r="C495" s="1" t="s">
        <v>2709</v>
      </c>
      <c r="E495">
        <v>355</v>
      </c>
      <c r="F495" s="1" t="s">
        <v>701</v>
      </c>
      <c r="G495" s="57">
        <f>E495*A495</f>
        <v>355</v>
      </c>
      <c r="H495" s="57"/>
    </row>
    <row r="496" spans="1:8">
      <c r="A496">
        <v>0.5</v>
      </c>
      <c r="B496" t="s">
        <v>701</v>
      </c>
      <c r="C496" s="1" t="s">
        <v>2710</v>
      </c>
      <c r="E496">
        <v>508</v>
      </c>
      <c r="F496" s="1" t="s">
        <v>701</v>
      </c>
      <c r="G496" s="57">
        <f>E496*A496</f>
        <v>254</v>
      </c>
      <c r="H496" s="57"/>
    </row>
    <row r="497" spans="1:8">
      <c r="C497" s="1"/>
      <c r="E497" s="1"/>
      <c r="F497" s="3"/>
      <c r="G497" s="57"/>
      <c r="H497" s="57"/>
    </row>
    <row r="498" spans="1:8">
      <c r="C498" s="1" t="s">
        <v>2372</v>
      </c>
      <c r="E498" s="1"/>
      <c r="F498" s="9"/>
      <c r="G498" s="61">
        <f>SUM(G494:G497)</f>
        <v>1110</v>
      </c>
      <c r="H498" s="57"/>
    </row>
    <row r="499" spans="1:8">
      <c r="E499" s="1"/>
      <c r="F499" s="3"/>
      <c r="G499" s="57"/>
      <c r="H499" s="57"/>
    </row>
    <row r="500" spans="1:8">
      <c r="A500" s="77"/>
      <c r="B500" s="77"/>
      <c r="C500" s="77"/>
      <c r="D500" s="77"/>
      <c r="E500" s="77"/>
      <c r="F500" s="77"/>
      <c r="G500" s="77"/>
      <c r="H500" s="77"/>
    </row>
    <row r="501" spans="1:8" ht="30" customHeight="1">
      <c r="A501" s="57"/>
      <c r="B501" s="57"/>
      <c r="C501" s="56" t="s">
        <v>2753</v>
      </c>
      <c r="D501" s="57"/>
      <c r="E501" s="57"/>
      <c r="F501" s="57"/>
      <c r="G501" s="57"/>
      <c r="H501" s="57"/>
    </row>
    <row r="502" spans="1:8">
      <c r="A502" s="57"/>
      <c r="B502" s="57" t="s">
        <v>2667</v>
      </c>
      <c r="C502" s="57" t="s">
        <v>2668</v>
      </c>
      <c r="D502" s="57"/>
      <c r="E502" s="57"/>
      <c r="F502" s="57"/>
      <c r="G502" s="57"/>
      <c r="H502" s="57"/>
    </row>
    <row r="503" spans="1:8">
      <c r="A503" s="57"/>
      <c r="B503" s="57"/>
      <c r="C503" s="57" t="s">
        <v>2744</v>
      </c>
      <c r="D503" s="57" t="s">
        <v>1676</v>
      </c>
      <c r="E503" s="57" t="s">
        <v>2745</v>
      </c>
      <c r="F503" s="57" t="s">
        <v>1676</v>
      </c>
      <c r="G503" s="18">
        <f>1*2*0.6</f>
        <v>1.2</v>
      </c>
      <c r="H503" s="57" t="s">
        <v>1341</v>
      </c>
    </row>
    <row r="504" spans="1:8">
      <c r="A504" s="57"/>
      <c r="B504" s="57"/>
      <c r="C504" s="57" t="s">
        <v>2746</v>
      </c>
      <c r="D504" s="57" t="s">
        <v>1676</v>
      </c>
      <c r="E504" s="57" t="s">
        <v>2747</v>
      </c>
      <c r="F504" s="57" t="s">
        <v>1676</v>
      </c>
      <c r="G504" s="18">
        <f>1*2*0.9</f>
        <v>1.8</v>
      </c>
      <c r="H504" s="57" t="s">
        <v>1341</v>
      </c>
    </row>
    <row r="505" spans="1:8">
      <c r="A505" s="57"/>
      <c r="B505" s="57"/>
      <c r="C505" s="57"/>
      <c r="D505" s="57"/>
      <c r="E505" s="57"/>
      <c r="F505" s="57"/>
      <c r="G505" s="18">
        <f>SUM(G503:G504)</f>
        <v>3</v>
      </c>
      <c r="H505" s="57" t="s">
        <v>1341</v>
      </c>
    </row>
    <row r="506" spans="1:8">
      <c r="A506" s="57"/>
      <c r="B506" s="57"/>
      <c r="C506" s="57"/>
      <c r="D506" s="57" t="s">
        <v>1676</v>
      </c>
      <c r="E506" s="57" t="s">
        <v>2748</v>
      </c>
      <c r="F506" s="57" t="s">
        <v>1676</v>
      </c>
      <c r="G506" s="19">
        <f>3*1.558</f>
        <v>4.67</v>
      </c>
      <c r="H506" s="57" t="s">
        <v>1341</v>
      </c>
    </row>
    <row r="507" spans="1:8">
      <c r="A507" s="57"/>
      <c r="B507" s="57"/>
      <c r="C507" s="57"/>
      <c r="D507" s="57"/>
      <c r="E507" s="57"/>
      <c r="F507" s="57"/>
      <c r="G507" s="18"/>
      <c r="H507" s="57"/>
    </row>
    <row r="508" spans="1:8">
      <c r="A508" s="57"/>
      <c r="B508" s="57"/>
      <c r="C508" s="57" t="s">
        <v>2749</v>
      </c>
      <c r="D508" s="57" t="s">
        <v>1676</v>
      </c>
      <c r="E508" s="57" t="s">
        <v>2750</v>
      </c>
      <c r="F508" s="57" t="s">
        <v>1676</v>
      </c>
      <c r="G508" s="19">
        <f>0.9*0.6</f>
        <v>0.54</v>
      </c>
      <c r="H508" s="57" t="s">
        <v>2751</v>
      </c>
    </row>
    <row r="509" spans="1:8">
      <c r="A509" s="57"/>
      <c r="B509" s="57"/>
      <c r="C509" s="57"/>
      <c r="D509" s="57"/>
      <c r="E509" s="57"/>
      <c r="F509" s="57"/>
      <c r="G509" s="19"/>
      <c r="H509" s="57"/>
    </row>
    <row r="510" spans="1:8">
      <c r="A510" s="57"/>
      <c r="B510" s="57"/>
      <c r="C510" s="57" t="s">
        <v>736</v>
      </c>
      <c r="D510" s="57" t="s">
        <v>1676</v>
      </c>
      <c r="E510" s="57" t="s">
        <v>2752</v>
      </c>
      <c r="F510" s="57" t="s">
        <v>1676</v>
      </c>
      <c r="G510" s="19">
        <f>0.9*0.6</f>
        <v>0.54</v>
      </c>
      <c r="H510" s="57" t="s">
        <v>2751</v>
      </c>
    </row>
    <row r="511" spans="1:8">
      <c r="A511" s="57"/>
      <c r="B511" s="57"/>
      <c r="C511" s="57"/>
      <c r="D511" s="57"/>
      <c r="E511" s="57"/>
      <c r="F511" s="57"/>
      <c r="G511" s="57"/>
      <c r="H511" s="57"/>
    </row>
    <row r="512" spans="1:8">
      <c r="A512" s="57"/>
      <c r="B512" s="57"/>
      <c r="C512" s="57"/>
      <c r="D512" s="57"/>
      <c r="E512" s="57"/>
      <c r="F512" s="57"/>
      <c r="G512" s="57"/>
      <c r="H512" s="57"/>
    </row>
    <row r="513" spans="1:8">
      <c r="A513" s="57"/>
      <c r="B513" s="57"/>
      <c r="C513" s="57"/>
      <c r="D513" s="57"/>
      <c r="E513" s="57"/>
      <c r="F513" s="57"/>
      <c r="G513" s="57"/>
      <c r="H513" s="57"/>
    </row>
    <row r="514" spans="1:8" ht="19.5">
      <c r="D514" s="56"/>
      <c r="E514" s="56"/>
      <c r="F514" s="56"/>
      <c r="G514" s="57"/>
      <c r="H514" s="57"/>
    </row>
    <row r="515" spans="1:8">
      <c r="A515" s="7">
        <f>G506</f>
        <v>4.67</v>
      </c>
      <c r="B515" t="s">
        <v>734</v>
      </c>
      <c r="C515" s="1" t="s">
        <v>1505</v>
      </c>
      <c r="E515">
        <v>287</v>
      </c>
      <c r="F515" t="s">
        <v>734</v>
      </c>
      <c r="G515">
        <f>E515*A515</f>
        <v>1340.29</v>
      </c>
      <c r="H515" s="57"/>
    </row>
    <row r="516" spans="1:8">
      <c r="A516" s="7">
        <f>G508</f>
        <v>0.54</v>
      </c>
      <c r="B516" t="s">
        <v>184</v>
      </c>
      <c r="C516" s="1" t="s">
        <v>1506</v>
      </c>
      <c r="E516">
        <v>208.8</v>
      </c>
      <c r="F516" t="s">
        <v>184</v>
      </c>
      <c r="G516">
        <f>E516*A516</f>
        <v>112.75</v>
      </c>
      <c r="H516" s="57"/>
    </row>
    <row r="517" spans="1:8">
      <c r="A517" s="7">
        <f>G510</f>
        <v>0.54</v>
      </c>
      <c r="B517" t="s">
        <v>184</v>
      </c>
      <c r="C517" s="1" t="s">
        <v>1513</v>
      </c>
      <c r="E517">
        <f>E488</f>
        <v>1110</v>
      </c>
      <c r="F517" t="s">
        <v>734</v>
      </c>
      <c r="G517">
        <f>E517*A517</f>
        <v>599.4</v>
      </c>
      <c r="H517" s="57"/>
    </row>
    <row r="518" spans="1:8">
      <c r="A518" s="7"/>
      <c r="C518" s="1" t="s">
        <v>1514</v>
      </c>
      <c r="E518" s="2"/>
      <c r="G518" s="57"/>
      <c r="H518" s="57"/>
    </row>
    <row r="519" spans="1:8">
      <c r="A519" s="7"/>
      <c r="C519" s="4" t="s">
        <v>2754</v>
      </c>
      <c r="G519" s="61">
        <f>SUM(G515:G518)</f>
        <v>2052.44</v>
      </c>
      <c r="H519" s="57"/>
    </row>
    <row r="520" spans="1:8">
      <c r="A520" s="7"/>
      <c r="C520" s="76" t="s">
        <v>2706</v>
      </c>
      <c r="F520" s="9"/>
      <c r="G520" s="60">
        <f>G519/A517</f>
        <v>3800.81</v>
      </c>
      <c r="H520" s="57"/>
    </row>
    <row r="521" spans="1:8">
      <c r="A521" s="57"/>
      <c r="B521" s="57"/>
      <c r="C521" s="57"/>
      <c r="D521" s="57"/>
      <c r="E521" s="57"/>
      <c r="F521" s="57"/>
      <c r="G521" s="57"/>
      <c r="H521" s="57"/>
    </row>
    <row r="522" spans="1:8">
      <c r="A522" s="57"/>
      <c r="B522" s="57"/>
      <c r="C522" s="57"/>
      <c r="D522" s="57"/>
      <c r="E522" s="57"/>
      <c r="F522" s="57"/>
      <c r="G522" s="57"/>
      <c r="H522" s="57"/>
    </row>
    <row r="523" spans="1:8">
      <c r="A523" s="57"/>
      <c r="B523" s="57"/>
      <c r="C523" s="57"/>
      <c r="D523" s="57"/>
      <c r="E523" s="57"/>
      <c r="F523" s="57"/>
      <c r="G523" s="57"/>
      <c r="H523" s="57"/>
    </row>
    <row r="524" spans="1:8">
      <c r="A524" s="57"/>
      <c r="B524" s="57"/>
      <c r="C524" s="57"/>
      <c r="D524" s="57"/>
      <c r="E524" s="57"/>
      <c r="F524" s="57"/>
      <c r="G524" s="57"/>
      <c r="H524" s="57"/>
    </row>
    <row r="525" spans="1:8">
      <c r="A525" s="57"/>
      <c r="B525" s="57"/>
      <c r="C525" s="57"/>
      <c r="D525" s="57"/>
      <c r="E525" s="57"/>
      <c r="F525" s="57"/>
      <c r="G525" s="57"/>
      <c r="H525" s="57"/>
    </row>
    <row r="526" spans="1:8">
      <c r="A526" s="82">
        <v>2</v>
      </c>
      <c r="B526" s="22" t="s">
        <v>1833</v>
      </c>
      <c r="C526" s="20" t="s">
        <v>2755</v>
      </c>
      <c r="D526" s="22"/>
      <c r="E526" s="23"/>
      <c r="F526" s="22"/>
      <c r="G526" s="5"/>
      <c r="H526" s="5"/>
    </row>
    <row r="527" spans="1:8">
      <c r="A527" s="22"/>
      <c r="B527" s="22"/>
      <c r="C527" s="26" t="s">
        <v>2643</v>
      </c>
      <c r="D527" s="22"/>
      <c r="E527" s="23"/>
      <c r="F527" s="22"/>
      <c r="G527" s="5"/>
      <c r="H527" s="5"/>
    </row>
    <row r="528" spans="1:8" ht="18">
      <c r="A528" s="22"/>
      <c r="B528" s="22"/>
      <c r="C528" s="36" t="s">
        <v>2644</v>
      </c>
      <c r="D528" s="22"/>
      <c r="E528" s="23"/>
      <c r="F528" s="22"/>
      <c r="G528" s="5"/>
      <c r="H528" s="5"/>
    </row>
    <row r="529" spans="1:8">
      <c r="A529" s="22"/>
      <c r="B529" s="22"/>
      <c r="C529" s="27" t="s">
        <v>1288</v>
      </c>
      <c r="D529" s="22"/>
      <c r="E529" s="23"/>
      <c r="F529" s="22"/>
      <c r="G529" s="5"/>
      <c r="H529" s="5"/>
    </row>
    <row r="530" spans="1:8">
      <c r="A530" s="22"/>
      <c r="B530" s="22"/>
      <c r="C530" s="20" t="s">
        <v>2645</v>
      </c>
      <c r="G530" s="5"/>
      <c r="H530" s="5"/>
    </row>
    <row r="531" spans="1:8">
      <c r="A531" s="22"/>
      <c r="B531" s="22"/>
      <c r="C531" s="32" t="s">
        <v>2646</v>
      </c>
      <c r="D531" s="57"/>
      <c r="E531" s="38">
        <f>3*2*1.9*0.075*0.0375</f>
        <v>3.2099999999999997E-2</v>
      </c>
      <c r="F531" s="22" t="s">
        <v>1749</v>
      </c>
      <c r="G531" s="5"/>
      <c r="H531" s="5"/>
    </row>
    <row r="532" spans="1:8">
      <c r="A532" s="22"/>
      <c r="B532" s="22"/>
      <c r="C532" s="26" t="s">
        <v>2647</v>
      </c>
      <c r="D532" s="57"/>
      <c r="E532" s="38">
        <f>3*2*0.5*0.075*0.0375</f>
        <v>8.3999999999999995E-3</v>
      </c>
      <c r="F532" s="22" t="s">
        <v>1749</v>
      </c>
      <c r="G532" s="5"/>
      <c r="H532" s="5"/>
    </row>
    <row r="533" spans="1:8">
      <c r="A533" s="22"/>
      <c r="B533" s="22"/>
      <c r="C533" s="26"/>
      <c r="D533" s="24"/>
      <c r="E533" s="27" t="s">
        <v>1288</v>
      </c>
      <c r="F533" s="30"/>
      <c r="G533" s="5"/>
      <c r="H533" s="5"/>
    </row>
    <row r="534" spans="1:8">
      <c r="A534" s="22"/>
      <c r="B534" s="22"/>
      <c r="C534" s="22"/>
      <c r="D534" s="22"/>
      <c r="E534" s="71">
        <f>SUM(E531:E533)</f>
        <v>4.0500000000000001E-2</v>
      </c>
      <c r="F534" t="s">
        <v>1749</v>
      </c>
      <c r="G534" s="5"/>
      <c r="H534" s="5"/>
    </row>
    <row r="535" spans="1:8">
      <c r="A535" s="22"/>
      <c r="B535" s="22"/>
      <c r="C535" s="22"/>
      <c r="D535" s="22"/>
      <c r="E535" s="27" t="s">
        <v>1288</v>
      </c>
      <c r="G535" s="5"/>
      <c r="H535" s="5"/>
    </row>
    <row r="536" spans="1:8">
      <c r="A536" s="22"/>
      <c r="B536" s="22"/>
      <c r="C536" s="26" t="s">
        <v>356</v>
      </c>
      <c r="D536" s="57"/>
      <c r="E536" s="57"/>
      <c r="F536" s="57"/>
      <c r="G536" s="5"/>
      <c r="H536" s="5"/>
    </row>
    <row r="537" spans="1:8">
      <c r="A537" s="22"/>
      <c r="B537" s="22"/>
      <c r="C537" s="26" t="s">
        <v>2648</v>
      </c>
      <c r="D537" s="39"/>
      <c r="E537" s="37">
        <f>3*1.9*0.5</f>
        <v>2.85</v>
      </c>
      <c r="F537" t="s">
        <v>488</v>
      </c>
      <c r="G537" s="5"/>
      <c r="H537" s="5"/>
    </row>
    <row r="538" spans="1:8">
      <c r="A538" s="22"/>
      <c r="B538" s="22"/>
      <c r="C538" s="26"/>
      <c r="D538" s="39"/>
      <c r="E538" s="37"/>
      <c r="F538" s="30"/>
      <c r="G538" s="5"/>
      <c r="H538" s="5"/>
    </row>
    <row r="539" spans="1:8">
      <c r="A539" s="22"/>
      <c r="B539" s="22"/>
      <c r="C539" s="26" t="s">
        <v>2649</v>
      </c>
      <c r="D539" s="39"/>
      <c r="E539" s="37"/>
      <c r="F539" s="30"/>
      <c r="G539" s="5"/>
      <c r="H539" s="5"/>
    </row>
    <row r="540" spans="1:8">
      <c r="A540" s="22"/>
      <c r="B540" s="22"/>
      <c r="C540" s="26" t="s">
        <v>2650</v>
      </c>
      <c r="D540" s="39"/>
      <c r="E540" s="38">
        <f>3*1.775*0.375</f>
        <v>1.9968999999999999</v>
      </c>
      <c r="F540" s="30" t="str">
        <f>F537</f>
        <v>SQM</v>
      </c>
      <c r="G540" s="5"/>
      <c r="H540" s="5"/>
    </row>
    <row r="541" spans="1:8">
      <c r="A541" s="22"/>
      <c r="B541" s="22"/>
      <c r="C541" s="26" t="s">
        <v>2651</v>
      </c>
      <c r="D541" s="22"/>
      <c r="E541" s="38"/>
      <c r="F541" s="32"/>
      <c r="G541" s="5"/>
      <c r="H541" s="5"/>
    </row>
    <row r="542" spans="1:8">
      <c r="A542" s="31"/>
      <c r="B542" s="22"/>
      <c r="C542" s="26" t="s">
        <v>2652</v>
      </c>
      <c r="D542" s="39"/>
      <c r="E542" s="72">
        <f>1.775+0.375</f>
        <v>2.15</v>
      </c>
      <c r="F542" s="30"/>
      <c r="G542" s="22"/>
      <c r="H542" s="5"/>
    </row>
    <row r="543" spans="1:8">
      <c r="A543" s="31"/>
      <c r="B543" s="22"/>
      <c r="C543" s="22"/>
      <c r="D543" s="73"/>
      <c r="E543" s="28">
        <f>E542*6</f>
        <v>12.9</v>
      </c>
      <c r="F543" s="22" t="s">
        <v>669</v>
      </c>
      <c r="G543" s="22"/>
      <c r="H543" s="5"/>
    </row>
    <row r="544" spans="1:8">
      <c r="A544" s="31"/>
      <c r="B544" s="22"/>
      <c r="C544" s="74" t="s">
        <v>2653</v>
      </c>
      <c r="D544" s="73"/>
      <c r="E544" s="23"/>
      <c r="F544" s="22"/>
      <c r="G544" s="22"/>
      <c r="H544" s="5"/>
    </row>
    <row r="545" spans="1:8">
      <c r="A545" s="31"/>
      <c r="B545" s="22"/>
      <c r="C545" s="20" t="s">
        <v>2654</v>
      </c>
      <c r="D545" s="57"/>
      <c r="E545" s="22"/>
      <c r="F545" s="23"/>
      <c r="G545" s="22"/>
      <c r="H545" s="5"/>
    </row>
    <row r="546" spans="1:8">
      <c r="A546" s="30">
        <f>E534</f>
        <v>4.0500000000000001E-2</v>
      </c>
      <c r="B546" s="23" t="s">
        <v>702</v>
      </c>
      <c r="C546" s="26" t="s">
        <v>2784</v>
      </c>
      <c r="D546" s="22" t="e">
        <f>Data!I951</f>
        <v>#REF!</v>
      </c>
      <c r="E546" s="26" t="s">
        <v>702</v>
      </c>
      <c r="F546" s="22" t="e">
        <f>(A546*D546)</f>
        <v>#REF!</v>
      </c>
      <c r="G546" s="22"/>
      <c r="H546" s="5"/>
    </row>
    <row r="547" spans="1:8">
      <c r="A547" s="30">
        <f>E537</f>
        <v>2.85</v>
      </c>
      <c r="B547" t="s">
        <v>488</v>
      </c>
      <c r="C547" s="26" t="s">
        <v>2785</v>
      </c>
      <c r="D547" s="22">
        <f>Data!P3228</f>
        <v>57.65</v>
      </c>
      <c r="E547" t="s">
        <v>488</v>
      </c>
      <c r="F547" s="22">
        <f>(A547*D547)</f>
        <v>164.3</v>
      </c>
      <c r="G547" s="22"/>
      <c r="H547" s="5"/>
    </row>
    <row r="548" spans="1:8">
      <c r="A548" s="30">
        <f>E540</f>
        <v>1.9968999999999999</v>
      </c>
      <c r="B548" t="s">
        <v>488</v>
      </c>
      <c r="C548" s="26" t="s">
        <v>2649</v>
      </c>
      <c r="D548" s="22">
        <f>Data!I1072</f>
        <v>208.8</v>
      </c>
      <c r="E548" t="s">
        <v>488</v>
      </c>
      <c r="F548" s="22">
        <f t="shared" ref="F548:F554" si="18">(A548*D548)</f>
        <v>416.95</v>
      </c>
      <c r="G548" s="22"/>
      <c r="H548" s="5"/>
    </row>
    <row r="549" spans="1:8">
      <c r="A549" s="22">
        <f>E543</f>
        <v>12.9</v>
      </c>
      <c r="B549" s="22" t="s">
        <v>669</v>
      </c>
      <c r="C549" s="20" t="s">
        <v>2656</v>
      </c>
      <c r="D549" s="22">
        <f>Data!V3160</f>
        <v>89.6</v>
      </c>
      <c r="E549" s="22" t="s">
        <v>669</v>
      </c>
      <c r="F549" s="22">
        <f t="shared" si="18"/>
        <v>1155.8399999999999</v>
      </c>
      <c r="G549" s="22"/>
      <c r="H549" s="5"/>
    </row>
    <row r="550" spans="1:8">
      <c r="A550" s="22">
        <v>9</v>
      </c>
      <c r="B550" t="s">
        <v>701</v>
      </c>
      <c r="C550" s="1" t="s">
        <v>1234</v>
      </c>
      <c r="D550" s="22">
        <f>Data!V3161</f>
        <v>82.25</v>
      </c>
      <c r="E550" s="1" t="s">
        <v>701</v>
      </c>
      <c r="F550" s="22">
        <f t="shared" si="18"/>
        <v>740.25</v>
      </c>
      <c r="G550" s="22"/>
      <c r="H550" s="5"/>
    </row>
    <row r="551" spans="1:8">
      <c r="A551" s="22">
        <v>6</v>
      </c>
      <c r="B551" t="s">
        <v>701</v>
      </c>
      <c r="C551" s="1" t="s">
        <v>2152</v>
      </c>
      <c r="D551" s="22">
        <f>Data!V3162</f>
        <v>57.65</v>
      </c>
      <c r="E551" s="1" t="s">
        <v>701</v>
      </c>
      <c r="F551" s="22">
        <f t="shared" si="18"/>
        <v>345.9</v>
      </c>
      <c r="G551" s="22"/>
      <c r="H551" s="5"/>
    </row>
    <row r="552" spans="1:8">
      <c r="A552" s="22">
        <v>3</v>
      </c>
      <c r="B552" t="s">
        <v>701</v>
      </c>
      <c r="C552" s="1" t="s">
        <v>2153</v>
      </c>
      <c r="D552" s="22">
        <f>Data!V3163</f>
        <v>7.3</v>
      </c>
      <c r="E552" s="1" t="s">
        <v>701</v>
      </c>
      <c r="F552" s="22">
        <f t="shared" si="18"/>
        <v>21.9</v>
      </c>
      <c r="G552" s="22"/>
      <c r="H552" s="5"/>
    </row>
    <row r="553" spans="1:8">
      <c r="A553" s="22">
        <v>3</v>
      </c>
      <c r="B553" t="s">
        <v>701</v>
      </c>
      <c r="C553" s="1" t="s">
        <v>1612</v>
      </c>
      <c r="D553" s="22">
        <f>Data!V3164</f>
        <v>2.41</v>
      </c>
      <c r="E553" s="1" t="s">
        <v>701</v>
      </c>
      <c r="F553" s="22">
        <f t="shared" si="18"/>
        <v>7.23</v>
      </c>
      <c r="G553" s="22"/>
      <c r="H553" s="5"/>
    </row>
    <row r="554" spans="1:8">
      <c r="A554" s="22">
        <v>120</v>
      </c>
      <c r="B554" t="s">
        <v>701</v>
      </c>
      <c r="C554" s="1" t="s">
        <v>2657</v>
      </c>
      <c r="D554" s="22">
        <f>Data!V3165</f>
        <v>0</v>
      </c>
      <c r="E554" s="1" t="s">
        <v>701</v>
      </c>
      <c r="F554" s="22">
        <f t="shared" si="18"/>
        <v>0</v>
      </c>
      <c r="G554" s="22"/>
      <c r="H554" s="5"/>
    </row>
    <row r="555" spans="1:8">
      <c r="A555" s="22"/>
      <c r="B555" s="22"/>
      <c r="C555" s="26"/>
      <c r="D555" s="57"/>
      <c r="E555" s="22"/>
      <c r="F555" s="27" t="s">
        <v>1288</v>
      </c>
      <c r="G555" s="22"/>
      <c r="H555" s="5"/>
    </row>
    <row r="556" spans="1:8">
      <c r="A556" s="22"/>
      <c r="B556" s="22"/>
      <c r="C556" s="26" t="s">
        <v>2658</v>
      </c>
      <c r="D556" s="57"/>
      <c r="E556" s="23"/>
      <c r="F556" s="24" t="e">
        <f>SUM(F546:F555)</f>
        <v>#REF!</v>
      </c>
      <c r="G556" s="40"/>
      <c r="H556" s="5"/>
    </row>
    <row r="557" spans="1:8">
      <c r="A557" s="22"/>
      <c r="B557" s="22"/>
      <c r="C557" s="57"/>
      <c r="D557" s="22"/>
      <c r="E557" s="23"/>
      <c r="F557" s="27" t="s">
        <v>1288</v>
      </c>
      <c r="G557" s="57"/>
      <c r="H557" s="5"/>
    </row>
    <row r="558" spans="1:8">
      <c r="A558" s="22"/>
      <c r="B558" s="22"/>
      <c r="C558" s="24" t="s">
        <v>2454</v>
      </c>
      <c r="D558" s="22"/>
      <c r="E558" s="23"/>
      <c r="F558" s="60" t="e">
        <f>F556/A547</f>
        <v>#REF!</v>
      </c>
      <c r="G558" s="22">
        <f>SUM(G542:G557)</f>
        <v>0</v>
      </c>
      <c r="H558" s="5"/>
    </row>
    <row r="559" spans="1:8">
      <c r="A559" s="22"/>
      <c r="B559" s="22"/>
      <c r="C559" s="22"/>
      <c r="D559" s="22"/>
      <c r="E559" s="23"/>
      <c r="F559" s="57"/>
      <c r="G559" s="57"/>
      <c r="H559" s="5"/>
    </row>
    <row r="560" spans="1:8">
      <c r="A560" s="22"/>
      <c r="B560" s="22"/>
      <c r="C560" s="20"/>
      <c r="D560" s="22"/>
      <c r="E560" s="974"/>
      <c r="F560" s="974"/>
      <c r="G560" s="974"/>
      <c r="H560" s="974"/>
    </row>
    <row r="561" spans="1:8">
      <c r="G561" s="5"/>
      <c r="H561" s="5"/>
    </row>
    <row r="562" spans="1:8">
      <c r="A562" s="57"/>
      <c r="B562" s="57"/>
      <c r="C562" s="57"/>
      <c r="D562" s="57"/>
      <c r="E562" s="57"/>
      <c r="F562" s="57"/>
      <c r="G562" s="57"/>
      <c r="H562" s="57"/>
    </row>
    <row r="563" spans="1:8">
      <c r="A563" s="81">
        <v>1</v>
      </c>
      <c r="B563" s="22"/>
      <c r="C563" s="26" t="s">
        <v>2643</v>
      </c>
      <c r="D563" s="22"/>
      <c r="E563" s="23"/>
      <c r="F563" s="22"/>
      <c r="G563" s="57"/>
      <c r="H563" s="57"/>
    </row>
    <row r="564" spans="1:8" ht="18">
      <c r="A564" s="22"/>
      <c r="B564" s="22"/>
      <c r="C564" s="36" t="s">
        <v>2756</v>
      </c>
      <c r="D564" s="22"/>
      <c r="E564" s="23"/>
      <c r="F564" s="22"/>
      <c r="G564" s="57"/>
      <c r="H564" s="57"/>
    </row>
    <row r="565" spans="1:8">
      <c r="A565" s="22"/>
      <c r="B565" s="22"/>
      <c r="C565" s="27" t="s">
        <v>1288</v>
      </c>
      <c r="D565" s="22"/>
      <c r="E565" s="23"/>
      <c r="F565" s="22"/>
      <c r="G565" s="57"/>
      <c r="H565" s="57"/>
    </row>
    <row r="566" spans="1:8">
      <c r="A566" s="22"/>
      <c r="B566" s="22"/>
      <c r="C566" s="20" t="s">
        <v>2645</v>
      </c>
      <c r="F566" t="s">
        <v>1749</v>
      </c>
      <c r="G566" s="57"/>
      <c r="H566" s="57"/>
    </row>
    <row r="567" spans="1:8">
      <c r="A567" s="22"/>
      <c r="B567" s="22"/>
      <c r="C567" s="32" t="s">
        <v>2757</v>
      </c>
      <c r="D567" s="57"/>
      <c r="E567" s="38">
        <f>3*2*1.9*0.075*0.0375</f>
        <v>3.2099999999999997E-2</v>
      </c>
      <c r="F567" s="22" t="s">
        <v>1749</v>
      </c>
      <c r="G567" s="57"/>
      <c r="H567" s="57"/>
    </row>
    <row r="568" spans="1:8">
      <c r="A568" s="22"/>
      <c r="B568" s="22"/>
      <c r="C568" s="26" t="s">
        <v>2758</v>
      </c>
      <c r="D568" s="57"/>
      <c r="E568" s="38">
        <f>3*2*0.6*0.075*0.0375</f>
        <v>1.01E-2</v>
      </c>
      <c r="F568" s="22" t="s">
        <v>1749</v>
      </c>
      <c r="G568" s="57"/>
      <c r="H568" s="57"/>
    </row>
    <row r="569" spans="1:8">
      <c r="A569" s="22"/>
      <c r="B569" s="22"/>
      <c r="C569" s="26"/>
      <c r="D569" s="24"/>
      <c r="E569" s="27" t="s">
        <v>1288</v>
      </c>
      <c r="F569" s="30"/>
      <c r="G569" s="57"/>
      <c r="H569" s="57"/>
    </row>
    <row r="570" spans="1:8">
      <c r="A570" s="22"/>
      <c r="B570" s="22"/>
      <c r="C570" s="22"/>
      <c r="D570" s="22"/>
      <c r="E570" s="71">
        <f>SUM(E567:E569)</f>
        <v>4.2200000000000001E-2</v>
      </c>
      <c r="F570" t="s">
        <v>1749</v>
      </c>
      <c r="G570" s="57"/>
      <c r="H570" s="57"/>
    </row>
    <row r="571" spans="1:8">
      <c r="A571" s="22"/>
      <c r="B571" s="22"/>
      <c r="C571" s="22"/>
      <c r="D571" s="22"/>
      <c r="E571" s="27" t="s">
        <v>1288</v>
      </c>
      <c r="G571" s="57"/>
      <c r="H571" s="57"/>
    </row>
    <row r="572" spans="1:8">
      <c r="A572" s="22"/>
      <c r="B572" s="22"/>
      <c r="C572" s="26" t="s">
        <v>356</v>
      </c>
      <c r="D572" s="57"/>
      <c r="E572" s="57"/>
      <c r="F572" s="57"/>
      <c r="G572" s="57"/>
      <c r="H572" s="57"/>
    </row>
    <row r="573" spans="1:8">
      <c r="A573" s="22"/>
      <c r="B573" s="22"/>
      <c r="C573" s="26" t="s">
        <v>2759</v>
      </c>
      <c r="D573" s="39"/>
      <c r="E573" s="37">
        <f>3*1.9*0.6</f>
        <v>3.42</v>
      </c>
      <c r="F573" t="s">
        <v>488</v>
      </c>
      <c r="G573" s="57"/>
      <c r="H573" s="57"/>
    </row>
    <row r="574" spans="1:8">
      <c r="A574" s="22"/>
      <c r="B574" s="22"/>
      <c r="C574" s="26"/>
      <c r="D574" s="39"/>
      <c r="E574" s="37"/>
      <c r="F574" s="30"/>
      <c r="G574" s="57"/>
      <c r="H574" s="57"/>
    </row>
    <row r="575" spans="1:8">
      <c r="A575" s="22"/>
      <c r="B575" s="22"/>
      <c r="C575" s="26" t="s">
        <v>2649</v>
      </c>
      <c r="D575" s="39"/>
      <c r="E575" s="37"/>
      <c r="F575" s="30"/>
      <c r="G575" s="57"/>
      <c r="H575" s="57"/>
    </row>
    <row r="576" spans="1:8">
      <c r="A576" s="22"/>
      <c r="B576" s="22"/>
      <c r="C576" s="26" t="s">
        <v>2760</v>
      </c>
      <c r="D576" s="39"/>
      <c r="E576" s="38">
        <f>3*1.775*0.475</f>
        <v>2.5293999999999999</v>
      </c>
      <c r="F576" s="30" t="str">
        <f>F573</f>
        <v>SQM</v>
      </c>
      <c r="G576" s="57"/>
      <c r="H576" s="57"/>
    </row>
    <row r="577" spans="1:8">
      <c r="A577" s="22"/>
      <c r="B577" s="22"/>
      <c r="C577" s="26" t="s">
        <v>2651</v>
      </c>
      <c r="D577" s="22"/>
      <c r="E577" s="38"/>
      <c r="F577" s="32"/>
      <c r="G577" s="57"/>
      <c r="H577" s="57"/>
    </row>
    <row r="578" spans="1:8">
      <c r="A578" s="31"/>
      <c r="B578" s="22"/>
      <c r="C578" s="26" t="s">
        <v>2761</v>
      </c>
      <c r="D578" s="39"/>
      <c r="E578" s="72">
        <f>1.775+0.475</f>
        <v>2.25</v>
      </c>
      <c r="F578" s="30"/>
      <c r="G578" s="57"/>
      <c r="H578" s="57"/>
    </row>
    <row r="579" spans="1:8">
      <c r="A579" s="31"/>
      <c r="B579" s="22"/>
      <c r="C579" s="22"/>
      <c r="D579" s="73"/>
      <c r="E579" s="28">
        <f>E578*6</f>
        <v>13.5</v>
      </c>
      <c r="F579" s="22" t="s">
        <v>669</v>
      </c>
      <c r="G579" s="57"/>
      <c r="H579" s="57"/>
    </row>
    <row r="580" spans="1:8">
      <c r="A580" s="31"/>
      <c r="B580" s="22"/>
      <c r="C580" s="80" t="s">
        <v>2653</v>
      </c>
      <c r="D580" s="73"/>
      <c r="E580" s="23"/>
      <c r="F580" s="22"/>
      <c r="G580" s="57"/>
      <c r="H580" s="57"/>
    </row>
    <row r="581" spans="1:8">
      <c r="A581" s="30"/>
      <c r="B581" s="22"/>
      <c r="C581" s="29"/>
      <c r="D581" s="57"/>
      <c r="E581" s="22"/>
      <c r="F581" s="23"/>
      <c r="G581" s="57"/>
      <c r="H581" s="57"/>
    </row>
    <row r="582" spans="1:8">
      <c r="A582" s="31"/>
      <c r="B582" s="22"/>
      <c r="C582" s="20" t="s">
        <v>2654</v>
      </c>
      <c r="D582" s="57"/>
      <c r="E582" s="22"/>
      <c r="F582" s="23"/>
      <c r="G582" s="57"/>
      <c r="H582" s="57"/>
    </row>
    <row r="583" spans="1:8">
      <c r="A583" s="30">
        <f>E570</f>
        <v>4.2200000000000001E-2</v>
      </c>
      <c r="B583" s="23" t="s">
        <v>702</v>
      </c>
      <c r="C583" s="26" t="s">
        <v>2655</v>
      </c>
      <c r="D583" s="22" t="e">
        <f>D546</f>
        <v>#REF!</v>
      </c>
      <c r="E583" s="23" t="s">
        <v>702</v>
      </c>
      <c r="F583" s="22" t="e">
        <f>(A583*D583)</f>
        <v>#REF!</v>
      </c>
      <c r="G583" s="57"/>
      <c r="H583" s="57"/>
    </row>
    <row r="584" spans="1:8">
      <c r="A584" s="30">
        <f>E573</f>
        <v>3.42</v>
      </c>
      <c r="B584" t="s">
        <v>488</v>
      </c>
      <c r="C584" s="26" t="s">
        <v>356</v>
      </c>
      <c r="D584" s="22">
        <f t="shared" ref="D584:D591" si="19">D547</f>
        <v>57.65</v>
      </c>
      <c r="E584" t="s">
        <v>488</v>
      </c>
      <c r="F584" s="22">
        <f t="shared" ref="F584:F591" si="20">(A584*D584)</f>
        <v>197.16</v>
      </c>
      <c r="G584" s="57"/>
      <c r="H584" s="57"/>
    </row>
    <row r="585" spans="1:8">
      <c r="A585" s="31">
        <f>E576</f>
        <v>2.5293999999999999</v>
      </c>
      <c r="B585" t="s">
        <v>488</v>
      </c>
      <c r="C585" s="26" t="s">
        <v>2649</v>
      </c>
      <c r="D585" s="22">
        <f t="shared" si="19"/>
        <v>208.8</v>
      </c>
      <c r="E585" t="s">
        <v>488</v>
      </c>
      <c r="F585" s="22">
        <f t="shared" si="20"/>
        <v>528.14</v>
      </c>
      <c r="G585" s="57"/>
      <c r="H585" s="57"/>
    </row>
    <row r="586" spans="1:8">
      <c r="A586" s="22">
        <f>E579</f>
        <v>13.5</v>
      </c>
      <c r="B586" s="22" t="s">
        <v>669</v>
      </c>
      <c r="C586" s="20" t="s">
        <v>2656</v>
      </c>
      <c r="D586" s="22">
        <f t="shared" si="19"/>
        <v>89.6</v>
      </c>
      <c r="E586" s="22" t="s">
        <v>669</v>
      </c>
      <c r="F586" s="22">
        <f t="shared" si="20"/>
        <v>1209.5999999999999</v>
      </c>
      <c r="G586" s="57"/>
      <c r="H586" s="57"/>
    </row>
    <row r="587" spans="1:8">
      <c r="A587" s="22">
        <v>9</v>
      </c>
      <c r="B587" t="s">
        <v>701</v>
      </c>
      <c r="C587" s="1" t="s">
        <v>1234</v>
      </c>
      <c r="D587" s="22">
        <f t="shared" si="19"/>
        <v>82.25</v>
      </c>
      <c r="E587" s="1" t="s">
        <v>701</v>
      </c>
      <c r="F587" s="22">
        <f t="shared" si="20"/>
        <v>740.25</v>
      </c>
      <c r="G587" s="57"/>
      <c r="H587" s="57"/>
    </row>
    <row r="588" spans="1:8">
      <c r="A588" s="22">
        <v>6</v>
      </c>
      <c r="B588" t="s">
        <v>701</v>
      </c>
      <c r="C588" s="1" t="s">
        <v>2152</v>
      </c>
      <c r="D588" s="22">
        <f t="shared" si="19"/>
        <v>57.65</v>
      </c>
      <c r="E588" s="1" t="s">
        <v>701</v>
      </c>
      <c r="F588" s="22">
        <f t="shared" si="20"/>
        <v>345.9</v>
      </c>
      <c r="G588" s="57"/>
      <c r="H588" s="57"/>
    </row>
    <row r="589" spans="1:8">
      <c r="A589" s="22">
        <v>3</v>
      </c>
      <c r="B589" t="s">
        <v>701</v>
      </c>
      <c r="C589" s="1" t="s">
        <v>2153</v>
      </c>
      <c r="D589" s="22">
        <f t="shared" si="19"/>
        <v>7.3</v>
      </c>
      <c r="E589" s="1" t="s">
        <v>701</v>
      </c>
      <c r="F589" s="22">
        <f t="shared" si="20"/>
        <v>21.9</v>
      </c>
      <c r="G589" s="57"/>
      <c r="H589" s="57"/>
    </row>
    <row r="590" spans="1:8">
      <c r="A590" s="22">
        <v>3</v>
      </c>
      <c r="B590" t="s">
        <v>701</v>
      </c>
      <c r="C590" s="1" t="s">
        <v>1612</v>
      </c>
      <c r="D590" s="22">
        <f t="shared" si="19"/>
        <v>2.41</v>
      </c>
      <c r="E590" s="1" t="s">
        <v>701</v>
      </c>
      <c r="F590" s="22">
        <f t="shared" si="20"/>
        <v>7.23</v>
      </c>
      <c r="G590" s="57"/>
      <c r="H590" s="57"/>
    </row>
    <row r="591" spans="1:8">
      <c r="A591" s="22">
        <v>120</v>
      </c>
      <c r="B591" t="s">
        <v>701</v>
      </c>
      <c r="C591" s="1" t="s">
        <v>2657</v>
      </c>
      <c r="D591" s="22">
        <f t="shared" si="19"/>
        <v>0</v>
      </c>
      <c r="E591" s="1" t="s">
        <v>701</v>
      </c>
      <c r="F591" s="22">
        <f t="shared" si="20"/>
        <v>0</v>
      </c>
      <c r="G591" s="57"/>
      <c r="H591" s="57"/>
    </row>
    <row r="592" spans="1:8">
      <c r="A592" s="22"/>
      <c r="B592" s="22"/>
      <c r="C592" s="26"/>
      <c r="D592" s="57"/>
      <c r="E592" s="22"/>
      <c r="F592" s="27" t="s">
        <v>1288</v>
      </c>
      <c r="G592" s="57"/>
      <c r="H592" s="57"/>
    </row>
    <row r="593" spans="1:8">
      <c r="A593" s="22"/>
      <c r="B593" s="22"/>
      <c r="C593" s="26" t="s">
        <v>2762</v>
      </c>
      <c r="D593" s="57"/>
      <c r="E593" s="23"/>
      <c r="F593" s="24" t="e">
        <f>SUM(F583:F592)</f>
        <v>#REF!</v>
      </c>
      <c r="G593" s="57"/>
      <c r="H593" s="57"/>
    </row>
    <row r="594" spans="1:8">
      <c r="A594" s="22"/>
      <c r="B594" s="22"/>
      <c r="C594" s="57"/>
      <c r="D594" s="22"/>
      <c r="E594" s="23"/>
      <c r="F594" s="27" t="s">
        <v>1288</v>
      </c>
      <c r="G594" s="57"/>
      <c r="H594" s="57"/>
    </row>
    <row r="595" spans="1:8">
      <c r="A595" s="22"/>
      <c r="B595" s="22"/>
      <c r="C595" s="24" t="s">
        <v>2454</v>
      </c>
      <c r="D595" s="22"/>
      <c r="E595" s="23"/>
      <c r="F595" s="60" t="e">
        <f>F593/A584</f>
        <v>#REF!</v>
      </c>
      <c r="G595" s="57"/>
      <c r="H595" s="57"/>
    </row>
    <row r="596" spans="1:8">
      <c r="A596" s="22"/>
      <c r="B596" s="22"/>
      <c r="C596" s="22"/>
      <c r="D596" s="22"/>
      <c r="E596" s="23"/>
      <c r="F596" s="57"/>
      <c r="G596" s="57"/>
      <c r="H596" s="57"/>
    </row>
    <row r="597" spans="1:8">
      <c r="A597" s="57"/>
      <c r="B597" s="57"/>
      <c r="C597" s="57"/>
      <c r="D597" s="57"/>
      <c r="E597" s="57"/>
      <c r="F597" s="57"/>
      <c r="G597" s="57"/>
      <c r="H597" s="57"/>
    </row>
    <row r="598" spans="1:8">
      <c r="A598" s="22">
        <v>3</v>
      </c>
      <c r="B598" s="22"/>
      <c r="C598" s="26" t="s">
        <v>2643</v>
      </c>
      <c r="D598" s="22"/>
      <c r="E598" s="23"/>
      <c r="F598" s="22"/>
      <c r="G598" s="57"/>
      <c r="H598" s="57"/>
    </row>
    <row r="599" spans="1:8" ht="18">
      <c r="A599" s="22"/>
      <c r="B599" s="22"/>
      <c r="C599" s="36" t="s">
        <v>2763</v>
      </c>
      <c r="D599" s="22"/>
      <c r="E599" s="23"/>
      <c r="F599" s="22"/>
      <c r="G599" s="57"/>
      <c r="H599" s="57"/>
    </row>
    <row r="600" spans="1:8">
      <c r="A600" s="22"/>
      <c r="B600" s="22"/>
      <c r="C600" s="27" t="s">
        <v>1288</v>
      </c>
      <c r="D600" s="22"/>
      <c r="E600" s="23"/>
      <c r="F600" s="22"/>
      <c r="G600" s="57"/>
      <c r="H600" s="57"/>
    </row>
    <row r="601" spans="1:8">
      <c r="A601" s="22"/>
      <c r="B601" s="22"/>
      <c r="C601" s="20" t="s">
        <v>2645</v>
      </c>
      <c r="F601" t="s">
        <v>1749</v>
      </c>
      <c r="G601" s="57"/>
      <c r="H601" s="57"/>
    </row>
    <row r="602" spans="1:8">
      <c r="A602" s="22"/>
      <c r="B602" s="22"/>
      <c r="C602" s="32" t="s">
        <v>2764</v>
      </c>
      <c r="D602" s="57"/>
      <c r="E602" s="38">
        <f>2*2*1.9*0.075*0.0375</f>
        <v>2.1399999999999999E-2</v>
      </c>
      <c r="F602" s="22" t="s">
        <v>1749</v>
      </c>
      <c r="G602" s="57"/>
      <c r="H602" s="57"/>
    </row>
    <row r="603" spans="1:8">
      <c r="A603" s="22"/>
      <c r="B603" s="22"/>
      <c r="C603" s="26" t="s">
        <v>2765</v>
      </c>
      <c r="D603" s="57"/>
      <c r="E603" s="38">
        <f>2*2*0.5*0.075*0.0375</f>
        <v>5.5999999999999999E-3</v>
      </c>
      <c r="F603" s="22" t="s">
        <v>1749</v>
      </c>
      <c r="G603" s="57"/>
      <c r="H603" s="57"/>
    </row>
    <row r="604" spans="1:8">
      <c r="A604" s="22"/>
      <c r="B604" s="22"/>
      <c r="C604" s="26"/>
      <c r="D604" s="24"/>
      <c r="E604" s="27" t="s">
        <v>1288</v>
      </c>
      <c r="F604" s="30"/>
      <c r="G604" s="57"/>
      <c r="H604" s="57"/>
    </row>
    <row r="605" spans="1:8">
      <c r="A605" s="22"/>
      <c r="B605" s="22"/>
      <c r="C605" s="22"/>
      <c r="D605" s="22"/>
      <c r="E605" s="71">
        <f>SUM(E602:E604)</f>
        <v>2.7E-2</v>
      </c>
      <c r="F605" t="s">
        <v>1749</v>
      </c>
      <c r="G605" s="57"/>
      <c r="H605" s="57"/>
    </row>
    <row r="606" spans="1:8">
      <c r="A606" s="22"/>
      <c r="B606" s="22"/>
      <c r="C606" s="22"/>
      <c r="D606" s="22"/>
      <c r="E606" s="27" t="s">
        <v>1288</v>
      </c>
      <c r="G606" s="57"/>
      <c r="H606" s="57"/>
    </row>
    <row r="607" spans="1:8">
      <c r="A607" s="22"/>
      <c r="B607" s="22"/>
      <c r="C607" s="26" t="s">
        <v>356</v>
      </c>
      <c r="D607" s="57"/>
      <c r="E607" s="57"/>
      <c r="F607" s="57"/>
      <c r="G607" s="57"/>
      <c r="H607" s="57"/>
    </row>
    <row r="608" spans="1:8">
      <c r="A608" s="22"/>
      <c r="B608" s="22"/>
      <c r="C608" s="26" t="s">
        <v>2766</v>
      </c>
      <c r="D608" s="39"/>
      <c r="E608" s="37">
        <f>2*1.9*0.5</f>
        <v>1.9</v>
      </c>
      <c r="F608" t="s">
        <v>488</v>
      </c>
      <c r="G608" s="57"/>
      <c r="H608" s="57"/>
    </row>
    <row r="609" spans="1:8">
      <c r="A609" s="22"/>
      <c r="B609" s="22"/>
      <c r="C609" s="26"/>
      <c r="D609" s="39"/>
      <c r="E609" s="37"/>
      <c r="F609" s="30"/>
      <c r="G609" s="57"/>
      <c r="H609" s="57"/>
    </row>
    <row r="610" spans="1:8">
      <c r="A610" s="22"/>
      <c r="B610" s="22"/>
      <c r="C610" s="26" t="s">
        <v>2649</v>
      </c>
      <c r="D610" s="39"/>
      <c r="E610" s="37"/>
      <c r="F610" s="30"/>
      <c r="G610" s="57"/>
      <c r="H610" s="57"/>
    </row>
    <row r="611" spans="1:8">
      <c r="A611" s="22"/>
      <c r="B611" s="22"/>
      <c r="C611" s="26" t="s">
        <v>2767</v>
      </c>
      <c r="D611" s="39"/>
      <c r="E611" s="38">
        <f>2*1.775*0.375</f>
        <v>1.3312999999999999</v>
      </c>
      <c r="F611" s="30" t="str">
        <f>F608</f>
        <v>SQM</v>
      </c>
      <c r="G611" s="57"/>
      <c r="H611" s="57"/>
    </row>
    <row r="612" spans="1:8">
      <c r="A612" s="22"/>
      <c r="B612" s="22"/>
      <c r="C612" s="26" t="s">
        <v>2768</v>
      </c>
      <c r="D612" s="22"/>
      <c r="E612" s="38"/>
      <c r="F612" s="32"/>
      <c r="G612" s="57"/>
      <c r="H612" s="57"/>
    </row>
    <row r="613" spans="1:8">
      <c r="A613" s="31"/>
      <c r="B613" s="22"/>
      <c r="C613" s="26" t="s">
        <v>2769</v>
      </c>
      <c r="D613" s="39"/>
      <c r="E613" s="72">
        <f>1.775+0.375</f>
        <v>2.15</v>
      </c>
      <c r="F613" s="30"/>
      <c r="G613" s="57"/>
      <c r="H613" s="57"/>
    </row>
    <row r="614" spans="1:8">
      <c r="A614" s="31"/>
      <c r="B614" s="22"/>
      <c r="C614" s="22"/>
      <c r="D614" s="73"/>
      <c r="E614" s="28">
        <f>E613*4</f>
        <v>8.6</v>
      </c>
      <c r="F614" s="22" t="s">
        <v>669</v>
      </c>
      <c r="G614" s="57"/>
      <c r="H614" s="57"/>
    </row>
    <row r="615" spans="1:8">
      <c r="A615" s="31"/>
      <c r="B615" s="22"/>
      <c r="C615" s="80" t="s">
        <v>2653</v>
      </c>
      <c r="D615" s="73"/>
      <c r="E615" s="23"/>
      <c r="F615" s="22"/>
      <c r="G615" s="57"/>
      <c r="H615" s="57"/>
    </row>
    <row r="616" spans="1:8">
      <c r="A616" s="30"/>
      <c r="B616" s="22"/>
      <c r="C616" s="29"/>
      <c r="D616" s="57"/>
      <c r="E616" s="22"/>
      <c r="F616" s="23"/>
      <c r="G616" s="57"/>
      <c r="H616" s="57"/>
    </row>
    <row r="617" spans="1:8">
      <c r="A617" s="31"/>
      <c r="B617" s="22"/>
      <c r="C617" s="20" t="s">
        <v>2654</v>
      </c>
      <c r="D617" s="57"/>
      <c r="E617" s="22"/>
      <c r="F617" s="23"/>
      <c r="G617" s="57"/>
      <c r="H617" s="57"/>
    </row>
    <row r="618" spans="1:8">
      <c r="A618" s="30">
        <f>E605</f>
        <v>2.7E-2</v>
      </c>
      <c r="B618" s="23" t="s">
        <v>702</v>
      </c>
      <c r="C618" s="26" t="s">
        <v>2655</v>
      </c>
      <c r="D618" s="22" t="e">
        <f>D583</f>
        <v>#REF!</v>
      </c>
      <c r="E618" s="23" t="s">
        <v>702</v>
      </c>
      <c r="F618" s="22" t="e">
        <f>(A618*D618)</f>
        <v>#REF!</v>
      </c>
      <c r="G618" s="57"/>
      <c r="H618" s="57"/>
    </row>
    <row r="619" spans="1:8">
      <c r="A619" s="30">
        <f>E608</f>
        <v>1.9</v>
      </c>
      <c r="B619" t="s">
        <v>488</v>
      </c>
      <c r="C619" s="26" t="s">
        <v>356</v>
      </c>
      <c r="D619" s="22">
        <f t="shared" ref="D619:D626" si="21">D584</f>
        <v>57.65</v>
      </c>
      <c r="E619" t="s">
        <v>488</v>
      </c>
      <c r="F619" s="22">
        <f t="shared" ref="F619:F626" si="22">(A619*D619)</f>
        <v>109.54</v>
      </c>
      <c r="G619" s="57"/>
      <c r="H619" s="57"/>
    </row>
    <row r="620" spans="1:8">
      <c r="A620" s="31">
        <f>E611</f>
        <v>1.3312999999999999</v>
      </c>
      <c r="B620" t="s">
        <v>488</v>
      </c>
      <c r="C620" s="26" t="s">
        <v>2649</v>
      </c>
      <c r="D620" s="22">
        <f t="shared" si="21"/>
        <v>208.8</v>
      </c>
      <c r="E620" t="s">
        <v>488</v>
      </c>
      <c r="F620" s="22">
        <f t="shared" si="22"/>
        <v>277.98</v>
      </c>
      <c r="G620" s="57"/>
      <c r="H620" s="57"/>
    </row>
    <row r="621" spans="1:8">
      <c r="A621" s="22">
        <f>E614</f>
        <v>8.6</v>
      </c>
      <c r="B621" s="22" t="s">
        <v>669</v>
      </c>
      <c r="C621" s="20" t="s">
        <v>2656</v>
      </c>
      <c r="D621" s="22">
        <f t="shared" si="21"/>
        <v>89.6</v>
      </c>
      <c r="E621" s="22" t="s">
        <v>669</v>
      </c>
      <c r="F621" s="22">
        <f t="shared" si="22"/>
        <v>770.56</v>
      </c>
      <c r="G621" s="57"/>
      <c r="H621" s="57"/>
    </row>
    <row r="622" spans="1:8">
      <c r="A622" s="22">
        <v>6</v>
      </c>
      <c r="B622" t="s">
        <v>701</v>
      </c>
      <c r="C622" s="1" t="s">
        <v>1234</v>
      </c>
      <c r="D622" s="22">
        <f t="shared" si="21"/>
        <v>82.25</v>
      </c>
      <c r="E622" s="1" t="s">
        <v>701</v>
      </c>
      <c r="F622" s="22">
        <f t="shared" si="22"/>
        <v>493.5</v>
      </c>
      <c r="G622" s="57"/>
      <c r="H622" s="57"/>
    </row>
    <row r="623" spans="1:8">
      <c r="A623" s="22">
        <v>4</v>
      </c>
      <c r="B623" t="s">
        <v>701</v>
      </c>
      <c r="C623" s="1" t="s">
        <v>2152</v>
      </c>
      <c r="D623" s="22">
        <f t="shared" si="21"/>
        <v>57.65</v>
      </c>
      <c r="E623" s="1" t="s">
        <v>701</v>
      </c>
      <c r="F623" s="22">
        <f t="shared" si="22"/>
        <v>230.6</v>
      </c>
      <c r="G623" s="57"/>
      <c r="H623" s="57"/>
    </row>
    <row r="624" spans="1:8">
      <c r="A624" s="22">
        <v>2</v>
      </c>
      <c r="B624" t="s">
        <v>701</v>
      </c>
      <c r="C624" s="1" t="s">
        <v>2153</v>
      </c>
      <c r="D624" s="22">
        <f t="shared" si="21"/>
        <v>7.3</v>
      </c>
      <c r="E624" s="1" t="s">
        <v>701</v>
      </c>
      <c r="F624" s="22">
        <f t="shared" si="22"/>
        <v>14.6</v>
      </c>
      <c r="G624" s="57"/>
      <c r="H624" s="57"/>
    </row>
    <row r="625" spans="1:8">
      <c r="A625" s="22">
        <v>2</v>
      </c>
      <c r="B625" t="s">
        <v>701</v>
      </c>
      <c r="C625" s="1" t="s">
        <v>1612</v>
      </c>
      <c r="D625" s="22">
        <f t="shared" si="21"/>
        <v>2.41</v>
      </c>
      <c r="E625" s="1" t="s">
        <v>701</v>
      </c>
      <c r="F625" s="22">
        <f t="shared" si="22"/>
        <v>4.82</v>
      </c>
      <c r="G625" s="57"/>
      <c r="H625" s="57"/>
    </row>
    <row r="626" spans="1:8">
      <c r="A626" s="22">
        <v>80</v>
      </c>
      <c r="B626" t="s">
        <v>701</v>
      </c>
      <c r="C626" s="1" t="s">
        <v>2657</v>
      </c>
      <c r="D626" s="22">
        <f t="shared" si="21"/>
        <v>0</v>
      </c>
      <c r="E626" s="1" t="s">
        <v>701</v>
      </c>
      <c r="F626" s="22">
        <f t="shared" si="22"/>
        <v>0</v>
      </c>
      <c r="G626" s="57"/>
      <c r="H626" s="57"/>
    </row>
    <row r="627" spans="1:8">
      <c r="A627" s="22"/>
      <c r="B627" s="22"/>
      <c r="C627" s="26"/>
      <c r="D627" s="57"/>
      <c r="E627" s="22"/>
      <c r="F627" s="27" t="s">
        <v>1288</v>
      </c>
      <c r="G627" s="57"/>
      <c r="H627" s="57"/>
    </row>
    <row r="628" spans="1:8">
      <c r="A628" s="22"/>
      <c r="B628" s="22"/>
      <c r="C628" s="26" t="s">
        <v>2770</v>
      </c>
      <c r="D628" s="57"/>
      <c r="E628" s="23"/>
      <c r="F628" s="24" t="e">
        <f>SUM(F618:F627)</f>
        <v>#REF!</v>
      </c>
      <c r="G628" s="57"/>
      <c r="H628" s="57"/>
    </row>
    <row r="629" spans="1:8">
      <c r="A629" s="22"/>
      <c r="B629" s="22"/>
      <c r="C629" s="57"/>
      <c r="D629" s="22"/>
      <c r="E629" s="23"/>
      <c r="F629" s="27" t="s">
        <v>1288</v>
      </c>
      <c r="G629" s="57"/>
      <c r="H629" s="57"/>
    </row>
    <row r="630" spans="1:8">
      <c r="A630" s="22"/>
      <c r="B630" s="22"/>
      <c r="C630" s="24" t="s">
        <v>2454</v>
      </c>
      <c r="D630" s="22"/>
      <c r="E630" s="23"/>
      <c r="F630" s="60" t="e">
        <f>F628/A619</f>
        <v>#REF!</v>
      </c>
      <c r="G630" s="57"/>
      <c r="H630" s="57"/>
    </row>
    <row r="631" spans="1:8">
      <c r="A631" s="22"/>
      <c r="B631" s="22"/>
      <c r="C631" s="22"/>
      <c r="D631" s="22"/>
      <c r="E631" s="23"/>
      <c r="F631" s="57"/>
      <c r="G631" s="57"/>
      <c r="H631" s="57"/>
    </row>
    <row r="632" spans="1:8">
      <c r="A632" s="57"/>
      <c r="B632" s="57"/>
      <c r="C632" s="57"/>
      <c r="D632" s="57"/>
      <c r="E632" s="57"/>
      <c r="F632" s="57"/>
      <c r="G632" s="57"/>
      <c r="H632" s="57"/>
    </row>
    <row r="633" spans="1:8">
      <c r="A633" s="57"/>
      <c r="B633" s="57"/>
      <c r="C633" s="57"/>
      <c r="D633" s="57"/>
      <c r="E633" s="57"/>
      <c r="F633" s="57"/>
      <c r="G633" s="57"/>
      <c r="H633" s="57"/>
    </row>
    <row r="634" spans="1:8">
      <c r="A634" s="81">
        <v>4</v>
      </c>
      <c r="B634" s="22"/>
      <c r="C634" s="26" t="s">
        <v>2643</v>
      </c>
      <c r="D634" s="22"/>
      <c r="E634" s="23"/>
      <c r="F634" s="22"/>
      <c r="G634" s="57"/>
      <c r="H634" s="57"/>
    </row>
    <row r="635" spans="1:8" ht="18">
      <c r="A635" s="22"/>
      <c r="B635" s="22"/>
      <c r="C635" s="36" t="s">
        <v>2771</v>
      </c>
      <c r="D635" s="22"/>
      <c r="E635" s="23"/>
      <c r="F635" s="22"/>
      <c r="G635" s="57"/>
      <c r="H635" s="57"/>
    </row>
    <row r="636" spans="1:8">
      <c r="A636" s="22"/>
      <c r="B636" s="22"/>
      <c r="C636" s="27" t="s">
        <v>1288</v>
      </c>
      <c r="D636" s="22"/>
      <c r="E636" s="23"/>
      <c r="F636" s="22"/>
      <c r="G636" s="57"/>
      <c r="H636" s="57"/>
    </row>
    <row r="637" spans="1:8">
      <c r="A637" s="22"/>
      <c r="B637" s="22"/>
      <c r="C637" s="20" t="s">
        <v>2645</v>
      </c>
      <c r="F637" t="s">
        <v>1749</v>
      </c>
      <c r="G637" s="57"/>
      <c r="H637" s="57"/>
    </row>
    <row r="638" spans="1:8">
      <c r="A638" s="22"/>
      <c r="B638" s="22"/>
      <c r="C638" s="32" t="s">
        <v>2772</v>
      </c>
      <c r="D638" s="57"/>
      <c r="E638" s="38">
        <f>2*2*1.9*0.075*0.0375</f>
        <v>2.1399999999999999E-2</v>
      </c>
      <c r="F638" s="22" t="s">
        <v>1749</v>
      </c>
      <c r="G638" s="57"/>
      <c r="H638" s="57"/>
    </row>
    <row r="639" spans="1:8">
      <c r="A639" s="22"/>
      <c r="B639" s="22"/>
      <c r="C639" s="26" t="s">
        <v>2773</v>
      </c>
      <c r="D639" s="57"/>
      <c r="E639" s="38">
        <f>2*0.65*0.075*0.0375</f>
        <v>3.7000000000000002E-3</v>
      </c>
      <c r="F639" s="22" t="s">
        <v>1749</v>
      </c>
      <c r="G639" s="57"/>
      <c r="H639" s="57"/>
    </row>
    <row r="640" spans="1:8">
      <c r="A640" s="22"/>
      <c r="B640" s="22"/>
      <c r="C640" s="26"/>
      <c r="D640" s="24"/>
      <c r="E640" s="27" t="s">
        <v>1288</v>
      </c>
      <c r="F640" s="30"/>
      <c r="G640" s="57"/>
      <c r="H640" s="57"/>
    </row>
    <row r="641" spans="1:8">
      <c r="A641" s="22"/>
      <c r="B641" s="22"/>
      <c r="C641" s="22"/>
      <c r="D641" s="22"/>
      <c r="E641" s="71">
        <f>SUM(E638:E640)</f>
        <v>2.5100000000000001E-2</v>
      </c>
      <c r="F641" t="s">
        <v>1749</v>
      </c>
      <c r="G641" s="57"/>
      <c r="H641" s="57"/>
    </row>
    <row r="642" spans="1:8">
      <c r="A642" s="22"/>
      <c r="B642" s="22"/>
      <c r="C642" s="22"/>
      <c r="D642" s="22"/>
      <c r="E642" s="27" t="s">
        <v>1288</v>
      </c>
      <c r="G642" s="57"/>
      <c r="H642" s="57"/>
    </row>
    <row r="643" spans="1:8">
      <c r="A643" s="22"/>
      <c r="B643" s="22"/>
      <c r="C643" s="26" t="s">
        <v>356</v>
      </c>
      <c r="D643" s="57"/>
      <c r="E643" s="57"/>
      <c r="F643" s="57"/>
      <c r="G643" s="57"/>
      <c r="H643" s="57"/>
    </row>
    <row r="644" spans="1:8">
      <c r="A644" s="22"/>
      <c r="B644" s="22"/>
      <c r="C644" s="26" t="s">
        <v>2774</v>
      </c>
      <c r="D644" s="39"/>
      <c r="E644" s="37">
        <f>1*1.9*0.65</f>
        <v>1.2350000000000001</v>
      </c>
      <c r="F644" t="s">
        <v>488</v>
      </c>
      <c r="G644" s="57"/>
      <c r="H644" s="57"/>
    </row>
    <row r="645" spans="1:8">
      <c r="A645" s="22"/>
      <c r="B645" s="22"/>
      <c r="C645" s="26"/>
      <c r="D645" s="39"/>
      <c r="E645" s="37"/>
      <c r="F645" s="30"/>
      <c r="G645" s="57"/>
      <c r="H645" s="57"/>
    </row>
    <row r="646" spans="1:8">
      <c r="A646" s="22"/>
      <c r="B646" s="22"/>
      <c r="C646" s="26" t="s">
        <v>2649</v>
      </c>
      <c r="D646" s="39"/>
      <c r="E646" s="37"/>
      <c r="F646" s="30"/>
      <c r="G646" s="57"/>
      <c r="H646" s="57"/>
    </row>
    <row r="647" spans="1:8">
      <c r="A647" s="22"/>
      <c r="B647" s="22"/>
      <c r="C647" s="26" t="s">
        <v>2775</v>
      </c>
      <c r="D647" s="39"/>
      <c r="E647" s="38">
        <f>1*1.775*0.525</f>
        <v>0.93189999999999995</v>
      </c>
      <c r="F647" s="30" t="str">
        <f>F644</f>
        <v>SQM</v>
      </c>
      <c r="G647" s="57"/>
      <c r="H647" s="57"/>
    </row>
    <row r="648" spans="1:8">
      <c r="A648" s="22"/>
      <c r="B648" s="22"/>
      <c r="C648" s="26" t="s">
        <v>2651</v>
      </c>
      <c r="D648" s="22"/>
      <c r="E648" s="38"/>
      <c r="F648" s="32"/>
      <c r="G648" s="57"/>
      <c r="H648" s="57"/>
    </row>
    <row r="649" spans="1:8">
      <c r="A649" s="31"/>
      <c r="B649" s="22"/>
      <c r="C649" s="26" t="s">
        <v>2776</v>
      </c>
      <c r="D649" s="39"/>
      <c r="E649" s="72">
        <f>1.775+0.525</f>
        <v>2.2999999999999998</v>
      </c>
      <c r="F649" s="30"/>
      <c r="G649" s="57"/>
      <c r="H649" s="57"/>
    </row>
    <row r="650" spans="1:8">
      <c r="A650" s="31"/>
      <c r="B650" s="22"/>
      <c r="C650" s="22"/>
      <c r="D650" s="73"/>
      <c r="E650" s="28">
        <f>E649*2</f>
        <v>4.5999999999999996</v>
      </c>
      <c r="F650" s="22" t="s">
        <v>669</v>
      </c>
      <c r="G650" s="57"/>
      <c r="H650" s="57"/>
    </row>
    <row r="651" spans="1:8">
      <c r="A651" s="31"/>
      <c r="B651" s="22"/>
      <c r="C651" s="80" t="s">
        <v>2653</v>
      </c>
      <c r="D651" s="73"/>
      <c r="E651" s="23"/>
      <c r="F651" s="22"/>
      <c r="G651" s="57"/>
      <c r="H651" s="57"/>
    </row>
    <row r="652" spans="1:8">
      <c r="A652" s="30"/>
      <c r="B652" s="22"/>
      <c r="C652" s="29"/>
      <c r="D652" s="57"/>
      <c r="E652" s="22"/>
      <c r="F652" s="23"/>
      <c r="G652" s="57"/>
      <c r="H652" s="57"/>
    </row>
    <row r="653" spans="1:8">
      <c r="A653" s="31"/>
      <c r="B653" s="22"/>
      <c r="C653" s="20" t="s">
        <v>2654</v>
      </c>
      <c r="D653" s="57"/>
      <c r="E653" s="22"/>
      <c r="F653" s="23"/>
      <c r="G653" s="57"/>
      <c r="H653" s="57"/>
    </row>
    <row r="654" spans="1:8">
      <c r="A654" s="30">
        <f>E641</f>
        <v>2.5100000000000001E-2</v>
      </c>
      <c r="B654" s="23" t="s">
        <v>702</v>
      </c>
      <c r="C654" s="26" t="s">
        <v>2655</v>
      </c>
      <c r="D654" s="22" t="e">
        <f>D618</f>
        <v>#REF!</v>
      </c>
      <c r="E654" s="23" t="s">
        <v>702</v>
      </c>
      <c r="F654" s="22" t="e">
        <f>(A654*D654)</f>
        <v>#REF!</v>
      </c>
      <c r="G654" s="57"/>
      <c r="H654" s="57"/>
    </row>
    <row r="655" spans="1:8">
      <c r="A655" s="30">
        <f>E644</f>
        <v>1.2350000000000001</v>
      </c>
      <c r="B655" t="s">
        <v>488</v>
      </c>
      <c r="C655" s="26" t="s">
        <v>356</v>
      </c>
      <c r="D655" s="22">
        <f t="shared" ref="D655:D662" si="23">D619</f>
        <v>57.65</v>
      </c>
      <c r="E655" t="s">
        <v>488</v>
      </c>
      <c r="F655" s="22">
        <f t="shared" ref="F655:F662" si="24">(A655*D655)</f>
        <v>71.2</v>
      </c>
      <c r="G655" s="57"/>
      <c r="H655" s="57"/>
    </row>
    <row r="656" spans="1:8">
      <c r="A656" s="31">
        <f>E647</f>
        <v>0.93189999999999995</v>
      </c>
      <c r="B656" t="s">
        <v>488</v>
      </c>
      <c r="C656" s="26" t="s">
        <v>2649</v>
      </c>
      <c r="D656" s="22">
        <f t="shared" si="23"/>
        <v>208.8</v>
      </c>
      <c r="E656" t="s">
        <v>488</v>
      </c>
      <c r="F656" s="22">
        <f t="shared" si="24"/>
        <v>194.58</v>
      </c>
      <c r="G656" s="57"/>
      <c r="H656" s="57"/>
    </row>
    <row r="657" spans="1:8">
      <c r="A657" s="22">
        <f>E650</f>
        <v>4.5999999999999996</v>
      </c>
      <c r="B657" s="22" t="s">
        <v>669</v>
      </c>
      <c r="C657" s="20" t="s">
        <v>2656</v>
      </c>
      <c r="D657" s="22">
        <f t="shared" si="23"/>
        <v>89.6</v>
      </c>
      <c r="E657" s="22" t="s">
        <v>669</v>
      </c>
      <c r="F657" s="22">
        <f t="shared" si="24"/>
        <v>412.16</v>
      </c>
      <c r="G657" s="57"/>
      <c r="H657" s="57"/>
    </row>
    <row r="658" spans="1:8">
      <c r="A658" s="22">
        <v>3</v>
      </c>
      <c r="B658" t="s">
        <v>701</v>
      </c>
      <c r="C658" s="1" t="s">
        <v>1234</v>
      </c>
      <c r="D658" s="22">
        <f t="shared" si="23"/>
        <v>82.25</v>
      </c>
      <c r="E658" s="1" t="s">
        <v>701</v>
      </c>
      <c r="F658" s="22">
        <f t="shared" si="24"/>
        <v>246.75</v>
      </c>
      <c r="G658" s="57"/>
      <c r="H658" s="57"/>
    </row>
    <row r="659" spans="1:8">
      <c r="A659" s="22">
        <v>2</v>
      </c>
      <c r="B659" t="s">
        <v>701</v>
      </c>
      <c r="C659" s="1" t="s">
        <v>2152</v>
      </c>
      <c r="D659" s="22">
        <f t="shared" si="23"/>
        <v>57.65</v>
      </c>
      <c r="E659" s="1" t="s">
        <v>701</v>
      </c>
      <c r="F659" s="22">
        <f t="shared" si="24"/>
        <v>115.3</v>
      </c>
      <c r="G659" s="57"/>
      <c r="H659" s="57"/>
    </row>
    <row r="660" spans="1:8">
      <c r="A660" s="22">
        <v>1</v>
      </c>
      <c r="B660" t="s">
        <v>701</v>
      </c>
      <c r="C660" s="1" t="s">
        <v>2153</v>
      </c>
      <c r="D660" s="22">
        <f t="shared" si="23"/>
        <v>7.3</v>
      </c>
      <c r="E660" s="1" t="s">
        <v>701</v>
      </c>
      <c r="F660" s="22">
        <f t="shared" si="24"/>
        <v>7.3</v>
      </c>
      <c r="G660" s="57"/>
      <c r="H660" s="57"/>
    </row>
    <row r="661" spans="1:8">
      <c r="A661" s="22">
        <v>1</v>
      </c>
      <c r="B661" t="s">
        <v>701</v>
      </c>
      <c r="C661" s="1" t="s">
        <v>1612</v>
      </c>
      <c r="D661" s="22">
        <f t="shared" si="23"/>
        <v>2.41</v>
      </c>
      <c r="E661" s="1" t="s">
        <v>701</v>
      </c>
      <c r="F661" s="22">
        <f t="shared" si="24"/>
        <v>2.41</v>
      </c>
      <c r="G661" s="57"/>
      <c r="H661" s="57"/>
    </row>
    <row r="662" spans="1:8">
      <c r="A662" s="22">
        <v>40</v>
      </c>
      <c r="B662" t="s">
        <v>701</v>
      </c>
      <c r="C662" s="1" t="s">
        <v>2657</v>
      </c>
      <c r="D662" s="22">
        <f t="shared" si="23"/>
        <v>0</v>
      </c>
      <c r="E662" s="1" t="s">
        <v>701</v>
      </c>
      <c r="F662" s="22">
        <f t="shared" si="24"/>
        <v>0</v>
      </c>
      <c r="G662" s="57"/>
      <c r="H662" s="57"/>
    </row>
    <row r="663" spans="1:8">
      <c r="A663" s="22"/>
      <c r="B663" s="22"/>
      <c r="C663" s="26"/>
      <c r="D663" s="57"/>
      <c r="E663" s="22"/>
      <c r="F663" s="27" t="s">
        <v>1288</v>
      </c>
      <c r="G663" s="57"/>
      <c r="H663" s="57"/>
    </row>
    <row r="664" spans="1:8">
      <c r="A664" s="22"/>
      <c r="B664" s="22"/>
      <c r="C664" s="26" t="s">
        <v>2777</v>
      </c>
      <c r="D664" s="57"/>
      <c r="E664" s="23"/>
      <c r="F664" s="24" t="e">
        <f>SUM(F654:F663)</f>
        <v>#REF!</v>
      </c>
      <c r="G664" s="57"/>
      <c r="H664" s="57"/>
    </row>
    <row r="665" spans="1:8">
      <c r="A665" s="22"/>
      <c r="B665" s="22"/>
      <c r="C665" s="57"/>
      <c r="D665" s="22"/>
      <c r="E665" s="23"/>
      <c r="F665" s="27" t="s">
        <v>1288</v>
      </c>
      <c r="G665" s="57"/>
      <c r="H665" s="57"/>
    </row>
    <row r="666" spans="1:8">
      <c r="A666" s="22"/>
      <c r="B666" s="22"/>
      <c r="C666" s="24" t="s">
        <v>2454</v>
      </c>
      <c r="D666" s="22"/>
      <c r="E666" s="23"/>
      <c r="F666" s="60" t="e">
        <f>F664/A655</f>
        <v>#REF!</v>
      </c>
      <c r="G666" s="57"/>
      <c r="H666" s="57"/>
    </row>
    <row r="667" spans="1:8">
      <c r="A667" s="22"/>
      <c r="B667" s="22"/>
      <c r="C667" s="22"/>
      <c r="D667" s="22"/>
      <c r="E667" s="23"/>
      <c r="F667" s="57"/>
      <c r="G667" s="57"/>
      <c r="H667" s="57"/>
    </row>
    <row r="668" spans="1:8">
      <c r="A668" s="57"/>
      <c r="B668" s="57"/>
      <c r="C668" s="57"/>
      <c r="D668" s="57"/>
      <c r="E668" s="57"/>
      <c r="F668" s="57"/>
      <c r="G668" s="57"/>
      <c r="H668" s="57"/>
    </row>
    <row r="669" spans="1:8">
      <c r="A669" s="57"/>
      <c r="B669" s="57"/>
      <c r="C669" s="57"/>
      <c r="D669" s="57"/>
      <c r="E669" s="57"/>
      <c r="F669" s="57"/>
      <c r="G669" s="57"/>
      <c r="H669" s="57"/>
    </row>
    <row r="670" spans="1:8">
      <c r="A670" s="22"/>
      <c r="B670" s="22"/>
      <c r="C670" s="26" t="s">
        <v>2643</v>
      </c>
      <c r="D670" s="22"/>
      <c r="E670" s="23"/>
      <c r="F670" s="22"/>
      <c r="G670" s="57"/>
      <c r="H670" s="57"/>
    </row>
    <row r="671" spans="1:8" ht="18">
      <c r="A671" s="22"/>
      <c r="B671" s="22"/>
      <c r="C671" s="36" t="s">
        <v>2778</v>
      </c>
      <c r="D671" s="22"/>
      <c r="E671" s="23"/>
      <c r="F671" s="22"/>
      <c r="G671" s="57"/>
      <c r="H671" s="57"/>
    </row>
    <row r="672" spans="1:8">
      <c r="A672" s="22"/>
      <c r="B672" s="22"/>
      <c r="C672" s="27" t="s">
        <v>1288</v>
      </c>
      <c r="D672" s="22"/>
      <c r="E672" s="23"/>
      <c r="F672" s="22"/>
      <c r="G672" s="57"/>
      <c r="H672" s="57"/>
    </row>
    <row r="673" spans="1:8">
      <c r="A673" s="22"/>
      <c r="B673" s="22"/>
      <c r="C673" s="20" t="s">
        <v>2645</v>
      </c>
      <c r="F673" t="s">
        <v>1749</v>
      </c>
      <c r="G673" s="57"/>
      <c r="H673" s="57"/>
    </row>
    <row r="674" spans="1:8">
      <c r="A674" s="22"/>
      <c r="B674" s="22"/>
      <c r="C674" s="32" t="s">
        <v>2772</v>
      </c>
      <c r="D674" s="57"/>
      <c r="E674" s="38">
        <f>2*2*1.9*0.075*0.0375</f>
        <v>2.1399999999999999E-2</v>
      </c>
      <c r="F674" s="22" t="s">
        <v>1749</v>
      </c>
      <c r="G674" s="57"/>
      <c r="H674" s="57"/>
    </row>
    <row r="675" spans="1:8">
      <c r="A675" s="22"/>
      <c r="B675" s="22"/>
      <c r="C675" s="26" t="s">
        <v>2779</v>
      </c>
      <c r="D675" s="57"/>
      <c r="E675" s="38">
        <f>1*2*0.47*0.075*0.0375</f>
        <v>2.5999999999999999E-3</v>
      </c>
      <c r="F675" s="22" t="s">
        <v>1749</v>
      </c>
      <c r="G675" s="57"/>
      <c r="H675" s="57"/>
    </row>
    <row r="676" spans="1:8">
      <c r="A676" s="22"/>
      <c r="B676" s="22"/>
      <c r="C676" s="26"/>
      <c r="D676" s="24"/>
      <c r="E676" s="27" t="s">
        <v>1288</v>
      </c>
      <c r="F676" s="30"/>
      <c r="G676" s="57"/>
      <c r="H676" s="57"/>
    </row>
    <row r="677" spans="1:8">
      <c r="A677" s="22"/>
      <c r="B677" s="22"/>
      <c r="C677" s="22"/>
      <c r="D677" s="22"/>
      <c r="E677" s="71">
        <f>SUM(E674:E676)</f>
        <v>2.4E-2</v>
      </c>
      <c r="F677" t="s">
        <v>1749</v>
      </c>
      <c r="G677" s="57"/>
      <c r="H677" s="57"/>
    </row>
    <row r="678" spans="1:8">
      <c r="A678" s="22"/>
      <c r="B678" s="22"/>
      <c r="C678" s="22"/>
      <c r="D678" s="22"/>
      <c r="E678" s="27" t="s">
        <v>1288</v>
      </c>
      <c r="G678" s="57"/>
      <c r="H678" s="57"/>
    </row>
    <row r="679" spans="1:8">
      <c r="A679" s="22"/>
      <c r="B679" s="22"/>
      <c r="C679" s="26" t="s">
        <v>356</v>
      </c>
      <c r="D679" s="57"/>
      <c r="E679" s="57"/>
      <c r="F679" s="57"/>
      <c r="G679" s="57"/>
      <c r="H679" s="57"/>
    </row>
    <row r="680" spans="1:8">
      <c r="A680" s="22"/>
      <c r="B680" s="22"/>
      <c r="C680" s="26" t="s">
        <v>2780</v>
      </c>
      <c r="D680" s="39"/>
      <c r="E680" s="37">
        <f>1*1.9*0.47</f>
        <v>0.89300000000000002</v>
      </c>
      <c r="F680" t="s">
        <v>488</v>
      </c>
      <c r="G680" s="57"/>
      <c r="H680" s="57"/>
    </row>
    <row r="681" spans="1:8">
      <c r="A681" s="22"/>
      <c r="B681" s="22"/>
      <c r="C681" s="26"/>
      <c r="D681" s="39"/>
      <c r="E681" s="37"/>
      <c r="F681" s="30"/>
      <c r="G681" s="57"/>
      <c r="H681" s="57"/>
    </row>
    <row r="682" spans="1:8">
      <c r="A682" s="22"/>
      <c r="B682" s="22"/>
      <c r="C682" s="26" t="s">
        <v>2649</v>
      </c>
      <c r="D682" s="39"/>
      <c r="E682" s="37"/>
      <c r="F682" s="30"/>
      <c r="G682" s="57"/>
      <c r="H682" s="57"/>
    </row>
    <row r="683" spans="1:8">
      <c r="A683" s="22"/>
      <c r="B683" s="22"/>
      <c r="C683" s="26" t="s">
        <v>2781</v>
      </c>
      <c r="D683" s="39"/>
      <c r="E683" s="38">
        <f>1*1.775*0.345</f>
        <v>0.61240000000000006</v>
      </c>
      <c r="F683" s="30" t="str">
        <f>F680</f>
        <v>SQM</v>
      </c>
      <c r="H683" s="57"/>
    </row>
    <row r="684" spans="1:8">
      <c r="A684" s="22"/>
      <c r="B684" s="22"/>
      <c r="C684" s="26" t="s">
        <v>2651</v>
      </c>
      <c r="D684" s="22"/>
      <c r="E684" s="38"/>
      <c r="F684" s="32"/>
      <c r="H684" s="57"/>
    </row>
    <row r="685" spans="1:8">
      <c r="A685" s="31"/>
      <c r="B685" s="22"/>
      <c r="C685" s="26" t="s">
        <v>2782</v>
      </c>
      <c r="D685" s="39"/>
      <c r="E685" s="72">
        <f>1.775+0.345</f>
        <v>2.12</v>
      </c>
      <c r="F685" s="30"/>
      <c r="H685" s="57"/>
    </row>
    <row r="686" spans="1:8">
      <c r="A686" s="31"/>
      <c r="B686" s="22"/>
      <c r="C686" s="22"/>
      <c r="D686" s="73"/>
      <c r="E686" s="28">
        <f>E685*2</f>
        <v>4.24</v>
      </c>
      <c r="F686" s="22" t="s">
        <v>669</v>
      </c>
      <c r="H686" s="57"/>
    </row>
    <row r="687" spans="1:8">
      <c r="A687" s="31"/>
      <c r="B687" s="22"/>
      <c r="C687" s="80" t="s">
        <v>2653</v>
      </c>
      <c r="D687" s="73"/>
      <c r="E687" s="23"/>
      <c r="F687" s="22"/>
      <c r="H687" s="57"/>
    </row>
    <row r="688" spans="1:8">
      <c r="A688" s="30"/>
      <c r="B688" s="22"/>
      <c r="C688" s="29"/>
      <c r="D688" s="57"/>
      <c r="E688" s="22"/>
      <c r="F688" s="23"/>
      <c r="H688" s="57"/>
    </row>
    <row r="689" spans="1:8">
      <c r="A689" s="31"/>
      <c r="B689" s="22"/>
      <c r="C689" s="20" t="s">
        <v>2654</v>
      </c>
      <c r="D689" s="57"/>
      <c r="E689" s="22"/>
      <c r="F689" s="23"/>
      <c r="H689" s="57"/>
    </row>
    <row r="690" spans="1:8">
      <c r="A690" s="30">
        <f>E677</f>
        <v>2.4E-2</v>
      </c>
      <c r="B690" s="23" t="s">
        <v>702</v>
      </c>
      <c r="C690" s="26" t="s">
        <v>2655</v>
      </c>
      <c r="D690" s="22" t="e">
        <f>D654</f>
        <v>#REF!</v>
      </c>
      <c r="E690" s="23" t="s">
        <v>702</v>
      </c>
      <c r="F690" s="22" t="e">
        <f>(A690*D690)</f>
        <v>#REF!</v>
      </c>
      <c r="H690" s="57"/>
    </row>
    <row r="691" spans="1:8">
      <c r="A691" s="30">
        <f>E680</f>
        <v>0.89300000000000002</v>
      </c>
      <c r="B691" t="s">
        <v>488</v>
      </c>
      <c r="C691" s="26" t="s">
        <v>356</v>
      </c>
      <c r="D691" s="22">
        <f t="shared" ref="D691:D698" si="25">D655</f>
        <v>57.65</v>
      </c>
      <c r="E691" t="s">
        <v>488</v>
      </c>
      <c r="F691" s="22">
        <f t="shared" ref="F691:F698" si="26">(A691*D691)</f>
        <v>51.48</v>
      </c>
      <c r="H691" s="57"/>
    </row>
    <row r="692" spans="1:8">
      <c r="A692" s="31">
        <f>E683</f>
        <v>0.61240000000000006</v>
      </c>
      <c r="B692" t="s">
        <v>488</v>
      </c>
      <c r="C692" s="26" t="s">
        <v>2649</v>
      </c>
      <c r="D692" s="22">
        <f t="shared" si="25"/>
        <v>208.8</v>
      </c>
      <c r="E692" t="s">
        <v>488</v>
      </c>
      <c r="F692" s="22">
        <f t="shared" si="26"/>
        <v>127.87</v>
      </c>
      <c r="H692" s="57"/>
    </row>
    <row r="693" spans="1:8">
      <c r="A693" s="22">
        <f>E686</f>
        <v>4.24</v>
      </c>
      <c r="B693" s="22" t="s">
        <v>669</v>
      </c>
      <c r="C693" s="20" t="s">
        <v>2656</v>
      </c>
      <c r="D693" s="22">
        <f t="shared" si="25"/>
        <v>89.6</v>
      </c>
      <c r="E693" s="22" t="s">
        <v>669</v>
      </c>
      <c r="F693" s="22">
        <f t="shared" si="26"/>
        <v>379.9</v>
      </c>
      <c r="H693" s="57"/>
    </row>
    <row r="694" spans="1:8">
      <c r="A694" s="22">
        <v>3</v>
      </c>
      <c r="B694" t="s">
        <v>701</v>
      </c>
      <c r="C694" s="1" t="s">
        <v>1234</v>
      </c>
      <c r="D694" s="22">
        <f t="shared" si="25"/>
        <v>82.25</v>
      </c>
      <c r="E694" s="1" t="s">
        <v>701</v>
      </c>
      <c r="F694" s="22">
        <f t="shared" si="26"/>
        <v>246.75</v>
      </c>
      <c r="H694" s="57"/>
    </row>
    <row r="695" spans="1:8">
      <c r="A695" s="22">
        <v>2</v>
      </c>
      <c r="B695" t="s">
        <v>701</v>
      </c>
      <c r="C695" s="1" t="s">
        <v>2152</v>
      </c>
      <c r="D695" s="22">
        <f t="shared" si="25"/>
        <v>57.65</v>
      </c>
      <c r="E695" s="1" t="s">
        <v>701</v>
      </c>
      <c r="F695" s="22">
        <f t="shared" si="26"/>
        <v>115.3</v>
      </c>
      <c r="H695" s="57"/>
    </row>
    <row r="696" spans="1:8">
      <c r="A696" s="22">
        <v>1</v>
      </c>
      <c r="B696" t="s">
        <v>701</v>
      </c>
      <c r="C696" s="1" t="s">
        <v>2153</v>
      </c>
      <c r="D696" s="22">
        <f t="shared" si="25"/>
        <v>7.3</v>
      </c>
      <c r="E696" s="1" t="s">
        <v>701</v>
      </c>
      <c r="F696" s="22">
        <f t="shared" si="26"/>
        <v>7.3</v>
      </c>
      <c r="H696" s="57"/>
    </row>
    <row r="697" spans="1:8">
      <c r="A697" s="22">
        <v>1</v>
      </c>
      <c r="B697" t="s">
        <v>701</v>
      </c>
      <c r="C697" s="1" t="s">
        <v>1612</v>
      </c>
      <c r="D697" s="22">
        <f t="shared" si="25"/>
        <v>2.41</v>
      </c>
      <c r="E697" s="1" t="s">
        <v>701</v>
      </c>
      <c r="F697" s="22">
        <f t="shared" si="26"/>
        <v>2.41</v>
      </c>
      <c r="H697" s="57"/>
    </row>
    <row r="698" spans="1:8">
      <c r="A698" s="22">
        <v>40</v>
      </c>
      <c r="B698" t="s">
        <v>701</v>
      </c>
      <c r="C698" s="1" t="s">
        <v>2657</v>
      </c>
      <c r="D698" s="22">
        <f t="shared" si="25"/>
        <v>0</v>
      </c>
      <c r="E698" s="1" t="s">
        <v>701</v>
      </c>
      <c r="F698" s="22">
        <f t="shared" si="26"/>
        <v>0</v>
      </c>
      <c r="H698" s="57"/>
    </row>
    <row r="699" spans="1:8">
      <c r="A699" s="22"/>
      <c r="B699" s="22"/>
      <c r="C699" s="26"/>
      <c r="D699" s="57"/>
      <c r="E699" s="22"/>
      <c r="F699" s="27" t="s">
        <v>1288</v>
      </c>
      <c r="H699" s="57"/>
    </row>
    <row r="700" spans="1:8">
      <c r="A700" s="22"/>
      <c r="B700" s="22"/>
      <c r="C700" s="26" t="s">
        <v>2783</v>
      </c>
      <c r="D700" s="57"/>
      <c r="E700" s="23"/>
      <c r="F700" s="24" t="e">
        <f>SUM(F690:F699)</f>
        <v>#REF!</v>
      </c>
      <c r="H700" s="57"/>
    </row>
    <row r="701" spans="1:8">
      <c r="A701" s="22"/>
      <c r="B701" s="22"/>
      <c r="C701" s="57"/>
      <c r="D701" s="22"/>
      <c r="E701" s="23"/>
      <c r="F701" s="27" t="s">
        <v>1288</v>
      </c>
      <c r="H701" s="57"/>
    </row>
    <row r="702" spans="1:8">
      <c r="A702" s="22"/>
      <c r="B702" s="22"/>
      <c r="C702" s="24" t="s">
        <v>2454</v>
      </c>
      <c r="D702" s="22"/>
      <c r="E702" s="23"/>
      <c r="F702" s="60" t="e">
        <f>F700/A691</f>
        <v>#REF!</v>
      </c>
      <c r="H702" s="57"/>
    </row>
    <row r="703" spans="1:8">
      <c r="A703" s="22"/>
      <c r="B703" s="22"/>
      <c r="C703" s="22"/>
      <c r="D703" s="22"/>
      <c r="E703" s="23"/>
      <c r="F703" s="57"/>
      <c r="H703" s="57"/>
    </row>
    <row r="704" spans="1:8">
      <c r="A704" s="57"/>
      <c r="B704" s="57"/>
      <c r="C704" s="57"/>
      <c r="D704" s="57"/>
      <c r="E704" s="57"/>
      <c r="F704" s="57"/>
      <c r="H704" s="57"/>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2.xml><?xml version="1.0" encoding="utf-8"?>
<worksheet xmlns="http://schemas.openxmlformats.org/spreadsheetml/2006/main" xmlns:r="http://schemas.openxmlformats.org/officeDocument/2006/relationships">
  <sheetPr>
    <tabColor rgb="FF00B050"/>
  </sheetPr>
  <dimension ref="A1:F95"/>
  <sheetViews>
    <sheetView view="pageBreakPreview" zoomScaleSheetLayoutView="100" workbookViewId="0">
      <selection activeCell="D7" sqref="D7"/>
    </sheetView>
  </sheetViews>
  <sheetFormatPr defaultRowHeight="26.25" customHeight="1"/>
  <cols>
    <col min="1" max="1" width="7.21875" style="166" customWidth="1"/>
    <col min="2" max="2" width="10" style="156" customWidth="1"/>
    <col min="3" max="3" width="31.21875" style="167" customWidth="1"/>
    <col min="4" max="4" width="10.6640625" style="156" customWidth="1"/>
    <col min="5" max="5" width="9.77734375" style="156" customWidth="1"/>
    <col min="6" max="6" width="14.88671875" style="156" customWidth="1"/>
    <col min="7" max="256" width="8.88671875" style="156"/>
    <col min="257" max="257" width="7.21875" style="156" customWidth="1"/>
    <col min="258" max="258" width="10" style="156" customWidth="1"/>
    <col min="259" max="259" width="31.21875" style="156" customWidth="1"/>
    <col min="260" max="260" width="10.6640625" style="156" customWidth="1"/>
    <col min="261" max="261" width="7.44140625" style="156" customWidth="1"/>
    <col min="262" max="262" width="14.88671875" style="156" customWidth="1"/>
    <col min="263" max="512" width="8.88671875" style="156"/>
    <col min="513" max="513" width="7.21875" style="156" customWidth="1"/>
    <col min="514" max="514" width="10" style="156" customWidth="1"/>
    <col min="515" max="515" width="31.21875" style="156" customWidth="1"/>
    <col min="516" max="516" width="10.6640625" style="156" customWidth="1"/>
    <col min="517" max="517" width="7.44140625" style="156" customWidth="1"/>
    <col min="518" max="518" width="14.88671875" style="156" customWidth="1"/>
    <col min="519" max="768" width="8.88671875" style="156"/>
    <col min="769" max="769" width="7.21875" style="156" customWidth="1"/>
    <col min="770" max="770" width="10" style="156" customWidth="1"/>
    <col min="771" max="771" width="31.21875" style="156" customWidth="1"/>
    <col min="772" max="772" width="10.6640625" style="156" customWidth="1"/>
    <col min="773" max="773" width="7.44140625" style="156" customWidth="1"/>
    <col min="774" max="774" width="14.88671875" style="156" customWidth="1"/>
    <col min="775" max="1024" width="8.88671875" style="156"/>
    <col min="1025" max="1025" width="7.21875" style="156" customWidth="1"/>
    <col min="1026" max="1026" width="10" style="156" customWidth="1"/>
    <col min="1027" max="1027" width="31.21875" style="156" customWidth="1"/>
    <col min="1028" max="1028" width="10.6640625" style="156" customWidth="1"/>
    <col min="1029" max="1029" width="7.44140625" style="156" customWidth="1"/>
    <col min="1030" max="1030" width="14.88671875" style="156" customWidth="1"/>
    <col min="1031" max="1280" width="8.88671875" style="156"/>
    <col min="1281" max="1281" width="7.21875" style="156" customWidth="1"/>
    <col min="1282" max="1282" width="10" style="156" customWidth="1"/>
    <col min="1283" max="1283" width="31.21875" style="156" customWidth="1"/>
    <col min="1284" max="1284" width="10.6640625" style="156" customWidth="1"/>
    <col min="1285" max="1285" width="7.44140625" style="156" customWidth="1"/>
    <col min="1286" max="1286" width="14.88671875" style="156" customWidth="1"/>
    <col min="1287" max="1536" width="8.88671875" style="156"/>
    <col min="1537" max="1537" width="7.21875" style="156" customWidth="1"/>
    <col min="1538" max="1538" width="10" style="156" customWidth="1"/>
    <col min="1539" max="1539" width="31.21875" style="156" customWidth="1"/>
    <col min="1540" max="1540" width="10.6640625" style="156" customWidth="1"/>
    <col min="1541" max="1541" width="7.44140625" style="156" customWidth="1"/>
    <col min="1542" max="1542" width="14.88671875" style="156" customWidth="1"/>
    <col min="1543" max="1792" width="8.88671875" style="156"/>
    <col min="1793" max="1793" width="7.21875" style="156" customWidth="1"/>
    <col min="1794" max="1794" width="10" style="156" customWidth="1"/>
    <col min="1795" max="1795" width="31.21875" style="156" customWidth="1"/>
    <col min="1796" max="1796" width="10.6640625" style="156" customWidth="1"/>
    <col min="1797" max="1797" width="7.44140625" style="156" customWidth="1"/>
    <col min="1798" max="1798" width="14.88671875" style="156" customWidth="1"/>
    <col min="1799" max="2048" width="8.88671875" style="156"/>
    <col min="2049" max="2049" width="7.21875" style="156" customWidth="1"/>
    <col min="2050" max="2050" width="10" style="156" customWidth="1"/>
    <col min="2051" max="2051" width="31.21875" style="156" customWidth="1"/>
    <col min="2052" max="2052" width="10.6640625" style="156" customWidth="1"/>
    <col min="2053" max="2053" width="7.44140625" style="156" customWidth="1"/>
    <col min="2054" max="2054" width="14.88671875" style="156" customWidth="1"/>
    <col min="2055" max="2304" width="8.88671875" style="156"/>
    <col min="2305" max="2305" width="7.21875" style="156" customWidth="1"/>
    <col min="2306" max="2306" width="10" style="156" customWidth="1"/>
    <col min="2307" max="2307" width="31.21875" style="156" customWidth="1"/>
    <col min="2308" max="2308" width="10.6640625" style="156" customWidth="1"/>
    <col min="2309" max="2309" width="7.44140625" style="156" customWidth="1"/>
    <col min="2310" max="2310" width="14.88671875" style="156" customWidth="1"/>
    <col min="2311" max="2560" width="8.88671875" style="156"/>
    <col min="2561" max="2561" width="7.21875" style="156" customWidth="1"/>
    <col min="2562" max="2562" width="10" style="156" customWidth="1"/>
    <col min="2563" max="2563" width="31.21875" style="156" customWidth="1"/>
    <col min="2564" max="2564" width="10.6640625" style="156" customWidth="1"/>
    <col min="2565" max="2565" width="7.44140625" style="156" customWidth="1"/>
    <col min="2566" max="2566" width="14.88671875" style="156" customWidth="1"/>
    <col min="2567" max="2816" width="8.88671875" style="156"/>
    <col min="2817" max="2817" width="7.21875" style="156" customWidth="1"/>
    <col min="2818" max="2818" width="10" style="156" customWidth="1"/>
    <col min="2819" max="2819" width="31.21875" style="156" customWidth="1"/>
    <col min="2820" max="2820" width="10.6640625" style="156" customWidth="1"/>
    <col min="2821" max="2821" width="7.44140625" style="156" customWidth="1"/>
    <col min="2822" max="2822" width="14.88671875" style="156" customWidth="1"/>
    <col min="2823" max="3072" width="8.88671875" style="156"/>
    <col min="3073" max="3073" width="7.21875" style="156" customWidth="1"/>
    <col min="3074" max="3074" width="10" style="156" customWidth="1"/>
    <col min="3075" max="3075" width="31.21875" style="156" customWidth="1"/>
    <col min="3076" max="3076" width="10.6640625" style="156" customWidth="1"/>
    <col min="3077" max="3077" width="7.44140625" style="156" customWidth="1"/>
    <col min="3078" max="3078" width="14.88671875" style="156" customWidth="1"/>
    <col min="3079" max="3328" width="8.88671875" style="156"/>
    <col min="3329" max="3329" width="7.21875" style="156" customWidth="1"/>
    <col min="3330" max="3330" width="10" style="156" customWidth="1"/>
    <col min="3331" max="3331" width="31.21875" style="156" customWidth="1"/>
    <col min="3332" max="3332" width="10.6640625" style="156" customWidth="1"/>
    <col min="3333" max="3333" width="7.44140625" style="156" customWidth="1"/>
    <col min="3334" max="3334" width="14.88671875" style="156" customWidth="1"/>
    <col min="3335" max="3584" width="8.88671875" style="156"/>
    <col min="3585" max="3585" width="7.21875" style="156" customWidth="1"/>
    <col min="3586" max="3586" width="10" style="156" customWidth="1"/>
    <col min="3587" max="3587" width="31.21875" style="156" customWidth="1"/>
    <col min="3588" max="3588" width="10.6640625" style="156" customWidth="1"/>
    <col min="3589" max="3589" width="7.44140625" style="156" customWidth="1"/>
    <col min="3590" max="3590" width="14.88671875" style="156" customWidth="1"/>
    <col min="3591" max="3840" width="8.88671875" style="156"/>
    <col min="3841" max="3841" width="7.21875" style="156" customWidth="1"/>
    <col min="3842" max="3842" width="10" style="156" customWidth="1"/>
    <col min="3843" max="3843" width="31.21875" style="156" customWidth="1"/>
    <col min="3844" max="3844" width="10.6640625" style="156" customWidth="1"/>
    <col min="3845" max="3845" width="7.44140625" style="156" customWidth="1"/>
    <col min="3846" max="3846" width="14.88671875" style="156" customWidth="1"/>
    <col min="3847" max="4096" width="8.88671875" style="156"/>
    <col min="4097" max="4097" width="7.21875" style="156" customWidth="1"/>
    <col min="4098" max="4098" width="10" style="156" customWidth="1"/>
    <col min="4099" max="4099" width="31.21875" style="156" customWidth="1"/>
    <col min="4100" max="4100" width="10.6640625" style="156" customWidth="1"/>
    <col min="4101" max="4101" width="7.44140625" style="156" customWidth="1"/>
    <col min="4102" max="4102" width="14.88671875" style="156" customWidth="1"/>
    <col min="4103" max="4352" width="8.88671875" style="156"/>
    <col min="4353" max="4353" width="7.21875" style="156" customWidth="1"/>
    <col min="4354" max="4354" width="10" style="156" customWidth="1"/>
    <col min="4355" max="4355" width="31.21875" style="156" customWidth="1"/>
    <col min="4356" max="4356" width="10.6640625" style="156" customWidth="1"/>
    <col min="4357" max="4357" width="7.44140625" style="156" customWidth="1"/>
    <col min="4358" max="4358" width="14.88671875" style="156" customWidth="1"/>
    <col min="4359" max="4608" width="8.88671875" style="156"/>
    <col min="4609" max="4609" width="7.21875" style="156" customWidth="1"/>
    <col min="4610" max="4610" width="10" style="156" customWidth="1"/>
    <col min="4611" max="4611" width="31.21875" style="156" customWidth="1"/>
    <col min="4612" max="4612" width="10.6640625" style="156" customWidth="1"/>
    <col min="4613" max="4613" width="7.44140625" style="156" customWidth="1"/>
    <col min="4614" max="4614" width="14.88671875" style="156" customWidth="1"/>
    <col min="4615" max="4864" width="8.88671875" style="156"/>
    <col min="4865" max="4865" width="7.21875" style="156" customWidth="1"/>
    <col min="4866" max="4866" width="10" style="156" customWidth="1"/>
    <col min="4867" max="4867" width="31.21875" style="156" customWidth="1"/>
    <col min="4868" max="4868" width="10.6640625" style="156" customWidth="1"/>
    <col min="4869" max="4869" width="7.44140625" style="156" customWidth="1"/>
    <col min="4870" max="4870" width="14.88671875" style="156" customWidth="1"/>
    <col min="4871" max="5120" width="8.88671875" style="156"/>
    <col min="5121" max="5121" width="7.21875" style="156" customWidth="1"/>
    <col min="5122" max="5122" width="10" style="156" customWidth="1"/>
    <col min="5123" max="5123" width="31.21875" style="156" customWidth="1"/>
    <col min="5124" max="5124" width="10.6640625" style="156" customWidth="1"/>
    <col min="5125" max="5125" width="7.44140625" style="156" customWidth="1"/>
    <col min="5126" max="5126" width="14.88671875" style="156" customWidth="1"/>
    <col min="5127" max="5376" width="8.88671875" style="156"/>
    <col min="5377" max="5377" width="7.21875" style="156" customWidth="1"/>
    <col min="5378" max="5378" width="10" style="156" customWidth="1"/>
    <col min="5379" max="5379" width="31.21875" style="156" customWidth="1"/>
    <col min="5380" max="5380" width="10.6640625" style="156" customWidth="1"/>
    <col min="5381" max="5381" width="7.44140625" style="156" customWidth="1"/>
    <col min="5382" max="5382" width="14.88671875" style="156" customWidth="1"/>
    <col min="5383" max="5632" width="8.88671875" style="156"/>
    <col min="5633" max="5633" width="7.21875" style="156" customWidth="1"/>
    <col min="5634" max="5634" width="10" style="156" customWidth="1"/>
    <col min="5635" max="5635" width="31.21875" style="156" customWidth="1"/>
    <col min="5636" max="5636" width="10.6640625" style="156" customWidth="1"/>
    <col min="5637" max="5637" width="7.44140625" style="156" customWidth="1"/>
    <col min="5638" max="5638" width="14.88671875" style="156" customWidth="1"/>
    <col min="5639" max="5888" width="8.88671875" style="156"/>
    <col min="5889" max="5889" width="7.21875" style="156" customWidth="1"/>
    <col min="5890" max="5890" width="10" style="156" customWidth="1"/>
    <col min="5891" max="5891" width="31.21875" style="156" customWidth="1"/>
    <col min="5892" max="5892" width="10.6640625" style="156" customWidth="1"/>
    <col min="5893" max="5893" width="7.44140625" style="156" customWidth="1"/>
    <col min="5894" max="5894" width="14.88671875" style="156" customWidth="1"/>
    <col min="5895" max="6144" width="8.88671875" style="156"/>
    <col min="6145" max="6145" width="7.21875" style="156" customWidth="1"/>
    <col min="6146" max="6146" width="10" style="156" customWidth="1"/>
    <col min="6147" max="6147" width="31.21875" style="156" customWidth="1"/>
    <col min="6148" max="6148" width="10.6640625" style="156" customWidth="1"/>
    <col min="6149" max="6149" width="7.44140625" style="156" customWidth="1"/>
    <col min="6150" max="6150" width="14.88671875" style="156" customWidth="1"/>
    <col min="6151" max="6400" width="8.88671875" style="156"/>
    <col min="6401" max="6401" width="7.21875" style="156" customWidth="1"/>
    <col min="6402" max="6402" width="10" style="156" customWidth="1"/>
    <col min="6403" max="6403" width="31.21875" style="156" customWidth="1"/>
    <col min="6404" max="6404" width="10.6640625" style="156" customWidth="1"/>
    <col min="6405" max="6405" width="7.44140625" style="156" customWidth="1"/>
    <col min="6406" max="6406" width="14.88671875" style="156" customWidth="1"/>
    <col min="6407" max="6656" width="8.88671875" style="156"/>
    <col min="6657" max="6657" width="7.21875" style="156" customWidth="1"/>
    <col min="6658" max="6658" width="10" style="156" customWidth="1"/>
    <col min="6659" max="6659" width="31.21875" style="156" customWidth="1"/>
    <col min="6660" max="6660" width="10.6640625" style="156" customWidth="1"/>
    <col min="6661" max="6661" width="7.44140625" style="156" customWidth="1"/>
    <col min="6662" max="6662" width="14.88671875" style="156" customWidth="1"/>
    <col min="6663" max="6912" width="8.88671875" style="156"/>
    <col min="6913" max="6913" width="7.21875" style="156" customWidth="1"/>
    <col min="6914" max="6914" width="10" style="156" customWidth="1"/>
    <col min="6915" max="6915" width="31.21875" style="156" customWidth="1"/>
    <col min="6916" max="6916" width="10.6640625" style="156" customWidth="1"/>
    <col min="6917" max="6917" width="7.44140625" style="156" customWidth="1"/>
    <col min="6918" max="6918" width="14.88671875" style="156" customWidth="1"/>
    <col min="6919" max="7168" width="8.88671875" style="156"/>
    <col min="7169" max="7169" width="7.21875" style="156" customWidth="1"/>
    <col min="7170" max="7170" width="10" style="156" customWidth="1"/>
    <col min="7171" max="7171" width="31.21875" style="156" customWidth="1"/>
    <col min="7172" max="7172" width="10.6640625" style="156" customWidth="1"/>
    <col min="7173" max="7173" width="7.44140625" style="156" customWidth="1"/>
    <col min="7174" max="7174" width="14.88671875" style="156" customWidth="1"/>
    <col min="7175" max="7424" width="8.88671875" style="156"/>
    <col min="7425" max="7425" width="7.21875" style="156" customWidth="1"/>
    <col min="7426" max="7426" width="10" style="156" customWidth="1"/>
    <col min="7427" max="7427" width="31.21875" style="156" customWidth="1"/>
    <col min="7428" max="7428" width="10.6640625" style="156" customWidth="1"/>
    <col min="7429" max="7429" width="7.44140625" style="156" customWidth="1"/>
    <col min="7430" max="7430" width="14.88671875" style="156" customWidth="1"/>
    <col min="7431" max="7680" width="8.88671875" style="156"/>
    <col min="7681" max="7681" width="7.21875" style="156" customWidth="1"/>
    <col min="7682" max="7682" width="10" style="156" customWidth="1"/>
    <col min="7683" max="7683" width="31.21875" style="156" customWidth="1"/>
    <col min="7684" max="7684" width="10.6640625" style="156" customWidth="1"/>
    <col min="7685" max="7685" width="7.44140625" style="156" customWidth="1"/>
    <col min="7686" max="7686" width="14.88671875" style="156" customWidth="1"/>
    <col min="7687" max="7936" width="8.88671875" style="156"/>
    <col min="7937" max="7937" width="7.21875" style="156" customWidth="1"/>
    <col min="7938" max="7938" width="10" style="156" customWidth="1"/>
    <col min="7939" max="7939" width="31.21875" style="156" customWidth="1"/>
    <col min="7940" max="7940" width="10.6640625" style="156" customWidth="1"/>
    <col min="7941" max="7941" width="7.44140625" style="156" customWidth="1"/>
    <col min="7942" max="7942" width="14.88671875" style="156" customWidth="1"/>
    <col min="7943" max="8192" width="8.88671875" style="156"/>
    <col min="8193" max="8193" width="7.21875" style="156" customWidth="1"/>
    <col min="8194" max="8194" width="10" style="156" customWidth="1"/>
    <col min="8195" max="8195" width="31.21875" style="156" customWidth="1"/>
    <col min="8196" max="8196" width="10.6640625" style="156" customWidth="1"/>
    <col min="8197" max="8197" width="7.44140625" style="156" customWidth="1"/>
    <col min="8198" max="8198" width="14.88671875" style="156" customWidth="1"/>
    <col min="8199" max="8448" width="8.88671875" style="156"/>
    <col min="8449" max="8449" width="7.21875" style="156" customWidth="1"/>
    <col min="8450" max="8450" width="10" style="156" customWidth="1"/>
    <col min="8451" max="8451" width="31.21875" style="156" customWidth="1"/>
    <col min="8452" max="8452" width="10.6640625" style="156" customWidth="1"/>
    <col min="8453" max="8453" width="7.44140625" style="156" customWidth="1"/>
    <col min="8454" max="8454" width="14.88671875" style="156" customWidth="1"/>
    <col min="8455" max="8704" width="8.88671875" style="156"/>
    <col min="8705" max="8705" width="7.21875" style="156" customWidth="1"/>
    <col min="8706" max="8706" width="10" style="156" customWidth="1"/>
    <col min="8707" max="8707" width="31.21875" style="156" customWidth="1"/>
    <col min="8708" max="8708" width="10.6640625" style="156" customWidth="1"/>
    <col min="8709" max="8709" width="7.44140625" style="156" customWidth="1"/>
    <col min="8710" max="8710" width="14.88671875" style="156" customWidth="1"/>
    <col min="8711" max="8960" width="8.88671875" style="156"/>
    <col min="8961" max="8961" width="7.21875" style="156" customWidth="1"/>
    <col min="8962" max="8962" width="10" style="156" customWidth="1"/>
    <col min="8963" max="8963" width="31.21875" style="156" customWidth="1"/>
    <col min="8964" max="8964" width="10.6640625" style="156" customWidth="1"/>
    <col min="8965" max="8965" width="7.44140625" style="156" customWidth="1"/>
    <col min="8966" max="8966" width="14.88671875" style="156" customWidth="1"/>
    <col min="8967" max="9216" width="8.88671875" style="156"/>
    <col min="9217" max="9217" width="7.21875" style="156" customWidth="1"/>
    <col min="9218" max="9218" width="10" style="156" customWidth="1"/>
    <col min="9219" max="9219" width="31.21875" style="156" customWidth="1"/>
    <col min="9220" max="9220" width="10.6640625" style="156" customWidth="1"/>
    <col min="9221" max="9221" width="7.44140625" style="156" customWidth="1"/>
    <col min="9222" max="9222" width="14.88671875" style="156" customWidth="1"/>
    <col min="9223" max="9472" width="8.88671875" style="156"/>
    <col min="9473" max="9473" width="7.21875" style="156" customWidth="1"/>
    <col min="9474" max="9474" width="10" style="156" customWidth="1"/>
    <col min="9475" max="9475" width="31.21875" style="156" customWidth="1"/>
    <col min="9476" max="9476" width="10.6640625" style="156" customWidth="1"/>
    <col min="9477" max="9477" width="7.44140625" style="156" customWidth="1"/>
    <col min="9478" max="9478" width="14.88671875" style="156" customWidth="1"/>
    <col min="9479" max="9728" width="8.88671875" style="156"/>
    <col min="9729" max="9729" width="7.21875" style="156" customWidth="1"/>
    <col min="9730" max="9730" width="10" style="156" customWidth="1"/>
    <col min="9731" max="9731" width="31.21875" style="156" customWidth="1"/>
    <col min="9732" max="9732" width="10.6640625" style="156" customWidth="1"/>
    <col min="9733" max="9733" width="7.44140625" style="156" customWidth="1"/>
    <col min="9734" max="9734" width="14.88671875" style="156" customWidth="1"/>
    <col min="9735" max="9984" width="8.88671875" style="156"/>
    <col min="9985" max="9985" width="7.21875" style="156" customWidth="1"/>
    <col min="9986" max="9986" width="10" style="156" customWidth="1"/>
    <col min="9987" max="9987" width="31.21875" style="156" customWidth="1"/>
    <col min="9988" max="9988" width="10.6640625" style="156" customWidth="1"/>
    <col min="9989" max="9989" width="7.44140625" style="156" customWidth="1"/>
    <col min="9990" max="9990" width="14.88671875" style="156" customWidth="1"/>
    <col min="9991" max="10240" width="8.88671875" style="156"/>
    <col min="10241" max="10241" width="7.21875" style="156" customWidth="1"/>
    <col min="10242" max="10242" width="10" style="156" customWidth="1"/>
    <col min="10243" max="10243" width="31.21875" style="156" customWidth="1"/>
    <col min="10244" max="10244" width="10.6640625" style="156" customWidth="1"/>
    <col min="10245" max="10245" width="7.44140625" style="156" customWidth="1"/>
    <col min="10246" max="10246" width="14.88671875" style="156" customWidth="1"/>
    <col min="10247" max="10496" width="8.88671875" style="156"/>
    <col min="10497" max="10497" width="7.21875" style="156" customWidth="1"/>
    <col min="10498" max="10498" width="10" style="156" customWidth="1"/>
    <col min="10499" max="10499" width="31.21875" style="156" customWidth="1"/>
    <col min="10500" max="10500" width="10.6640625" style="156" customWidth="1"/>
    <col min="10501" max="10501" width="7.44140625" style="156" customWidth="1"/>
    <col min="10502" max="10502" width="14.88671875" style="156" customWidth="1"/>
    <col min="10503" max="10752" width="8.88671875" style="156"/>
    <col min="10753" max="10753" width="7.21875" style="156" customWidth="1"/>
    <col min="10754" max="10754" width="10" style="156" customWidth="1"/>
    <col min="10755" max="10755" width="31.21875" style="156" customWidth="1"/>
    <col min="10756" max="10756" width="10.6640625" style="156" customWidth="1"/>
    <col min="10757" max="10757" width="7.44140625" style="156" customWidth="1"/>
    <col min="10758" max="10758" width="14.88671875" style="156" customWidth="1"/>
    <col min="10759" max="11008" width="8.88671875" style="156"/>
    <col min="11009" max="11009" width="7.21875" style="156" customWidth="1"/>
    <col min="11010" max="11010" width="10" style="156" customWidth="1"/>
    <col min="11011" max="11011" width="31.21875" style="156" customWidth="1"/>
    <col min="11012" max="11012" width="10.6640625" style="156" customWidth="1"/>
    <col min="11013" max="11013" width="7.44140625" style="156" customWidth="1"/>
    <col min="11014" max="11014" width="14.88671875" style="156" customWidth="1"/>
    <col min="11015" max="11264" width="8.88671875" style="156"/>
    <col min="11265" max="11265" width="7.21875" style="156" customWidth="1"/>
    <col min="11266" max="11266" width="10" style="156" customWidth="1"/>
    <col min="11267" max="11267" width="31.21875" style="156" customWidth="1"/>
    <col min="11268" max="11268" width="10.6640625" style="156" customWidth="1"/>
    <col min="11269" max="11269" width="7.44140625" style="156" customWidth="1"/>
    <col min="11270" max="11270" width="14.88671875" style="156" customWidth="1"/>
    <col min="11271" max="11520" width="8.88671875" style="156"/>
    <col min="11521" max="11521" width="7.21875" style="156" customWidth="1"/>
    <col min="11522" max="11522" width="10" style="156" customWidth="1"/>
    <col min="11523" max="11523" width="31.21875" style="156" customWidth="1"/>
    <col min="11524" max="11524" width="10.6640625" style="156" customWidth="1"/>
    <col min="11525" max="11525" width="7.44140625" style="156" customWidth="1"/>
    <col min="11526" max="11526" width="14.88671875" style="156" customWidth="1"/>
    <col min="11527" max="11776" width="8.88671875" style="156"/>
    <col min="11777" max="11777" width="7.21875" style="156" customWidth="1"/>
    <col min="11778" max="11778" width="10" style="156" customWidth="1"/>
    <col min="11779" max="11779" width="31.21875" style="156" customWidth="1"/>
    <col min="11780" max="11780" width="10.6640625" style="156" customWidth="1"/>
    <col min="11781" max="11781" width="7.44140625" style="156" customWidth="1"/>
    <col min="11782" max="11782" width="14.88671875" style="156" customWidth="1"/>
    <col min="11783" max="12032" width="8.88671875" style="156"/>
    <col min="12033" max="12033" width="7.21875" style="156" customWidth="1"/>
    <col min="12034" max="12034" width="10" style="156" customWidth="1"/>
    <col min="12035" max="12035" width="31.21875" style="156" customWidth="1"/>
    <col min="12036" max="12036" width="10.6640625" style="156" customWidth="1"/>
    <col min="12037" max="12037" width="7.44140625" style="156" customWidth="1"/>
    <col min="12038" max="12038" width="14.88671875" style="156" customWidth="1"/>
    <col min="12039" max="12288" width="8.88671875" style="156"/>
    <col min="12289" max="12289" width="7.21875" style="156" customWidth="1"/>
    <col min="12290" max="12290" width="10" style="156" customWidth="1"/>
    <col min="12291" max="12291" width="31.21875" style="156" customWidth="1"/>
    <col min="12292" max="12292" width="10.6640625" style="156" customWidth="1"/>
    <col min="12293" max="12293" width="7.44140625" style="156" customWidth="1"/>
    <col min="12294" max="12294" width="14.88671875" style="156" customWidth="1"/>
    <col min="12295" max="12544" width="8.88671875" style="156"/>
    <col min="12545" max="12545" width="7.21875" style="156" customWidth="1"/>
    <col min="12546" max="12546" width="10" style="156" customWidth="1"/>
    <col min="12547" max="12547" width="31.21875" style="156" customWidth="1"/>
    <col min="12548" max="12548" width="10.6640625" style="156" customWidth="1"/>
    <col min="12549" max="12549" width="7.44140625" style="156" customWidth="1"/>
    <col min="12550" max="12550" width="14.88671875" style="156" customWidth="1"/>
    <col min="12551" max="12800" width="8.88671875" style="156"/>
    <col min="12801" max="12801" width="7.21875" style="156" customWidth="1"/>
    <col min="12802" max="12802" width="10" style="156" customWidth="1"/>
    <col min="12803" max="12803" width="31.21875" style="156" customWidth="1"/>
    <col min="12804" max="12804" width="10.6640625" style="156" customWidth="1"/>
    <col min="12805" max="12805" width="7.44140625" style="156" customWidth="1"/>
    <col min="12806" max="12806" width="14.88671875" style="156" customWidth="1"/>
    <col min="12807" max="13056" width="8.88671875" style="156"/>
    <col min="13057" max="13057" width="7.21875" style="156" customWidth="1"/>
    <col min="13058" max="13058" width="10" style="156" customWidth="1"/>
    <col min="13059" max="13059" width="31.21875" style="156" customWidth="1"/>
    <col min="13060" max="13060" width="10.6640625" style="156" customWidth="1"/>
    <col min="13061" max="13061" width="7.44140625" style="156" customWidth="1"/>
    <col min="13062" max="13062" width="14.88671875" style="156" customWidth="1"/>
    <col min="13063" max="13312" width="8.88671875" style="156"/>
    <col min="13313" max="13313" width="7.21875" style="156" customWidth="1"/>
    <col min="13314" max="13314" width="10" style="156" customWidth="1"/>
    <col min="13315" max="13315" width="31.21875" style="156" customWidth="1"/>
    <col min="13316" max="13316" width="10.6640625" style="156" customWidth="1"/>
    <col min="13317" max="13317" width="7.44140625" style="156" customWidth="1"/>
    <col min="13318" max="13318" width="14.88671875" style="156" customWidth="1"/>
    <col min="13319" max="13568" width="8.88671875" style="156"/>
    <col min="13569" max="13569" width="7.21875" style="156" customWidth="1"/>
    <col min="13570" max="13570" width="10" style="156" customWidth="1"/>
    <col min="13571" max="13571" width="31.21875" style="156" customWidth="1"/>
    <col min="13572" max="13572" width="10.6640625" style="156" customWidth="1"/>
    <col min="13573" max="13573" width="7.44140625" style="156" customWidth="1"/>
    <col min="13574" max="13574" width="14.88671875" style="156" customWidth="1"/>
    <col min="13575" max="13824" width="8.88671875" style="156"/>
    <col min="13825" max="13825" width="7.21875" style="156" customWidth="1"/>
    <col min="13826" max="13826" width="10" style="156" customWidth="1"/>
    <col min="13827" max="13827" width="31.21875" style="156" customWidth="1"/>
    <col min="13828" max="13828" width="10.6640625" style="156" customWidth="1"/>
    <col min="13829" max="13829" width="7.44140625" style="156" customWidth="1"/>
    <col min="13830" max="13830" width="14.88671875" style="156" customWidth="1"/>
    <col min="13831" max="14080" width="8.88671875" style="156"/>
    <col min="14081" max="14081" width="7.21875" style="156" customWidth="1"/>
    <col min="14082" max="14082" width="10" style="156" customWidth="1"/>
    <col min="14083" max="14083" width="31.21875" style="156" customWidth="1"/>
    <col min="14084" max="14084" width="10.6640625" style="156" customWidth="1"/>
    <col min="14085" max="14085" width="7.44140625" style="156" customWidth="1"/>
    <col min="14086" max="14086" width="14.88671875" style="156" customWidth="1"/>
    <col min="14087" max="14336" width="8.88671875" style="156"/>
    <col min="14337" max="14337" width="7.21875" style="156" customWidth="1"/>
    <col min="14338" max="14338" width="10" style="156" customWidth="1"/>
    <col min="14339" max="14339" width="31.21875" style="156" customWidth="1"/>
    <col min="14340" max="14340" width="10.6640625" style="156" customWidth="1"/>
    <col min="14341" max="14341" width="7.44140625" style="156" customWidth="1"/>
    <col min="14342" max="14342" width="14.88671875" style="156" customWidth="1"/>
    <col min="14343" max="14592" width="8.88671875" style="156"/>
    <col min="14593" max="14593" width="7.21875" style="156" customWidth="1"/>
    <col min="14594" max="14594" width="10" style="156" customWidth="1"/>
    <col min="14595" max="14595" width="31.21875" style="156" customWidth="1"/>
    <col min="14596" max="14596" width="10.6640625" style="156" customWidth="1"/>
    <col min="14597" max="14597" width="7.44140625" style="156" customWidth="1"/>
    <col min="14598" max="14598" width="14.88671875" style="156" customWidth="1"/>
    <col min="14599" max="14848" width="8.88671875" style="156"/>
    <col min="14849" max="14849" width="7.21875" style="156" customWidth="1"/>
    <col min="14850" max="14850" width="10" style="156" customWidth="1"/>
    <col min="14851" max="14851" width="31.21875" style="156" customWidth="1"/>
    <col min="14852" max="14852" width="10.6640625" style="156" customWidth="1"/>
    <col min="14853" max="14853" width="7.44140625" style="156" customWidth="1"/>
    <col min="14854" max="14854" width="14.88671875" style="156" customWidth="1"/>
    <col min="14855" max="15104" width="8.88671875" style="156"/>
    <col min="15105" max="15105" width="7.21875" style="156" customWidth="1"/>
    <col min="15106" max="15106" width="10" style="156" customWidth="1"/>
    <col min="15107" max="15107" width="31.21875" style="156" customWidth="1"/>
    <col min="15108" max="15108" width="10.6640625" style="156" customWidth="1"/>
    <col min="15109" max="15109" width="7.44140625" style="156" customWidth="1"/>
    <col min="15110" max="15110" width="14.88671875" style="156" customWidth="1"/>
    <col min="15111" max="15360" width="8.88671875" style="156"/>
    <col min="15361" max="15361" width="7.21875" style="156" customWidth="1"/>
    <col min="15362" max="15362" width="10" style="156" customWidth="1"/>
    <col min="15363" max="15363" width="31.21875" style="156" customWidth="1"/>
    <col min="15364" max="15364" width="10.6640625" style="156" customWidth="1"/>
    <col min="15365" max="15365" width="7.44140625" style="156" customWidth="1"/>
    <col min="15366" max="15366" width="14.88671875" style="156" customWidth="1"/>
    <col min="15367" max="15616" width="8.88671875" style="156"/>
    <col min="15617" max="15617" width="7.21875" style="156" customWidth="1"/>
    <col min="15618" max="15618" width="10" style="156" customWidth="1"/>
    <col min="15619" max="15619" width="31.21875" style="156" customWidth="1"/>
    <col min="15620" max="15620" width="10.6640625" style="156" customWidth="1"/>
    <col min="15621" max="15621" width="7.44140625" style="156" customWidth="1"/>
    <col min="15622" max="15622" width="14.88671875" style="156" customWidth="1"/>
    <col min="15623" max="15872" width="8.88671875" style="156"/>
    <col min="15873" max="15873" width="7.21875" style="156" customWidth="1"/>
    <col min="15874" max="15874" width="10" style="156" customWidth="1"/>
    <col min="15875" max="15875" width="31.21875" style="156" customWidth="1"/>
    <col min="15876" max="15876" width="10.6640625" style="156" customWidth="1"/>
    <col min="15877" max="15877" width="7.44140625" style="156" customWidth="1"/>
    <col min="15878" max="15878" width="14.88671875" style="156" customWidth="1"/>
    <col min="15879" max="16128" width="8.88671875" style="156"/>
    <col min="16129" max="16129" width="7.21875" style="156" customWidth="1"/>
    <col min="16130" max="16130" width="10" style="156" customWidth="1"/>
    <col min="16131" max="16131" width="31.21875" style="156" customWidth="1"/>
    <col min="16132" max="16132" width="10.6640625" style="156" customWidth="1"/>
    <col min="16133" max="16133" width="7.44140625" style="156" customWidth="1"/>
    <col min="16134" max="16134" width="14.88671875" style="156" customWidth="1"/>
    <col min="16135" max="16384" width="8.88671875" style="156"/>
  </cols>
  <sheetData>
    <row r="1" spans="1:6" ht="26.25" customHeight="1">
      <c r="A1" s="979" t="str">
        <f>Detailed!A1</f>
        <v>TAMILNADU POLICE HOUSING CORPORATION LIMITED</v>
      </c>
      <c r="B1" s="979"/>
      <c r="C1" s="979"/>
      <c r="D1" s="979"/>
      <c r="E1" s="979"/>
      <c r="F1" s="979"/>
    </row>
    <row r="2" spans="1:6" ht="26.25" customHeight="1">
      <c r="A2" s="979" t="str">
        <f>Detailed!A2</f>
        <v>TIRUNELVELI DIVISION</v>
      </c>
      <c r="B2" s="979"/>
      <c r="C2" s="979"/>
      <c r="D2" s="979"/>
      <c r="E2" s="979"/>
      <c r="F2" s="979"/>
    </row>
    <row r="3" spans="1:6" ht="60" customHeight="1">
      <c r="A3" s="982" t="str">
        <f>Detailed!A3</f>
        <v>Name of Work:
                  Special repair works for the Rural Police Station Building at Arumanai in Kanyakumari District.</v>
      </c>
      <c r="B3" s="982"/>
      <c r="C3" s="982"/>
      <c r="D3" s="982"/>
      <c r="E3" s="982"/>
      <c r="F3" s="982"/>
    </row>
    <row r="4" spans="1:6" ht="26.25" customHeight="1">
      <c r="A4" s="983" t="s">
        <v>3346</v>
      </c>
      <c r="B4" s="983"/>
      <c r="C4" s="983"/>
      <c r="D4" s="983"/>
      <c r="E4" s="983"/>
      <c r="F4" s="983"/>
    </row>
    <row r="5" spans="1:6" ht="26.25" customHeight="1">
      <c r="A5" s="158" t="s">
        <v>3287</v>
      </c>
      <c r="B5" s="159" t="s">
        <v>3347</v>
      </c>
      <c r="C5" s="159" t="s">
        <v>3288</v>
      </c>
      <c r="D5" s="159" t="s">
        <v>75</v>
      </c>
      <c r="E5" s="159" t="s">
        <v>3291</v>
      </c>
      <c r="F5" s="159" t="s">
        <v>789</v>
      </c>
    </row>
    <row r="6" spans="1:6" ht="54">
      <c r="A6" s="160">
        <v>1</v>
      </c>
      <c r="B6" s="162">
        <f>Detailed!H20</f>
        <v>119.3</v>
      </c>
      <c r="C6" s="161" t="s">
        <v>3432</v>
      </c>
      <c r="D6" s="162">
        <v>22</v>
      </c>
      <c r="E6" s="162" t="s">
        <v>1861</v>
      </c>
      <c r="F6" s="162">
        <f>PRODUCT(B6,D6)</f>
        <v>2624.6</v>
      </c>
    </row>
    <row r="7" spans="1:6" ht="54">
      <c r="A7" s="160">
        <f t="shared" ref="A7:A15" si="0">A6+1</f>
        <v>2</v>
      </c>
      <c r="B7" s="162">
        <f>Detailed!H24</f>
        <v>119.3</v>
      </c>
      <c r="C7" s="161" t="str">
        <f>[11]Detailed!B17</f>
        <v>Pressed tiles (23cmx23cmx20mm) mixed with Water proofing compound</v>
      </c>
      <c r="D7" s="162" t="e">
        <f>#REF!</f>
        <v>#REF!</v>
      </c>
      <c r="E7" s="162" t="s">
        <v>1861</v>
      </c>
      <c r="F7" s="162" t="e">
        <f t="shared" ref="F7:F73" si="1">PRODUCT(B7,D7)</f>
        <v>#REF!</v>
      </c>
    </row>
    <row r="8" spans="1:6" ht="54">
      <c r="A8" s="160">
        <f>A7+1</f>
        <v>3</v>
      </c>
      <c r="B8" s="162">
        <f>Detailed!H37</f>
        <v>31.4</v>
      </c>
      <c r="C8" s="161" t="s">
        <v>3433</v>
      </c>
      <c r="D8" s="162">
        <v>52.5</v>
      </c>
      <c r="E8" s="162" t="s">
        <v>1861</v>
      </c>
      <c r="F8" s="162">
        <f t="shared" si="1"/>
        <v>1648.5</v>
      </c>
    </row>
    <row r="9" spans="1:6" ht="39" customHeight="1">
      <c r="A9" s="160">
        <f t="shared" si="0"/>
        <v>4</v>
      </c>
      <c r="B9" s="162">
        <f>Detailed!H46</f>
        <v>12.5</v>
      </c>
      <c r="C9" s="161" t="str">
        <f>[11]Detailed!B32</f>
        <v>Floor ceramic tiles (Anti-skid) using Grout (Tile Joint Filler).</v>
      </c>
      <c r="D9" s="162" t="e">
        <f>#REF!</f>
        <v>#REF!</v>
      </c>
      <c r="E9" s="162" t="s">
        <v>1861</v>
      </c>
      <c r="F9" s="162" t="e">
        <f t="shared" si="1"/>
        <v>#REF!</v>
      </c>
    </row>
    <row r="10" spans="1:6" ht="77.25" customHeight="1">
      <c r="A10" s="160">
        <f t="shared" si="0"/>
        <v>5</v>
      </c>
      <c r="B10" s="162">
        <f>Detailed!H50</f>
        <v>1</v>
      </c>
      <c r="C10" s="161" t="str">
        <f>[11]Detailed!B39</f>
        <v xml:space="preserve">S &amp; F of Indian Water closet white glazed (Oriya type) of size 580 x 440mm with PVC SWR grade ' P' or "S' trap   - in G.F.  </v>
      </c>
      <c r="D10" s="162" t="e">
        <f>#REF!</f>
        <v>#REF!</v>
      </c>
      <c r="E10" s="162" t="s">
        <v>1134</v>
      </c>
      <c r="F10" s="162" t="e">
        <f t="shared" si="1"/>
        <v>#REF!</v>
      </c>
    </row>
    <row r="11" spans="1:6" ht="95.25" customHeight="1">
      <c r="A11" s="160">
        <f t="shared" si="0"/>
        <v>6</v>
      </c>
      <c r="B11" s="162">
        <f>Detailed!H55</f>
        <v>2</v>
      </c>
      <c r="C11" s="161" t="str">
        <f>[11]Detailed!B43</f>
        <v xml:space="preserve">S &amp; F of Indian Water closet white glazed (Oriya type) of size 580 x 440mm  with PVC SWR grade ' P' or "S' trap- Other than  G.F.  </v>
      </c>
      <c r="D11" s="162" t="e">
        <f>#REF!</f>
        <v>#REF!</v>
      </c>
      <c r="E11" s="162" t="s">
        <v>1134</v>
      </c>
      <c r="F11" s="162" t="e">
        <f t="shared" si="1"/>
        <v>#REF!</v>
      </c>
    </row>
    <row r="12" spans="1:6" ht="54" customHeight="1">
      <c r="A12" s="160">
        <f>A11+1</f>
        <v>7</v>
      </c>
      <c r="B12" s="162">
        <f>Detailed!H59</f>
        <v>1</v>
      </c>
      <c r="C12" s="161" t="str">
        <f>[11]Detailed!B48</f>
        <v xml:space="preserve">S &amp; F of E.W.C.(White) 500 mm with PVC SWR grade "P" or "S" TRAP </v>
      </c>
      <c r="D12" s="162" t="e">
        <f>#REF!</f>
        <v>#REF!</v>
      </c>
      <c r="E12" s="162" t="s">
        <v>1134</v>
      </c>
      <c r="F12" s="162" t="e">
        <f t="shared" si="1"/>
        <v>#REF!</v>
      </c>
    </row>
    <row r="13" spans="1:6" ht="30" customHeight="1">
      <c r="A13" s="160">
        <f>A12+1</f>
        <v>8</v>
      </c>
      <c r="B13" s="162">
        <f>Detailed!H65</f>
        <v>4</v>
      </c>
      <c r="C13" s="161" t="str">
        <f>[11]Detailed!B52</f>
        <v>PVC Nahani trap (4way/2way)</v>
      </c>
      <c r="D13" s="162" t="e">
        <f>#REF!</f>
        <v>#REF!</v>
      </c>
      <c r="E13" s="162" t="s">
        <v>1134</v>
      </c>
      <c r="F13" s="162" t="e">
        <f t="shared" si="1"/>
        <v>#REF!</v>
      </c>
    </row>
    <row r="14" spans="1:6" ht="58.5" customHeight="1">
      <c r="A14" s="160">
        <f>A13+1</f>
        <v>9</v>
      </c>
      <c r="B14" s="162">
        <f>Detailed!H116</f>
        <v>148.80000000000001</v>
      </c>
      <c r="C14" s="161" t="s">
        <v>3434</v>
      </c>
      <c r="D14" s="162">
        <v>7.3</v>
      </c>
      <c r="E14" s="162" t="s">
        <v>1861</v>
      </c>
      <c r="F14" s="162">
        <f t="shared" si="1"/>
        <v>1086.24</v>
      </c>
    </row>
    <row r="15" spans="1:6" ht="30" customHeight="1">
      <c r="A15" s="160">
        <f t="shared" si="0"/>
        <v>10</v>
      </c>
      <c r="B15" s="162">
        <f>Detailed!H156</f>
        <v>125.8</v>
      </c>
      <c r="C15" s="161" t="str">
        <f>[11]Detailed!B84</f>
        <v>Plastering in C.M. 1:5, 12 mm tk.</v>
      </c>
      <c r="D15" s="162" t="e">
        <f>#REF!</f>
        <v>#REF!</v>
      </c>
      <c r="E15" s="162" t="s">
        <v>1861</v>
      </c>
      <c r="F15" s="162" t="e">
        <f t="shared" si="1"/>
        <v>#REF!</v>
      </c>
    </row>
    <row r="16" spans="1:6" ht="36">
      <c r="A16" s="160">
        <f>A15+1</f>
        <v>11</v>
      </c>
      <c r="B16" s="162">
        <f>Detailed!H175</f>
        <v>38.200000000000003</v>
      </c>
      <c r="C16" s="161" t="str">
        <f>[11]Detailed!B101</f>
        <v>Spl. Ceiling plastering in C.M. 1:3, 10 mm tk.</v>
      </c>
      <c r="D16" s="162" t="e">
        <f>#REF!</f>
        <v>#REF!</v>
      </c>
      <c r="E16" s="162" t="s">
        <v>1861</v>
      </c>
      <c r="F16" s="162" t="e">
        <f t="shared" si="1"/>
        <v>#REF!</v>
      </c>
    </row>
    <row r="17" spans="1:6" ht="30" customHeight="1">
      <c r="A17" s="160">
        <f t="shared" ref="A17:A24" si="2">A16+1</f>
        <v>12</v>
      </c>
      <c r="B17" s="162">
        <f>Detailed!H190</f>
        <v>33.6</v>
      </c>
      <c r="C17" s="161" t="str">
        <f>[11]Detailed!B115</f>
        <v>White washing 3 coats  (slaked)</v>
      </c>
      <c r="D17" s="162" t="e">
        <f>#REF!</f>
        <v>#REF!</v>
      </c>
      <c r="E17" s="162" t="s">
        <v>1861</v>
      </c>
      <c r="F17" s="162" t="e">
        <f t="shared" si="1"/>
        <v>#REF!</v>
      </c>
    </row>
    <row r="18" spans="1:6" ht="36">
      <c r="A18" s="160">
        <f>A17+1</f>
        <v>13</v>
      </c>
      <c r="B18" s="162">
        <f>Detailed!H211</f>
        <v>41.1</v>
      </c>
      <c r="C18" s="161" t="str">
        <f>[11]Detailed!B128</f>
        <v>One coat white cement for new walls and other similar works.</v>
      </c>
      <c r="D18" s="162" t="e">
        <f>#REF!</f>
        <v>#REF!</v>
      </c>
      <c r="E18" s="162" t="s">
        <v>1861</v>
      </c>
      <c r="F18" s="162" t="e">
        <f t="shared" si="1"/>
        <v>#REF!</v>
      </c>
    </row>
    <row r="19" spans="1:6" ht="36">
      <c r="A19" s="160">
        <f t="shared" si="2"/>
        <v>14</v>
      </c>
      <c r="B19" s="162">
        <f>Detailed!H215</f>
        <v>41.1</v>
      </c>
      <c r="C19" s="161" t="str">
        <f>[11]Detailed!B138</f>
        <v xml:space="preserve">Two coat of OBD over one coat white cement for inner walls </v>
      </c>
      <c r="D19" s="162" t="e">
        <f>#REF!</f>
        <v>#REF!</v>
      </c>
      <c r="E19" s="162" t="s">
        <v>1861</v>
      </c>
      <c r="F19" s="162" t="e">
        <f t="shared" si="1"/>
        <v>#REF!</v>
      </c>
    </row>
    <row r="20" spans="1:6" ht="36">
      <c r="A20" s="160">
        <f>A19+1</f>
        <v>15</v>
      </c>
      <c r="B20" s="162">
        <f>Detailed!H231</f>
        <v>74.2</v>
      </c>
      <c r="C20" s="161" t="str">
        <f>[11]Detailed!B142</f>
        <v>Plastic Emulsion Paint including primer for outer walls</v>
      </c>
      <c r="D20" s="162" t="e">
        <f>#REF!</f>
        <v>#REF!</v>
      </c>
      <c r="E20" s="162" t="s">
        <v>1861</v>
      </c>
      <c r="F20" s="162" t="e">
        <f t="shared" si="1"/>
        <v>#REF!</v>
      </c>
    </row>
    <row r="21" spans="1:6" ht="36">
      <c r="A21" s="160">
        <f>A20+1</f>
        <v>16</v>
      </c>
      <c r="B21" s="162">
        <f>Detailed!H235</f>
        <v>2</v>
      </c>
      <c r="C21" s="161" t="str">
        <f>[11]Detailed!B151</f>
        <v>HDPE water tank 700 lit capacity with ISI mark</v>
      </c>
      <c r="D21" s="162" t="e">
        <f>#REF!</f>
        <v>#REF!</v>
      </c>
      <c r="E21" s="162" t="s">
        <v>1134</v>
      </c>
      <c r="F21" s="162" t="e">
        <f t="shared" si="1"/>
        <v>#REF!</v>
      </c>
    </row>
    <row r="22" spans="1:6" ht="30" customHeight="1">
      <c r="A22" s="160">
        <f t="shared" si="2"/>
        <v>17</v>
      </c>
      <c r="B22" s="162">
        <f>Detailed!H340</f>
        <v>766.2</v>
      </c>
      <c r="C22" s="161" t="str">
        <f>[11]Detailed!B155</f>
        <v>Two coat of Old wall OBD</v>
      </c>
      <c r="D22" s="162">
        <f>'Print Data'!F273</f>
        <v>129.27000000000001</v>
      </c>
      <c r="E22" s="162" t="s">
        <v>1861</v>
      </c>
      <c r="F22" s="162">
        <f t="shared" si="1"/>
        <v>99046.67</v>
      </c>
    </row>
    <row r="23" spans="1:6" ht="36">
      <c r="A23" s="160">
        <f>A22+1</f>
        <v>18</v>
      </c>
      <c r="B23" s="162">
        <f>Detailed!H384</f>
        <v>190.7</v>
      </c>
      <c r="C23" s="161" t="e">
        <f>#REF!</f>
        <v>#REF!</v>
      </c>
      <c r="D23" s="162">
        <f>'Print Data'!F285</f>
        <v>37.549999999999997</v>
      </c>
      <c r="E23" s="162" t="s">
        <v>1861</v>
      </c>
      <c r="F23" s="162">
        <f t="shared" si="1"/>
        <v>7160.79</v>
      </c>
    </row>
    <row r="24" spans="1:6" ht="36">
      <c r="A24" s="160">
        <f t="shared" si="2"/>
        <v>19</v>
      </c>
      <c r="B24" s="162">
        <f>Detailed!H397</f>
        <v>36.799999999999997</v>
      </c>
      <c r="C24" s="161" t="str">
        <f>[11]Detailed!B304</f>
        <v>Painting one coat for old iron work</v>
      </c>
      <c r="D24" s="162" t="e">
        <f>#REF!</f>
        <v>#REF!</v>
      </c>
      <c r="E24" s="162" t="s">
        <v>1861</v>
      </c>
      <c r="F24" s="162" t="e">
        <f t="shared" si="1"/>
        <v>#REF!</v>
      </c>
    </row>
    <row r="25" spans="1:6" ht="36">
      <c r="A25" s="160">
        <f>A24+1</f>
        <v>20</v>
      </c>
      <c r="B25" s="162">
        <f>Detailed!H402</f>
        <v>57.4</v>
      </c>
      <c r="C25" s="161" t="str">
        <f>[11]Detailed!B322</f>
        <v>Painting one coat for old wood work</v>
      </c>
      <c r="D25" s="162" t="e">
        <f>#REF!</f>
        <v>#REF!</v>
      </c>
      <c r="E25" s="162" t="s">
        <v>1861</v>
      </c>
      <c r="F25" s="162" t="e">
        <f t="shared" si="1"/>
        <v>#REF!</v>
      </c>
    </row>
    <row r="26" spans="1:6" ht="36">
      <c r="A26" s="160">
        <f>A25+1</f>
        <v>21</v>
      </c>
      <c r="B26" s="162">
        <f>Detailed!H453</f>
        <v>406.2</v>
      </c>
      <c r="C26" s="161" t="str">
        <f>[11]Detailed!B327</f>
        <v>Plastic Emulsion PAINT two coat for old wall</v>
      </c>
      <c r="D26" s="162" t="e">
        <f>#REF!</f>
        <v>#REF!</v>
      </c>
      <c r="E26" s="162" t="s">
        <v>1861</v>
      </c>
      <c r="F26" s="162" t="e">
        <f t="shared" si="1"/>
        <v>#REF!</v>
      </c>
    </row>
    <row r="27" spans="1:6" ht="54">
      <c r="A27" s="160">
        <f>A26+1</f>
        <v>22</v>
      </c>
      <c r="B27" s="162">
        <f>Detailed!H457</f>
        <v>36</v>
      </c>
      <c r="C27" s="161" t="str">
        <f>[11]Detailed!B379</f>
        <v>PVC SWR 110 mm dia with ISI mark type- A for Rain water down fall pipe</v>
      </c>
      <c r="D27" s="162" t="e">
        <f>#REF!</f>
        <v>#REF!</v>
      </c>
      <c r="E27" s="162" t="s">
        <v>669</v>
      </c>
      <c r="F27" s="162" t="e">
        <f t="shared" si="1"/>
        <v>#REF!</v>
      </c>
    </row>
    <row r="28" spans="1:6" ht="36">
      <c r="A28" s="160">
        <f>A27+1</f>
        <v>23</v>
      </c>
      <c r="B28" s="162"/>
      <c r="C28" s="161" t="str">
        <f>[11]Detailed!B383</f>
        <v>PVC SWR pipe (Soil line) with ISI mark - type 'B'.</v>
      </c>
      <c r="D28" s="162"/>
      <c r="E28" s="162"/>
      <c r="F28" s="162"/>
    </row>
    <row r="29" spans="1:6" ht="30" customHeight="1">
      <c r="A29" s="160"/>
      <c r="B29" s="162">
        <f>Detailed!H465</f>
        <v>22.5</v>
      </c>
      <c r="C29" s="161" t="str">
        <f>[11]Detailed!B384</f>
        <v>a. 110 mm dia.</v>
      </c>
      <c r="D29" s="162" t="e">
        <f>#REF!</f>
        <v>#REF!</v>
      </c>
      <c r="E29" s="162" t="s">
        <v>669</v>
      </c>
      <c r="F29" s="162" t="e">
        <f t="shared" si="1"/>
        <v>#REF!</v>
      </c>
    </row>
    <row r="30" spans="1:6" ht="30" customHeight="1">
      <c r="A30" s="160"/>
      <c r="B30" s="162">
        <f>Detailed!H472</f>
        <v>24.6</v>
      </c>
      <c r="C30" s="161" t="str">
        <f>[11]Detailed!B391</f>
        <v>b. 75 mm dia.</v>
      </c>
      <c r="D30" s="162" t="e">
        <f>#REF!</f>
        <v>#REF!</v>
      </c>
      <c r="E30" s="162" t="s">
        <v>669</v>
      </c>
      <c r="F30" s="162" t="e">
        <f t="shared" si="1"/>
        <v>#REF!</v>
      </c>
    </row>
    <row r="31" spans="1:6" ht="30" customHeight="1">
      <c r="A31" s="160">
        <f>A28+1</f>
        <v>24</v>
      </c>
      <c r="B31" s="162"/>
      <c r="C31" s="161" t="str">
        <f>[11]Detailed!B398</f>
        <v>PVC Water supply (ASTM)</v>
      </c>
      <c r="D31" s="162"/>
      <c r="E31" s="162"/>
      <c r="F31" s="162"/>
    </row>
    <row r="32" spans="1:6" ht="30" customHeight="1">
      <c r="A32" s="160"/>
      <c r="B32" s="162">
        <f>Detailed!H477</f>
        <v>15</v>
      </c>
      <c r="C32" s="161" t="str">
        <f>[11]Detailed!B399</f>
        <v xml:space="preserve">a. 32 mm dia </v>
      </c>
      <c r="D32" s="162" t="e">
        <f>#REF!</f>
        <v>#REF!</v>
      </c>
      <c r="E32" s="162" t="s">
        <v>669</v>
      </c>
      <c r="F32" s="162" t="e">
        <f t="shared" si="1"/>
        <v>#REF!</v>
      </c>
    </row>
    <row r="33" spans="1:6" ht="30" customHeight="1">
      <c r="A33" s="160"/>
      <c r="B33" s="162">
        <f>Detailed!H481</f>
        <v>50</v>
      </c>
      <c r="C33" s="161" t="str">
        <f>[11]Detailed!B404</f>
        <v xml:space="preserve">b. 25 mm dia </v>
      </c>
      <c r="D33" s="162" t="e">
        <f>#REF!</f>
        <v>#REF!</v>
      </c>
      <c r="E33" s="162" t="s">
        <v>669</v>
      </c>
      <c r="F33" s="162" t="e">
        <f t="shared" si="1"/>
        <v>#REF!</v>
      </c>
    </row>
    <row r="34" spans="1:6" ht="73.900000000000006" customHeight="1">
      <c r="A34" s="160">
        <f>A31+1</f>
        <v>25</v>
      </c>
      <c r="B34" s="162">
        <f>Detailed!H485</f>
        <v>0.6</v>
      </c>
      <c r="C34" s="161" t="str">
        <f>[11]Detailed!B408</f>
        <v>Supply &amp; Fixing of MS ventilator of size ( lockup)MS Ventilator of Size 900 x 600mm</v>
      </c>
      <c r="D34" s="162" t="e">
        <f>#REF!</f>
        <v>#REF!</v>
      </c>
      <c r="E34" s="162" t="s">
        <v>1861</v>
      </c>
      <c r="F34" s="162" t="e">
        <f t="shared" si="1"/>
        <v>#REF!</v>
      </c>
    </row>
    <row r="35" spans="1:6" ht="41.45" customHeight="1">
      <c r="A35" s="160"/>
      <c r="B35" s="162">
        <f>Detailed!H489</f>
        <v>0.4</v>
      </c>
      <c r="C35" s="161" t="str">
        <f>[11]Detailed!B412</f>
        <v>MS Ventilator of Size 600 x 600mm</v>
      </c>
      <c r="D35" s="162" t="e">
        <f>#REF!</f>
        <v>#REF!</v>
      </c>
      <c r="E35" s="162" t="s">
        <v>1861</v>
      </c>
      <c r="F35" s="162" t="e">
        <f t="shared" si="1"/>
        <v>#REF!</v>
      </c>
    </row>
    <row r="36" spans="1:6" ht="41.45" customHeight="1">
      <c r="A36" s="160"/>
      <c r="B36" s="162">
        <f>Detailed!H493</f>
        <v>0.9</v>
      </c>
      <c r="C36" s="161" t="e">
        <f>Detailed!B490</f>
        <v>#REF!</v>
      </c>
      <c r="D36" s="162" t="e">
        <f>#REF!</f>
        <v>#REF!</v>
      </c>
      <c r="E36" s="162" t="s">
        <v>1861</v>
      </c>
      <c r="F36" s="162" t="e">
        <f t="shared" si="1"/>
        <v>#REF!</v>
      </c>
    </row>
    <row r="37" spans="1:6" ht="54">
      <c r="A37" s="160">
        <f>A34+1</f>
        <v>26</v>
      </c>
      <c r="B37" s="162">
        <f>Detailed!H497</f>
        <v>1</v>
      </c>
      <c r="C37" s="161" t="s">
        <v>3465</v>
      </c>
      <c r="D37" s="162">
        <v>31976</v>
      </c>
      <c r="E37" s="162" t="s">
        <v>1134</v>
      </c>
      <c r="F37" s="162">
        <f t="shared" si="1"/>
        <v>31976</v>
      </c>
    </row>
    <row r="38" spans="1:6" ht="72">
      <c r="A38" s="160">
        <f>A37+1</f>
        <v>27</v>
      </c>
      <c r="B38" s="162">
        <f>Detailed!H501</f>
        <v>1</v>
      </c>
      <c r="C38" s="161" t="s">
        <v>3467</v>
      </c>
      <c r="D38" s="162">
        <v>8131.2</v>
      </c>
      <c r="E38" s="162" t="s">
        <v>1134</v>
      </c>
      <c r="F38" s="162">
        <f t="shared" si="1"/>
        <v>8131.2</v>
      </c>
    </row>
    <row r="39" spans="1:6" ht="90">
      <c r="A39" s="160">
        <f>A38+1</f>
        <v>28</v>
      </c>
      <c r="B39" s="162">
        <f>Detailed!H505</f>
        <v>1</v>
      </c>
      <c r="C39" s="161" t="s">
        <v>3466</v>
      </c>
      <c r="D39" s="162">
        <v>5641</v>
      </c>
      <c r="E39" s="162" t="s">
        <v>1134</v>
      </c>
      <c r="F39" s="162">
        <f t="shared" si="1"/>
        <v>5641</v>
      </c>
    </row>
    <row r="40" spans="1:6" ht="38.25" customHeight="1">
      <c r="A40" s="160">
        <f>A39+1</f>
        <v>29</v>
      </c>
      <c r="B40" s="162">
        <f>Detailed!H511</f>
        <v>101.5</v>
      </c>
      <c r="C40" s="161" t="e">
        <f>Detailed!B506</f>
        <v>#REF!</v>
      </c>
      <c r="D40" s="162" t="e">
        <f>#REF!</f>
        <v>#REF!</v>
      </c>
      <c r="E40" s="162" t="s">
        <v>1341</v>
      </c>
      <c r="F40" s="162" t="e">
        <f t="shared" si="1"/>
        <v>#REF!</v>
      </c>
    </row>
    <row r="41" spans="1:6" ht="30" customHeight="1">
      <c r="A41" s="160">
        <f t="shared" ref="A41:A43" si="3">A40+1</f>
        <v>30</v>
      </c>
      <c r="B41" s="162">
        <f>Detailed!H519</f>
        <v>4.7</v>
      </c>
      <c r="C41" s="161" t="str">
        <f>[11]Detailed!B432</f>
        <v>Painting - New "iron work"</v>
      </c>
      <c r="D41" s="162" t="e">
        <f>#REF!</f>
        <v>#REF!</v>
      </c>
      <c r="E41" s="162" t="s">
        <v>1861</v>
      </c>
      <c r="F41" s="162" t="e">
        <f t="shared" si="1"/>
        <v>#REF!</v>
      </c>
    </row>
    <row r="42" spans="1:6" ht="37.5" customHeight="1">
      <c r="A42" s="160">
        <f t="shared" si="3"/>
        <v>31</v>
      </c>
      <c r="B42" s="162">
        <f>Detailed!H524</f>
        <v>7.2</v>
      </c>
      <c r="C42" s="161" t="str">
        <f>Detailed!B520</f>
        <v xml:space="preserve">Supplying and fixing 4mm thick pin headed glass panels </v>
      </c>
      <c r="D42" s="162">
        <f>Data!K1185</f>
        <v>835.7</v>
      </c>
      <c r="E42" s="162" t="s">
        <v>1861</v>
      </c>
      <c r="F42" s="162">
        <f t="shared" si="1"/>
        <v>6017.04</v>
      </c>
    </row>
    <row r="43" spans="1:6" ht="108">
      <c r="A43" s="160">
        <f t="shared" si="3"/>
        <v>32</v>
      </c>
      <c r="B43" s="162"/>
      <c r="C43" s="161" t="str">
        <f>'[11]Building (2)'!B891</f>
        <v>Wiring with 1.5 sqmm PVC insulated single core multi strand fire retardant flexible copper cable with ISI mark confirming IS: 694:1990. (Open wiring)</v>
      </c>
      <c r="D43" s="162"/>
      <c r="E43" s="162"/>
      <c r="F43" s="162"/>
    </row>
    <row r="44" spans="1:6" ht="30" customHeight="1">
      <c r="A44" s="160"/>
      <c r="B44" s="162">
        <f>Detailed!H532</f>
        <v>15</v>
      </c>
      <c r="C44" s="161" t="str">
        <f>[11]Detailed!B438</f>
        <v>a. Light point with ceiling rose</v>
      </c>
      <c r="D44" s="162" t="e">
        <f>#REF!</f>
        <v>#REF!</v>
      </c>
      <c r="E44" s="162" t="s">
        <v>1134</v>
      </c>
      <c r="F44" s="162" t="e">
        <f t="shared" si="1"/>
        <v>#REF!</v>
      </c>
    </row>
    <row r="45" spans="1:6" ht="30" customHeight="1">
      <c r="A45" s="160"/>
      <c r="B45" s="162">
        <f>Detailed!H538</f>
        <v>9</v>
      </c>
      <c r="C45" s="161" t="str">
        <f>[11]Detailed!B444</f>
        <v>b. Light point without ceiling rose</v>
      </c>
      <c r="D45" s="162" t="e">
        <f>#REF!</f>
        <v>#REF!</v>
      </c>
      <c r="E45" s="162" t="s">
        <v>1134</v>
      </c>
      <c r="F45" s="162" t="e">
        <f t="shared" si="1"/>
        <v>#REF!</v>
      </c>
    </row>
    <row r="46" spans="1:6" ht="108">
      <c r="A46" s="160">
        <f>A43+1</f>
        <v>33</v>
      </c>
      <c r="B46" s="162">
        <f>Detailed!H543</f>
        <v>6</v>
      </c>
      <c r="C46" s="161" t="str">
        <f>[11]Detailed!B450</f>
        <v>Wiring with 1.5 sqmm PVC insulated single core multi strand fire retardant flexible copper cable with ISI mark confirming IS: 694:1990 for Fan point.</v>
      </c>
      <c r="D46" s="162" t="e">
        <f>#REF!</f>
        <v>#REF!</v>
      </c>
      <c r="E46" s="162" t="s">
        <v>1134</v>
      </c>
      <c r="F46" s="162" t="e">
        <f t="shared" si="1"/>
        <v>#REF!</v>
      </c>
    </row>
    <row r="47" spans="1:6" ht="126">
      <c r="A47" s="160">
        <f t="shared" ref="A47:A57" si="4">A46+1</f>
        <v>34</v>
      </c>
      <c r="B47" s="162">
        <f>Detailed!H548</f>
        <v>6</v>
      </c>
      <c r="C47" s="161" t="str">
        <f>[11]Detailed!B455</f>
        <v>Wiring with 1.5 sqmm PVC insulated single core multi strand fire retardant flexible copper cable with ISI mark confirming IS: 694:1990 for 5 amps 5 pin plug socket point @ Convenient Places.</v>
      </c>
      <c r="D47" s="162" t="e">
        <f>#REF!</f>
        <v>#REF!</v>
      </c>
      <c r="E47" s="162" t="s">
        <v>1134</v>
      </c>
      <c r="F47" s="162" t="e">
        <f t="shared" si="1"/>
        <v>#REF!</v>
      </c>
    </row>
    <row r="48" spans="1:6" ht="90">
      <c r="A48" s="160">
        <f t="shared" si="4"/>
        <v>35</v>
      </c>
      <c r="B48" s="162">
        <f>Detailed!H554</f>
        <v>55</v>
      </c>
      <c r="C48" s="161" t="e">
        <f>#REF!</f>
        <v>#REF!</v>
      </c>
      <c r="D48" s="162" t="e">
        <f>#REF!</f>
        <v>#REF!</v>
      </c>
      <c r="E48" s="162" t="s">
        <v>669</v>
      </c>
      <c r="F48" s="162" t="e">
        <f t="shared" si="1"/>
        <v>#REF!</v>
      </c>
    </row>
    <row r="49" spans="1:6" ht="54" customHeight="1">
      <c r="A49" s="160">
        <f t="shared" si="4"/>
        <v>36</v>
      </c>
      <c r="B49" s="162">
        <f>Detailed!H559</f>
        <v>4</v>
      </c>
      <c r="C49" s="161" t="str">
        <f>[11]Detailed!B466</f>
        <v>S &amp; F of 15mm dia Engineering Polymer Tap (long body ) for coastal area only</v>
      </c>
      <c r="D49" s="162" t="e">
        <f>#REF!</f>
        <v>#REF!</v>
      </c>
      <c r="E49" s="162" t="s">
        <v>1134</v>
      </c>
      <c r="F49" s="162" t="e">
        <f t="shared" si="1"/>
        <v>#REF!</v>
      </c>
    </row>
    <row r="50" spans="1:6" ht="54" customHeight="1">
      <c r="A50" s="160">
        <f t="shared" si="4"/>
        <v>37</v>
      </c>
      <c r="B50" s="162">
        <f>Detailed!H564</f>
        <v>5</v>
      </c>
      <c r="C50" s="161" t="str">
        <f>[11]Detailed!B471</f>
        <v>S &amp; F of 15mm dia Engineering Polymer Tap  short body tap for coastal area only</v>
      </c>
      <c r="D50" s="162" t="e">
        <f>#REF!</f>
        <v>#REF!</v>
      </c>
      <c r="E50" s="162" t="s">
        <v>1134</v>
      </c>
      <c r="F50" s="162" t="e">
        <f t="shared" si="1"/>
        <v>#REF!</v>
      </c>
    </row>
    <row r="51" spans="1:6" ht="54" customHeight="1">
      <c r="A51" s="160">
        <f t="shared" si="4"/>
        <v>38</v>
      </c>
      <c r="B51" s="162">
        <f>Detailed!H569</f>
        <v>6</v>
      </c>
      <c r="C51" s="161" t="str">
        <f>[11]Detailed!B476</f>
        <v>Supply and delivery of  48" (1200 mm) Fan with ISI mark with Eletronic Dimmer</v>
      </c>
      <c r="D51" s="162" t="e">
        <f>#REF!</f>
        <v>#REF!</v>
      </c>
      <c r="E51" s="162" t="s">
        <v>1134</v>
      </c>
      <c r="F51" s="162" t="e">
        <f t="shared" si="1"/>
        <v>#REF!</v>
      </c>
    </row>
    <row r="52" spans="1:6" ht="30" customHeight="1">
      <c r="A52" s="160">
        <f t="shared" si="4"/>
        <v>39</v>
      </c>
      <c r="B52" s="162">
        <f>Detailed!H574</f>
        <v>6</v>
      </c>
      <c r="C52" s="161" t="e">
        <f>Detailed!B570</f>
        <v>#REF!</v>
      </c>
      <c r="D52" s="162" t="e">
        <f>#REF!</f>
        <v>#REF!</v>
      </c>
      <c r="E52" s="162" t="s">
        <v>1134</v>
      </c>
      <c r="F52" s="162" t="e">
        <f t="shared" si="1"/>
        <v>#REF!</v>
      </c>
    </row>
    <row r="53" spans="1:6" ht="38.450000000000003" customHeight="1">
      <c r="A53" s="160">
        <f t="shared" si="4"/>
        <v>40</v>
      </c>
      <c r="B53" s="162">
        <f>Detailed!H579</f>
        <v>3</v>
      </c>
      <c r="C53" s="161" t="str">
        <f>[11]Detailed!B481</f>
        <v>Wash Hand  Basin of size 550 x 400 mm</v>
      </c>
      <c r="D53" s="162" t="e">
        <f>#REF!</f>
        <v>#REF!</v>
      </c>
      <c r="E53" s="162" t="s">
        <v>1134</v>
      </c>
      <c r="F53" s="162" t="e">
        <f t="shared" si="1"/>
        <v>#REF!</v>
      </c>
    </row>
    <row r="54" spans="1:6" ht="30" customHeight="1">
      <c r="A54" s="160">
        <f t="shared" si="4"/>
        <v>41</v>
      </c>
      <c r="B54" s="162">
        <f>Detailed!H584</f>
        <v>8</v>
      </c>
      <c r="C54" s="161" t="str">
        <f>[11]Detailed!B486</f>
        <v>18 watts  LED  Tube Light</v>
      </c>
      <c r="D54" s="162" t="e">
        <f>#REF!</f>
        <v>#REF!</v>
      </c>
      <c r="E54" s="162" t="s">
        <v>1134</v>
      </c>
      <c r="F54" s="162" t="e">
        <f t="shared" si="1"/>
        <v>#REF!</v>
      </c>
    </row>
    <row r="55" spans="1:6" ht="30" customHeight="1">
      <c r="A55" s="160">
        <f t="shared" si="4"/>
        <v>42</v>
      </c>
      <c r="B55" s="162">
        <f>Detailed!H590</f>
        <v>9</v>
      </c>
      <c r="C55" s="161" t="str">
        <f>[11]Detailed!B491</f>
        <v>9 watts  LED bulb  qtn</v>
      </c>
      <c r="D55" s="162" t="e">
        <f>#REF!</f>
        <v>#REF!</v>
      </c>
      <c r="E55" s="162" t="s">
        <v>1134</v>
      </c>
      <c r="F55" s="162" t="e">
        <f t="shared" si="1"/>
        <v>#REF!</v>
      </c>
    </row>
    <row r="56" spans="1:6" ht="54" customHeight="1">
      <c r="A56" s="160">
        <f t="shared" si="4"/>
        <v>43</v>
      </c>
      <c r="B56" s="162">
        <f>Detailed!H594</f>
        <v>4</v>
      </c>
      <c r="C56" s="161" t="str">
        <f>[11]Detailed!B497</f>
        <v>Supplying and fixing of 25Watts LED Street Light Fittings</v>
      </c>
      <c r="D56" s="162" t="e">
        <f>#REF!</f>
        <v>#REF!</v>
      </c>
      <c r="E56" s="162" t="s">
        <v>1134</v>
      </c>
      <c r="F56" s="162" t="e">
        <f t="shared" si="1"/>
        <v>#REF!</v>
      </c>
    </row>
    <row r="57" spans="1:6" ht="72">
      <c r="A57" s="160">
        <f t="shared" si="4"/>
        <v>44</v>
      </c>
      <c r="B57" s="162">
        <f>Detailed!H598</f>
        <v>2.5</v>
      </c>
      <c r="C57" s="161" t="s">
        <v>3348</v>
      </c>
      <c r="D57" s="162">
        <v>244.4</v>
      </c>
      <c r="E57" s="162" t="s">
        <v>669</v>
      </c>
      <c r="F57" s="162">
        <f t="shared" si="1"/>
        <v>611</v>
      </c>
    </row>
    <row r="58" spans="1:6" ht="55.15" customHeight="1">
      <c r="A58" s="160">
        <f>A57+1</f>
        <v>45</v>
      </c>
      <c r="B58" s="162"/>
      <c r="C58" s="161" t="e">
        <f>Detailed!B599</f>
        <v>#REF!</v>
      </c>
      <c r="D58" s="162"/>
      <c r="E58" s="162"/>
      <c r="F58" s="162"/>
    </row>
    <row r="59" spans="1:6" ht="30" customHeight="1">
      <c r="A59" s="160"/>
      <c r="B59" s="162">
        <f>Detailed!H605</f>
        <v>5.7</v>
      </c>
      <c r="C59" s="161" t="str">
        <f>[11]Detailed!B506</f>
        <v>a. In Foundation &amp; basement</v>
      </c>
      <c r="D59" s="162" t="e">
        <f>#REF!</f>
        <v>#REF!</v>
      </c>
      <c r="E59" s="162" t="s">
        <v>1861</v>
      </c>
      <c r="F59" s="162" t="e">
        <f t="shared" si="1"/>
        <v>#REF!</v>
      </c>
    </row>
    <row r="60" spans="1:6" ht="57" customHeight="1">
      <c r="A60" s="160">
        <f>A58+1</f>
        <v>46</v>
      </c>
      <c r="B60" s="165">
        <f>Detailed!H610</f>
        <v>2.3E-2</v>
      </c>
      <c r="C60" s="161" t="str">
        <f>[11]Detailed!B512</f>
        <v>Fabrication of Mild steel / RTS grills (without cement slurry) for all sizes of rods.</v>
      </c>
      <c r="D60" s="162" t="e">
        <f>#REF!</f>
        <v>#REF!</v>
      </c>
      <c r="E60" s="162" t="s">
        <v>427</v>
      </c>
      <c r="F60" s="162" t="e">
        <f t="shared" si="1"/>
        <v>#REF!</v>
      </c>
    </row>
    <row r="61" spans="1:6" ht="40.9" customHeight="1">
      <c r="A61" s="160">
        <f t="shared" ref="A61:A85" si="5">A60+1</f>
        <v>47</v>
      </c>
      <c r="B61" s="165">
        <f>Detailed!H614</f>
        <v>2.3E-2</v>
      </c>
      <c r="C61" s="161" t="str">
        <f>[11]Detailed!B517</f>
        <v>Anticorrosive treatment for steel grills</v>
      </c>
      <c r="D61" s="162" t="e">
        <f>#REF!</f>
        <v>#REF!</v>
      </c>
      <c r="E61" s="162" t="s">
        <v>427</v>
      </c>
      <c r="F61" s="162" t="e">
        <f t="shared" si="1"/>
        <v>#REF!</v>
      </c>
    </row>
    <row r="62" spans="1:6" ht="54.6" customHeight="1">
      <c r="A62" s="160">
        <f t="shared" si="5"/>
        <v>48</v>
      </c>
      <c r="B62" s="162">
        <f>Detailed!H618</f>
        <v>1.5</v>
      </c>
      <c r="C62" s="161" t="str">
        <f>[11]Detailed!B521</f>
        <v>Earth work excavation in all soils (including refilling)a. 0 to 2 mt.</v>
      </c>
      <c r="D62" s="162" t="e">
        <f>#REF!</f>
        <v>#REF!</v>
      </c>
      <c r="E62" s="162" t="s">
        <v>1749</v>
      </c>
      <c r="F62" s="162" t="e">
        <f t="shared" si="1"/>
        <v>#REF!</v>
      </c>
    </row>
    <row r="63" spans="1:6" ht="54.6" customHeight="1">
      <c r="A63" s="160">
        <f t="shared" si="5"/>
        <v>49</v>
      </c>
      <c r="B63" s="162"/>
      <c r="C63" s="161" t="e">
        <f>Detailed!B619</f>
        <v>#REF!</v>
      </c>
      <c r="D63" s="162"/>
      <c r="E63" s="162"/>
      <c r="F63" s="162"/>
    </row>
    <row r="64" spans="1:6" ht="30" customHeight="1">
      <c r="A64" s="160"/>
      <c r="B64" s="162">
        <f>Detailed!H623</f>
        <v>5</v>
      </c>
      <c r="C64" s="161" t="e">
        <f>Detailed!B620</f>
        <v>#REF!</v>
      </c>
      <c r="D64" s="162" t="e">
        <f>#REF!</f>
        <v>#REF!</v>
      </c>
      <c r="E64" s="162" t="s">
        <v>1749</v>
      </c>
      <c r="F64" s="162" t="e">
        <f t="shared" si="1"/>
        <v>#REF!</v>
      </c>
    </row>
    <row r="65" spans="1:6" ht="40.9" customHeight="1">
      <c r="A65" s="160">
        <f>A63+1</f>
        <v>50</v>
      </c>
      <c r="B65" s="162">
        <f>Detailed!H628</f>
        <v>2.2000000000000002</v>
      </c>
      <c r="C65" s="161" t="str">
        <f>[11]Detailed!B525</f>
        <v>C.C.1:5:10 for Foundation &amp; Basement</v>
      </c>
      <c r="D65" s="162" t="e">
        <f>#REF!</f>
        <v>#REF!</v>
      </c>
      <c r="E65" s="162" t="s">
        <v>1749</v>
      </c>
      <c r="F65" s="162" t="e">
        <f t="shared" si="1"/>
        <v>#REF!</v>
      </c>
    </row>
    <row r="66" spans="1:6" ht="40.9" customHeight="1">
      <c r="A66" s="160">
        <f t="shared" si="5"/>
        <v>51</v>
      </c>
      <c r="B66" s="162">
        <f>Detailed!H633</f>
        <v>3.6</v>
      </c>
      <c r="C66" s="161" t="str">
        <f>[11]Detailed!B529</f>
        <v>P.C.C. 1:8:16 using 20 mm broken brick jelly</v>
      </c>
      <c r="D66" s="162" t="e">
        <f>#REF!</f>
        <v>#REF!</v>
      </c>
      <c r="E66" s="162" t="s">
        <v>1749</v>
      </c>
      <c r="F66" s="162" t="e">
        <f t="shared" si="1"/>
        <v>#REF!</v>
      </c>
    </row>
    <row r="67" spans="1:6" ht="78" customHeight="1">
      <c r="A67" s="160">
        <f t="shared" si="5"/>
        <v>52</v>
      </c>
      <c r="B67" s="162">
        <f>Detailed!H639</f>
        <v>3.4</v>
      </c>
      <c r="C67" s="161" t="str">
        <f>[11]Detailed!B533</f>
        <v>Brick work in C.M. 1:5 (F&amp; B) using Kiln Burnt Country bricks of size 22 x 11 x 7 cm (8 3/4" x 4 1/4" x 2 3/4")</v>
      </c>
      <c r="D67" s="162" t="e">
        <f>#REF!</f>
        <v>#REF!</v>
      </c>
      <c r="E67" s="162" t="s">
        <v>1749</v>
      </c>
      <c r="F67" s="162" t="e">
        <f t="shared" si="1"/>
        <v>#REF!</v>
      </c>
    </row>
    <row r="68" spans="1:6" ht="78" customHeight="1">
      <c r="A68" s="160">
        <f t="shared" si="5"/>
        <v>53</v>
      </c>
      <c r="B68" s="162"/>
      <c r="C68" s="161" t="e">
        <f>Detailed!B640</f>
        <v>#REF!</v>
      </c>
      <c r="D68" s="162"/>
      <c r="E68" s="162"/>
      <c r="F68" s="162"/>
    </row>
    <row r="69" spans="1:6" ht="30" customHeight="1">
      <c r="A69" s="160"/>
      <c r="B69" s="162">
        <f>Detailed!H650</f>
        <v>17.5</v>
      </c>
      <c r="C69" s="161" t="e">
        <f>Detailed!B641</f>
        <v>#REF!</v>
      </c>
      <c r="D69" s="162" t="e">
        <f>#REF!</f>
        <v>#REF!</v>
      </c>
      <c r="E69" s="162" t="s">
        <v>1861</v>
      </c>
      <c r="F69" s="162" t="e">
        <f t="shared" si="1"/>
        <v>#REF!</v>
      </c>
    </row>
    <row r="70" spans="1:6" ht="40.9" customHeight="1">
      <c r="A70" s="160">
        <f>A67+1</f>
        <v>53</v>
      </c>
      <c r="B70" s="162">
        <f>Detailed!H659</f>
        <v>24.2</v>
      </c>
      <c r="C70" s="161" t="str">
        <f>[11]Detailed!B537</f>
        <v>Floor plastering in C.M. 1:4, 20 mm tk.</v>
      </c>
      <c r="D70" s="162" t="e">
        <f>#REF!</f>
        <v>#REF!</v>
      </c>
      <c r="E70" s="162" t="s">
        <v>1861</v>
      </c>
      <c r="F70" s="162" t="e">
        <f t="shared" si="1"/>
        <v>#REF!</v>
      </c>
    </row>
    <row r="71" spans="1:6" ht="30" customHeight="1">
      <c r="A71" s="160">
        <f t="shared" si="5"/>
        <v>54</v>
      </c>
      <c r="B71" s="162">
        <f>Detailed!H665</f>
        <v>16.7</v>
      </c>
      <c r="C71" s="161" t="str">
        <f>[11]Detailed!B541</f>
        <v>Plastering in C.M. 1:4, 12 mm tk.</v>
      </c>
      <c r="D71" s="162" t="e">
        <f>#REF!</f>
        <v>#REF!</v>
      </c>
      <c r="E71" s="162" t="s">
        <v>1861</v>
      </c>
      <c r="F71" s="162" t="e">
        <f t="shared" si="1"/>
        <v>#REF!</v>
      </c>
    </row>
    <row r="72" spans="1:6" ht="91.9" customHeight="1">
      <c r="A72" s="160">
        <f t="shared" si="5"/>
        <v>55</v>
      </c>
      <c r="B72" s="162">
        <f>Detailed!H669</f>
        <v>20</v>
      </c>
      <c r="C72" s="161" t="str">
        <f>[11]Detailed!B545</f>
        <v>UPVC Non Pressure  pipe of SN8 SDR 34 ( S 16.5) as per IS 15328/2003a. 110 mm UPVC Non Pressure  pipe</v>
      </c>
      <c r="D72" s="162" t="e">
        <f>#REF!</f>
        <v>#REF!</v>
      </c>
      <c r="E72" s="162" t="s">
        <v>669</v>
      </c>
      <c r="F72" s="162" t="e">
        <f t="shared" si="1"/>
        <v>#REF!</v>
      </c>
    </row>
    <row r="73" spans="1:6" ht="30" customHeight="1">
      <c r="A73" s="160">
        <f t="shared" si="5"/>
        <v>56</v>
      </c>
      <c r="B73" s="162">
        <f>Detailed!H677</f>
        <v>1.7</v>
      </c>
      <c r="C73" s="161" t="e">
        <f>Detailed!B670</f>
        <v>#REF!</v>
      </c>
      <c r="D73" s="162" t="e">
        <f>#REF!</f>
        <v>#REF!</v>
      </c>
      <c r="E73" s="162" t="s">
        <v>1749</v>
      </c>
      <c r="F73" s="162" t="e">
        <f t="shared" si="1"/>
        <v>#REF!</v>
      </c>
    </row>
    <row r="74" spans="1:6" ht="30" customHeight="1">
      <c r="A74" s="160">
        <f t="shared" si="5"/>
        <v>57</v>
      </c>
      <c r="B74" s="162">
        <f>Detailed!H685</f>
        <v>5</v>
      </c>
      <c r="C74" s="161" t="e">
        <f>Detailed!B678</f>
        <v>#REF!</v>
      </c>
      <c r="D74" s="162" t="e">
        <f>#REF!</f>
        <v>#REF!</v>
      </c>
      <c r="E74" s="162" t="s">
        <v>1749</v>
      </c>
      <c r="F74" s="162" t="e">
        <f t="shared" ref="F74:F85" si="6">PRODUCT(B74,D74)</f>
        <v>#REF!</v>
      </c>
    </row>
    <row r="75" spans="1:6" ht="38.25" customHeight="1">
      <c r="A75" s="160">
        <f t="shared" si="5"/>
        <v>58</v>
      </c>
      <c r="B75" s="162">
        <f>Detailed!H689</f>
        <v>6.5</v>
      </c>
      <c r="C75" s="161" t="e">
        <f>Detailed!B686</f>
        <v>#REF!</v>
      </c>
      <c r="D75" s="162" t="e">
        <f>#REF!</f>
        <v>#REF!</v>
      </c>
      <c r="E75" s="162" t="s">
        <v>1861</v>
      </c>
      <c r="F75" s="162" t="e">
        <f t="shared" si="6"/>
        <v>#REF!</v>
      </c>
    </row>
    <row r="76" spans="1:6" ht="74.25" customHeight="1">
      <c r="A76" s="160">
        <f t="shared" si="5"/>
        <v>59</v>
      </c>
      <c r="B76" s="162">
        <f>Detailed!H697</f>
        <v>4.7</v>
      </c>
      <c r="C76" s="161" t="s">
        <v>3455</v>
      </c>
      <c r="D76" s="162">
        <v>132.4</v>
      </c>
      <c r="E76" s="162" t="s">
        <v>1861</v>
      </c>
      <c r="F76" s="162">
        <f t="shared" si="6"/>
        <v>622.28</v>
      </c>
    </row>
    <row r="77" spans="1:6" ht="93" customHeight="1">
      <c r="A77" s="160">
        <f t="shared" si="5"/>
        <v>60</v>
      </c>
      <c r="B77" s="162">
        <f>Detailed!H705</f>
        <v>20.2</v>
      </c>
      <c r="C77" s="161" t="s">
        <v>3456</v>
      </c>
      <c r="D77" s="162">
        <v>350</v>
      </c>
      <c r="E77" s="162" t="s">
        <v>1861</v>
      </c>
      <c r="F77" s="162">
        <f t="shared" si="6"/>
        <v>7070</v>
      </c>
    </row>
    <row r="78" spans="1:6" ht="93" customHeight="1">
      <c r="A78" s="160">
        <f t="shared" si="5"/>
        <v>61</v>
      </c>
      <c r="B78" s="162">
        <f>Detailed!H709</f>
        <v>6.5</v>
      </c>
      <c r="C78" s="161" t="s">
        <v>3464</v>
      </c>
      <c r="D78" s="162">
        <v>200</v>
      </c>
      <c r="E78" s="162" t="s">
        <v>1861</v>
      </c>
      <c r="F78" s="162">
        <f t="shared" si="6"/>
        <v>1300</v>
      </c>
    </row>
    <row r="79" spans="1:6" ht="147" customHeight="1">
      <c r="A79" s="160">
        <f t="shared" si="5"/>
        <v>62</v>
      </c>
      <c r="B79" s="162">
        <f>Detailed!H714</f>
        <v>7</v>
      </c>
      <c r="C79" s="161" t="e">
        <f>Detailed!B710</f>
        <v>#REF!</v>
      </c>
      <c r="D79" s="162" t="e">
        <f>#REF!</f>
        <v>#REF!</v>
      </c>
      <c r="E79" s="162" t="s">
        <v>1134</v>
      </c>
      <c r="F79" s="162" t="e">
        <f t="shared" si="6"/>
        <v>#REF!</v>
      </c>
    </row>
    <row r="80" spans="1:6" ht="147" customHeight="1">
      <c r="A80" s="160">
        <f>A79+1</f>
        <v>63</v>
      </c>
      <c r="B80" s="162">
        <f>Detailed!H718</f>
        <v>3</v>
      </c>
      <c r="C80" s="161" t="str">
        <f>Detailed!B715</f>
        <v>Wiring with 1.5 sqmm PVC insulated single core multi strand fire retardant flexible copper cable with ISI mark confirming IS: 694:1990 for Staircase Light Point. (Open Wiring)</v>
      </c>
      <c r="D80" s="162" t="e">
        <f>#REF!</f>
        <v>#REF!</v>
      </c>
      <c r="E80" s="162" t="s">
        <v>1134</v>
      </c>
      <c r="F80" s="162" t="e">
        <f t="shared" si="6"/>
        <v>#REF!</v>
      </c>
    </row>
    <row r="81" spans="1:6" ht="54.75" customHeight="1">
      <c r="A81" s="160">
        <f>A80+1</f>
        <v>64</v>
      </c>
      <c r="B81" s="162">
        <f>Detailed!H724</f>
        <v>5</v>
      </c>
      <c r="C81" s="161" t="e">
        <f>Detailed!B719</f>
        <v>#REF!</v>
      </c>
      <c r="D81" s="162" t="e">
        <f>#REF!</f>
        <v>#REF!</v>
      </c>
      <c r="E81" s="162" t="s">
        <v>1134</v>
      </c>
      <c r="F81" s="162" t="e">
        <f t="shared" si="6"/>
        <v>#REF!</v>
      </c>
    </row>
    <row r="82" spans="1:6" ht="38.25" customHeight="1">
      <c r="A82" s="160">
        <f t="shared" si="5"/>
        <v>65</v>
      </c>
      <c r="B82" s="162">
        <f>Detailed!H730</f>
        <v>5</v>
      </c>
      <c r="C82" s="161" t="e">
        <f>Detailed!B725</f>
        <v>#REF!</v>
      </c>
      <c r="D82" s="162" t="e">
        <f>#REF!</f>
        <v>#REF!</v>
      </c>
      <c r="E82" s="162" t="s">
        <v>1134</v>
      </c>
      <c r="F82" s="162" t="e">
        <f t="shared" si="6"/>
        <v>#REF!</v>
      </c>
    </row>
    <row r="83" spans="1:6" ht="38.25" customHeight="1">
      <c r="A83" s="160">
        <f t="shared" si="5"/>
        <v>66</v>
      </c>
      <c r="B83" s="162">
        <f>Detailed!H734</f>
        <v>1</v>
      </c>
      <c r="C83" s="161" t="e">
        <f>Detailed!B731</f>
        <v>#REF!</v>
      </c>
      <c r="D83" s="162" t="e">
        <f>#REF!</f>
        <v>#REF!</v>
      </c>
      <c r="E83" s="162" t="s">
        <v>1134</v>
      </c>
      <c r="F83" s="162" t="e">
        <f t="shared" si="6"/>
        <v>#REF!</v>
      </c>
    </row>
    <row r="84" spans="1:6" ht="26.25" customHeight="1">
      <c r="A84" s="160">
        <f t="shared" si="5"/>
        <v>67</v>
      </c>
      <c r="B84" s="162">
        <f>Detailed!H738</f>
        <v>8</v>
      </c>
      <c r="C84" s="161" t="e">
        <f>Detailed!B735</f>
        <v>#REF!</v>
      </c>
      <c r="D84" s="162" t="e">
        <f>#REF!</f>
        <v>#REF!</v>
      </c>
      <c r="E84" s="162" t="s">
        <v>669</v>
      </c>
      <c r="F84" s="162" t="e">
        <f t="shared" si="6"/>
        <v>#REF!</v>
      </c>
    </row>
    <row r="85" spans="1:6" ht="26.25" customHeight="1">
      <c r="A85" s="160">
        <f t="shared" si="5"/>
        <v>68</v>
      </c>
      <c r="B85" s="162">
        <f>Detailed!H742</f>
        <v>1</v>
      </c>
      <c r="C85" s="161" t="e">
        <f>Detailed!B739</f>
        <v>#REF!</v>
      </c>
      <c r="D85" s="162" t="e">
        <f>#REF!</f>
        <v>#REF!</v>
      </c>
      <c r="E85" s="162" t="s">
        <v>1134</v>
      </c>
      <c r="F85" s="162" t="e">
        <f t="shared" si="6"/>
        <v>#REF!</v>
      </c>
    </row>
    <row r="86" spans="1:6" ht="26.25" customHeight="1">
      <c r="A86" s="160"/>
      <c r="B86" s="981" t="s">
        <v>3307</v>
      </c>
      <c r="C86" s="981"/>
      <c r="D86" s="981"/>
      <c r="E86" s="981"/>
      <c r="F86" s="159" t="e">
        <f>SUM(F6:F85)</f>
        <v>#REF!</v>
      </c>
    </row>
    <row r="87" spans="1:6" ht="26.25" customHeight="1">
      <c r="A87" s="160"/>
      <c r="B87" s="980" t="s">
        <v>3435</v>
      </c>
      <c r="C87" s="980"/>
      <c r="D87" s="980"/>
      <c r="E87" s="980"/>
      <c r="F87" s="162" t="e">
        <f>SUM(F86*18%)</f>
        <v>#REF!</v>
      </c>
    </row>
    <row r="88" spans="1:6" ht="26.25" customHeight="1">
      <c r="A88" s="160"/>
      <c r="B88" s="981" t="s">
        <v>3308</v>
      </c>
      <c r="C88" s="981"/>
      <c r="D88" s="981"/>
      <c r="E88" s="981"/>
      <c r="F88" s="159" t="e">
        <f>SUM(F86:F87)</f>
        <v>#REF!</v>
      </c>
    </row>
    <row r="89" spans="1:6" ht="26.25" customHeight="1">
      <c r="A89" s="160"/>
      <c r="B89" s="980" t="s">
        <v>3461</v>
      </c>
      <c r="C89" s="980"/>
      <c r="D89" s="980"/>
      <c r="E89" s="162" t="s">
        <v>528</v>
      </c>
      <c r="F89" s="162">
        <v>30000</v>
      </c>
    </row>
    <row r="90" spans="1:6" ht="26.25" customHeight="1">
      <c r="A90" s="160"/>
      <c r="B90" s="981" t="s">
        <v>3460</v>
      </c>
      <c r="C90" s="981"/>
      <c r="D90" s="981"/>
      <c r="E90" s="981"/>
      <c r="F90" s="159" t="e">
        <f>SUM(F88:F89)</f>
        <v>#REF!</v>
      </c>
    </row>
    <row r="91" spans="1:6" ht="26.25" customHeight="1">
      <c r="A91" s="160"/>
      <c r="B91" s="980" t="s">
        <v>3309</v>
      </c>
      <c r="C91" s="980"/>
      <c r="D91" s="980"/>
      <c r="E91" s="980"/>
      <c r="F91" s="162" t="e">
        <f>SUM(F86*1%)</f>
        <v>#REF!</v>
      </c>
    </row>
    <row r="92" spans="1:6" ht="26.25" customHeight="1">
      <c r="A92" s="160"/>
      <c r="B92" s="980" t="s">
        <v>3349</v>
      </c>
      <c r="C92" s="980"/>
      <c r="D92" s="980"/>
      <c r="E92" s="980"/>
      <c r="F92" s="162" t="e">
        <f>SUM(F90*2.5%)</f>
        <v>#REF!</v>
      </c>
    </row>
    <row r="93" spans="1:6" ht="26.25" customHeight="1">
      <c r="A93" s="160"/>
      <c r="B93" s="980" t="s">
        <v>3310</v>
      </c>
      <c r="C93" s="980"/>
      <c r="D93" s="980"/>
      <c r="E93" s="980"/>
      <c r="F93" s="162" t="e">
        <f>SUM(F90*7.5%)</f>
        <v>#REF!</v>
      </c>
    </row>
    <row r="94" spans="1:6" ht="26.25" customHeight="1">
      <c r="A94" s="160"/>
      <c r="B94" s="981" t="s">
        <v>3311</v>
      </c>
      <c r="C94" s="981"/>
      <c r="D94" s="981"/>
      <c r="E94" s="981"/>
      <c r="F94" s="159" t="e">
        <f>SUM(F90:F93)</f>
        <v>#REF!</v>
      </c>
    </row>
    <row r="95" spans="1:6" ht="26.25" customHeight="1">
      <c r="C95" s="168"/>
      <c r="D95" s="168" t="s">
        <v>3458</v>
      </c>
      <c r="E95" s="131" t="e">
        <f>F94/100000</f>
        <v>#REF!</v>
      </c>
      <c r="F95" s="157" t="s">
        <v>3459</v>
      </c>
    </row>
  </sheetData>
  <mergeCells count="13">
    <mergeCell ref="A2:F2"/>
    <mergeCell ref="A1:F1"/>
    <mergeCell ref="B92:E92"/>
    <mergeCell ref="B93:E93"/>
    <mergeCell ref="B94:E94"/>
    <mergeCell ref="A3:F3"/>
    <mergeCell ref="A4:F4"/>
    <mergeCell ref="B86:E86"/>
    <mergeCell ref="B87:E87"/>
    <mergeCell ref="B88:E88"/>
    <mergeCell ref="B91:E91"/>
    <mergeCell ref="B90:E90"/>
    <mergeCell ref="B89:D89"/>
  </mergeCells>
  <printOptions horizontalCentered="1"/>
  <pageMargins left="0.70866141732283472" right="0.70866141732283472" top="0.74803149606299213" bottom="0.74803149606299213" header="0.31496062992125984" footer="0.31496062992125984"/>
  <pageSetup paperSize="9" scale="82" orientation="portrait" horizontalDpi="300" verticalDpi="300" r:id="rId1"/>
  <headerFooter>
    <oddHeader>&amp;R&amp;P</oddHeader>
  </headerFooter>
</worksheet>
</file>

<file path=xl/worksheets/sheet3.xml><?xml version="1.0" encoding="utf-8"?>
<worksheet xmlns="http://schemas.openxmlformats.org/spreadsheetml/2006/main" xmlns:r="http://schemas.openxmlformats.org/officeDocument/2006/relationships">
  <sheetPr>
    <tabColor rgb="FF00B050"/>
  </sheetPr>
  <dimension ref="A1:I743"/>
  <sheetViews>
    <sheetView view="pageBreakPreview" zoomScaleSheetLayoutView="100" workbookViewId="0">
      <selection activeCell="L10" sqref="L10"/>
    </sheetView>
  </sheetViews>
  <sheetFormatPr defaultRowHeight="21" customHeight="1"/>
  <cols>
    <col min="1" max="1" width="7" style="166" customWidth="1"/>
    <col min="2" max="2" width="31.33203125" style="167" customWidth="1"/>
    <col min="3" max="4" width="5.109375" style="166" customWidth="1"/>
    <col min="5" max="7" width="9" style="156" bestFit="1" customWidth="1"/>
    <col min="8" max="8" width="9.88671875" style="156" customWidth="1"/>
    <col min="9" max="9" width="7" style="131" customWidth="1"/>
    <col min="10" max="256" width="8.88671875" style="156"/>
    <col min="257" max="257" width="7.44140625" style="156" customWidth="1"/>
    <col min="258" max="258" width="30.33203125" style="156" customWidth="1"/>
    <col min="259" max="260" width="5.109375" style="156" customWidth="1"/>
    <col min="261" max="263" width="9" style="156" bestFit="1" customWidth="1"/>
    <col min="264" max="264" width="9.88671875" style="156" customWidth="1"/>
    <col min="265" max="265" width="7" style="156" customWidth="1"/>
    <col min="266" max="512" width="8.88671875" style="156"/>
    <col min="513" max="513" width="7.44140625" style="156" customWidth="1"/>
    <col min="514" max="514" width="30.33203125" style="156" customWidth="1"/>
    <col min="515" max="516" width="5.109375" style="156" customWidth="1"/>
    <col min="517" max="519" width="9" style="156" bestFit="1" customWidth="1"/>
    <col min="520" max="520" width="9.88671875" style="156" customWidth="1"/>
    <col min="521" max="521" width="7" style="156" customWidth="1"/>
    <col min="522" max="768" width="8.88671875" style="156"/>
    <col min="769" max="769" width="7.44140625" style="156" customWidth="1"/>
    <col min="770" max="770" width="30.33203125" style="156" customWidth="1"/>
    <col min="771" max="772" width="5.109375" style="156" customWidth="1"/>
    <col min="773" max="775" width="9" style="156" bestFit="1" customWidth="1"/>
    <col min="776" max="776" width="9.88671875" style="156" customWidth="1"/>
    <col min="777" max="777" width="7" style="156" customWidth="1"/>
    <col min="778" max="1024" width="8.88671875" style="156"/>
    <col min="1025" max="1025" width="7.44140625" style="156" customWidth="1"/>
    <col min="1026" max="1026" width="30.33203125" style="156" customWidth="1"/>
    <col min="1027" max="1028" width="5.109375" style="156" customWidth="1"/>
    <col min="1029" max="1031" width="9" style="156" bestFit="1" customWidth="1"/>
    <col min="1032" max="1032" width="9.88671875" style="156" customWidth="1"/>
    <col min="1033" max="1033" width="7" style="156" customWidth="1"/>
    <col min="1034" max="1280" width="8.88671875" style="156"/>
    <col min="1281" max="1281" width="7.44140625" style="156" customWidth="1"/>
    <col min="1282" max="1282" width="30.33203125" style="156" customWidth="1"/>
    <col min="1283" max="1284" width="5.109375" style="156" customWidth="1"/>
    <col min="1285" max="1287" width="9" style="156" bestFit="1" customWidth="1"/>
    <col min="1288" max="1288" width="9.88671875" style="156" customWidth="1"/>
    <col min="1289" max="1289" width="7" style="156" customWidth="1"/>
    <col min="1290" max="1536" width="8.88671875" style="156"/>
    <col min="1537" max="1537" width="7.44140625" style="156" customWidth="1"/>
    <col min="1538" max="1538" width="30.33203125" style="156" customWidth="1"/>
    <col min="1539" max="1540" width="5.109375" style="156" customWidth="1"/>
    <col min="1541" max="1543" width="9" style="156" bestFit="1" customWidth="1"/>
    <col min="1544" max="1544" width="9.88671875" style="156" customWidth="1"/>
    <col min="1545" max="1545" width="7" style="156" customWidth="1"/>
    <col min="1546" max="1792" width="8.88671875" style="156"/>
    <col min="1793" max="1793" width="7.44140625" style="156" customWidth="1"/>
    <col min="1794" max="1794" width="30.33203125" style="156" customWidth="1"/>
    <col min="1795" max="1796" width="5.109375" style="156" customWidth="1"/>
    <col min="1797" max="1799" width="9" style="156" bestFit="1" customWidth="1"/>
    <col min="1800" max="1800" width="9.88671875" style="156" customWidth="1"/>
    <col min="1801" max="1801" width="7" style="156" customWidth="1"/>
    <col min="1802" max="2048" width="8.88671875" style="156"/>
    <col min="2049" max="2049" width="7.44140625" style="156" customWidth="1"/>
    <col min="2050" max="2050" width="30.33203125" style="156" customWidth="1"/>
    <col min="2051" max="2052" width="5.109375" style="156" customWidth="1"/>
    <col min="2053" max="2055" width="9" style="156" bestFit="1" customWidth="1"/>
    <col min="2056" max="2056" width="9.88671875" style="156" customWidth="1"/>
    <col min="2057" max="2057" width="7" style="156" customWidth="1"/>
    <col min="2058" max="2304" width="8.88671875" style="156"/>
    <col min="2305" max="2305" width="7.44140625" style="156" customWidth="1"/>
    <col min="2306" max="2306" width="30.33203125" style="156" customWidth="1"/>
    <col min="2307" max="2308" width="5.109375" style="156" customWidth="1"/>
    <col min="2309" max="2311" width="9" style="156" bestFit="1" customWidth="1"/>
    <col min="2312" max="2312" width="9.88671875" style="156" customWidth="1"/>
    <col min="2313" max="2313" width="7" style="156" customWidth="1"/>
    <col min="2314" max="2560" width="8.88671875" style="156"/>
    <col min="2561" max="2561" width="7.44140625" style="156" customWidth="1"/>
    <col min="2562" max="2562" width="30.33203125" style="156" customWidth="1"/>
    <col min="2563" max="2564" width="5.109375" style="156" customWidth="1"/>
    <col min="2565" max="2567" width="9" style="156" bestFit="1" customWidth="1"/>
    <col min="2568" max="2568" width="9.88671875" style="156" customWidth="1"/>
    <col min="2569" max="2569" width="7" style="156" customWidth="1"/>
    <col min="2570" max="2816" width="8.88671875" style="156"/>
    <col min="2817" max="2817" width="7.44140625" style="156" customWidth="1"/>
    <col min="2818" max="2818" width="30.33203125" style="156" customWidth="1"/>
    <col min="2819" max="2820" width="5.109375" style="156" customWidth="1"/>
    <col min="2821" max="2823" width="9" style="156" bestFit="1" customWidth="1"/>
    <col min="2824" max="2824" width="9.88671875" style="156" customWidth="1"/>
    <col min="2825" max="2825" width="7" style="156" customWidth="1"/>
    <col min="2826" max="3072" width="8.88671875" style="156"/>
    <col min="3073" max="3073" width="7.44140625" style="156" customWidth="1"/>
    <col min="3074" max="3074" width="30.33203125" style="156" customWidth="1"/>
    <col min="3075" max="3076" width="5.109375" style="156" customWidth="1"/>
    <col min="3077" max="3079" width="9" style="156" bestFit="1" customWidth="1"/>
    <col min="3080" max="3080" width="9.88671875" style="156" customWidth="1"/>
    <col min="3081" max="3081" width="7" style="156" customWidth="1"/>
    <col min="3082" max="3328" width="8.88671875" style="156"/>
    <col min="3329" max="3329" width="7.44140625" style="156" customWidth="1"/>
    <col min="3330" max="3330" width="30.33203125" style="156" customWidth="1"/>
    <col min="3331" max="3332" width="5.109375" style="156" customWidth="1"/>
    <col min="3333" max="3335" width="9" style="156" bestFit="1" customWidth="1"/>
    <col min="3336" max="3336" width="9.88671875" style="156" customWidth="1"/>
    <col min="3337" max="3337" width="7" style="156" customWidth="1"/>
    <col min="3338" max="3584" width="8.88671875" style="156"/>
    <col min="3585" max="3585" width="7.44140625" style="156" customWidth="1"/>
    <col min="3586" max="3586" width="30.33203125" style="156" customWidth="1"/>
    <col min="3587" max="3588" width="5.109375" style="156" customWidth="1"/>
    <col min="3589" max="3591" width="9" style="156" bestFit="1" customWidth="1"/>
    <col min="3592" max="3592" width="9.88671875" style="156" customWidth="1"/>
    <col min="3593" max="3593" width="7" style="156" customWidth="1"/>
    <col min="3594" max="3840" width="8.88671875" style="156"/>
    <col min="3841" max="3841" width="7.44140625" style="156" customWidth="1"/>
    <col min="3842" max="3842" width="30.33203125" style="156" customWidth="1"/>
    <col min="3843" max="3844" width="5.109375" style="156" customWidth="1"/>
    <col min="3845" max="3847" width="9" style="156" bestFit="1" customWidth="1"/>
    <col min="3848" max="3848" width="9.88671875" style="156" customWidth="1"/>
    <col min="3849" max="3849" width="7" style="156" customWidth="1"/>
    <col min="3850" max="4096" width="8.88671875" style="156"/>
    <col min="4097" max="4097" width="7.44140625" style="156" customWidth="1"/>
    <col min="4098" max="4098" width="30.33203125" style="156" customWidth="1"/>
    <col min="4099" max="4100" width="5.109375" style="156" customWidth="1"/>
    <col min="4101" max="4103" width="9" style="156" bestFit="1" customWidth="1"/>
    <col min="4104" max="4104" width="9.88671875" style="156" customWidth="1"/>
    <col min="4105" max="4105" width="7" style="156" customWidth="1"/>
    <col min="4106" max="4352" width="8.88671875" style="156"/>
    <col min="4353" max="4353" width="7.44140625" style="156" customWidth="1"/>
    <col min="4354" max="4354" width="30.33203125" style="156" customWidth="1"/>
    <col min="4355" max="4356" width="5.109375" style="156" customWidth="1"/>
    <col min="4357" max="4359" width="9" style="156" bestFit="1" customWidth="1"/>
    <col min="4360" max="4360" width="9.88671875" style="156" customWidth="1"/>
    <col min="4361" max="4361" width="7" style="156" customWidth="1"/>
    <col min="4362" max="4608" width="8.88671875" style="156"/>
    <col min="4609" max="4609" width="7.44140625" style="156" customWidth="1"/>
    <col min="4610" max="4610" width="30.33203125" style="156" customWidth="1"/>
    <col min="4611" max="4612" width="5.109375" style="156" customWidth="1"/>
    <col min="4613" max="4615" width="9" style="156" bestFit="1" customWidth="1"/>
    <col min="4616" max="4616" width="9.88671875" style="156" customWidth="1"/>
    <col min="4617" max="4617" width="7" style="156" customWidth="1"/>
    <col min="4618" max="4864" width="8.88671875" style="156"/>
    <col min="4865" max="4865" width="7.44140625" style="156" customWidth="1"/>
    <col min="4866" max="4866" width="30.33203125" style="156" customWidth="1"/>
    <col min="4867" max="4868" width="5.109375" style="156" customWidth="1"/>
    <col min="4869" max="4871" width="9" style="156" bestFit="1" customWidth="1"/>
    <col min="4872" max="4872" width="9.88671875" style="156" customWidth="1"/>
    <col min="4873" max="4873" width="7" style="156" customWidth="1"/>
    <col min="4874" max="5120" width="8.88671875" style="156"/>
    <col min="5121" max="5121" width="7.44140625" style="156" customWidth="1"/>
    <col min="5122" max="5122" width="30.33203125" style="156" customWidth="1"/>
    <col min="5123" max="5124" width="5.109375" style="156" customWidth="1"/>
    <col min="5125" max="5127" width="9" style="156" bestFit="1" customWidth="1"/>
    <col min="5128" max="5128" width="9.88671875" style="156" customWidth="1"/>
    <col min="5129" max="5129" width="7" style="156" customWidth="1"/>
    <col min="5130" max="5376" width="8.88671875" style="156"/>
    <col min="5377" max="5377" width="7.44140625" style="156" customWidth="1"/>
    <col min="5378" max="5378" width="30.33203125" style="156" customWidth="1"/>
    <col min="5379" max="5380" width="5.109375" style="156" customWidth="1"/>
    <col min="5381" max="5383" width="9" style="156" bestFit="1" customWidth="1"/>
    <col min="5384" max="5384" width="9.88671875" style="156" customWidth="1"/>
    <col min="5385" max="5385" width="7" style="156" customWidth="1"/>
    <col min="5386" max="5632" width="8.88671875" style="156"/>
    <col min="5633" max="5633" width="7.44140625" style="156" customWidth="1"/>
    <col min="5634" max="5634" width="30.33203125" style="156" customWidth="1"/>
    <col min="5635" max="5636" width="5.109375" style="156" customWidth="1"/>
    <col min="5637" max="5639" width="9" style="156" bestFit="1" customWidth="1"/>
    <col min="5640" max="5640" width="9.88671875" style="156" customWidth="1"/>
    <col min="5641" max="5641" width="7" style="156" customWidth="1"/>
    <col min="5642" max="5888" width="8.88671875" style="156"/>
    <col min="5889" max="5889" width="7.44140625" style="156" customWidth="1"/>
    <col min="5890" max="5890" width="30.33203125" style="156" customWidth="1"/>
    <col min="5891" max="5892" width="5.109375" style="156" customWidth="1"/>
    <col min="5893" max="5895" width="9" style="156" bestFit="1" customWidth="1"/>
    <col min="5896" max="5896" width="9.88671875" style="156" customWidth="1"/>
    <col min="5897" max="5897" width="7" style="156" customWidth="1"/>
    <col min="5898" max="6144" width="8.88671875" style="156"/>
    <col min="6145" max="6145" width="7.44140625" style="156" customWidth="1"/>
    <col min="6146" max="6146" width="30.33203125" style="156" customWidth="1"/>
    <col min="6147" max="6148" width="5.109375" style="156" customWidth="1"/>
    <col min="6149" max="6151" width="9" style="156" bestFit="1" customWidth="1"/>
    <col min="6152" max="6152" width="9.88671875" style="156" customWidth="1"/>
    <col min="6153" max="6153" width="7" style="156" customWidth="1"/>
    <col min="6154" max="6400" width="8.88671875" style="156"/>
    <col min="6401" max="6401" width="7.44140625" style="156" customWidth="1"/>
    <col min="6402" max="6402" width="30.33203125" style="156" customWidth="1"/>
    <col min="6403" max="6404" width="5.109375" style="156" customWidth="1"/>
    <col min="6405" max="6407" width="9" style="156" bestFit="1" customWidth="1"/>
    <col min="6408" max="6408" width="9.88671875" style="156" customWidth="1"/>
    <col min="6409" max="6409" width="7" style="156" customWidth="1"/>
    <col min="6410" max="6656" width="8.88671875" style="156"/>
    <col min="6657" max="6657" width="7.44140625" style="156" customWidth="1"/>
    <col min="6658" max="6658" width="30.33203125" style="156" customWidth="1"/>
    <col min="6659" max="6660" width="5.109375" style="156" customWidth="1"/>
    <col min="6661" max="6663" width="9" style="156" bestFit="1" customWidth="1"/>
    <col min="6664" max="6664" width="9.88671875" style="156" customWidth="1"/>
    <col min="6665" max="6665" width="7" style="156" customWidth="1"/>
    <col min="6666" max="6912" width="8.88671875" style="156"/>
    <col min="6913" max="6913" width="7.44140625" style="156" customWidth="1"/>
    <col min="6914" max="6914" width="30.33203125" style="156" customWidth="1"/>
    <col min="6915" max="6916" width="5.109375" style="156" customWidth="1"/>
    <col min="6917" max="6919" width="9" style="156" bestFit="1" customWidth="1"/>
    <col min="6920" max="6920" width="9.88671875" style="156" customWidth="1"/>
    <col min="6921" max="6921" width="7" style="156" customWidth="1"/>
    <col min="6922" max="7168" width="8.88671875" style="156"/>
    <col min="7169" max="7169" width="7.44140625" style="156" customWidth="1"/>
    <col min="7170" max="7170" width="30.33203125" style="156" customWidth="1"/>
    <col min="7171" max="7172" width="5.109375" style="156" customWidth="1"/>
    <col min="7173" max="7175" width="9" style="156" bestFit="1" customWidth="1"/>
    <col min="7176" max="7176" width="9.88671875" style="156" customWidth="1"/>
    <col min="7177" max="7177" width="7" style="156" customWidth="1"/>
    <col min="7178" max="7424" width="8.88671875" style="156"/>
    <col min="7425" max="7425" width="7.44140625" style="156" customWidth="1"/>
    <col min="7426" max="7426" width="30.33203125" style="156" customWidth="1"/>
    <col min="7427" max="7428" width="5.109375" style="156" customWidth="1"/>
    <col min="7429" max="7431" width="9" style="156" bestFit="1" customWidth="1"/>
    <col min="7432" max="7432" width="9.88671875" style="156" customWidth="1"/>
    <col min="7433" max="7433" width="7" style="156" customWidth="1"/>
    <col min="7434" max="7680" width="8.88671875" style="156"/>
    <col min="7681" max="7681" width="7.44140625" style="156" customWidth="1"/>
    <col min="7682" max="7682" width="30.33203125" style="156" customWidth="1"/>
    <col min="7683" max="7684" width="5.109375" style="156" customWidth="1"/>
    <col min="7685" max="7687" width="9" style="156" bestFit="1" customWidth="1"/>
    <col min="7688" max="7688" width="9.88671875" style="156" customWidth="1"/>
    <col min="7689" max="7689" width="7" style="156" customWidth="1"/>
    <col min="7690" max="7936" width="8.88671875" style="156"/>
    <col min="7937" max="7937" width="7.44140625" style="156" customWidth="1"/>
    <col min="7938" max="7938" width="30.33203125" style="156" customWidth="1"/>
    <col min="7939" max="7940" width="5.109375" style="156" customWidth="1"/>
    <col min="7941" max="7943" width="9" style="156" bestFit="1" customWidth="1"/>
    <col min="7944" max="7944" width="9.88671875" style="156" customWidth="1"/>
    <col min="7945" max="7945" width="7" style="156" customWidth="1"/>
    <col min="7946" max="8192" width="8.88671875" style="156"/>
    <col min="8193" max="8193" width="7.44140625" style="156" customWidth="1"/>
    <col min="8194" max="8194" width="30.33203125" style="156" customWidth="1"/>
    <col min="8195" max="8196" width="5.109375" style="156" customWidth="1"/>
    <col min="8197" max="8199" width="9" style="156" bestFit="1" customWidth="1"/>
    <col min="8200" max="8200" width="9.88671875" style="156" customWidth="1"/>
    <col min="8201" max="8201" width="7" style="156" customWidth="1"/>
    <col min="8202" max="8448" width="8.88671875" style="156"/>
    <col min="8449" max="8449" width="7.44140625" style="156" customWidth="1"/>
    <col min="8450" max="8450" width="30.33203125" style="156" customWidth="1"/>
    <col min="8451" max="8452" width="5.109375" style="156" customWidth="1"/>
    <col min="8453" max="8455" width="9" style="156" bestFit="1" customWidth="1"/>
    <col min="8456" max="8456" width="9.88671875" style="156" customWidth="1"/>
    <col min="8457" max="8457" width="7" style="156" customWidth="1"/>
    <col min="8458" max="8704" width="8.88671875" style="156"/>
    <col min="8705" max="8705" width="7.44140625" style="156" customWidth="1"/>
    <col min="8706" max="8706" width="30.33203125" style="156" customWidth="1"/>
    <col min="8707" max="8708" width="5.109375" style="156" customWidth="1"/>
    <col min="8709" max="8711" width="9" style="156" bestFit="1" customWidth="1"/>
    <col min="8712" max="8712" width="9.88671875" style="156" customWidth="1"/>
    <col min="8713" max="8713" width="7" style="156" customWidth="1"/>
    <col min="8714" max="8960" width="8.88671875" style="156"/>
    <col min="8961" max="8961" width="7.44140625" style="156" customWidth="1"/>
    <col min="8962" max="8962" width="30.33203125" style="156" customWidth="1"/>
    <col min="8963" max="8964" width="5.109375" style="156" customWidth="1"/>
    <col min="8965" max="8967" width="9" style="156" bestFit="1" customWidth="1"/>
    <col min="8968" max="8968" width="9.88671875" style="156" customWidth="1"/>
    <col min="8969" max="8969" width="7" style="156" customWidth="1"/>
    <col min="8970" max="9216" width="8.88671875" style="156"/>
    <col min="9217" max="9217" width="7.44140625" style="156" customWidth="1"/>
    <col min="9218" max="9218" width="30.33203125" style="156" customWidth="1"/>
    <col min="9219" max="9220" width="5.109375" style="156" customWidth="1"/>
    <col min="9221" max="9223" width="9" style="156" bestFit="1" customWidth="1"/>
    <col min="9224" max="9224" width="9.88671875" style="156" customWidth="1"/>
    <col min="9225" max="9225" width="7" style="156" customWidth="1"/>
    <col min="9226" max="9472" width="8.88671875" style="156"/>
    <col min="9473" max="9473" width="7.44140625" style="156" customWidth="1"/>
    <col min="9474" max="9474" width="30.33203125" style="156" customWidth="1"/>
    <col min="9475" max="9476" width="5.109375" style="156" customWidth="1"/>
    <col min="9477" max="9479" width="9" style="156" bestFit="1" customWidth="1"/>
    <col min="9480" max="9480" width="9.88671875" style="156" customWidth="1"/>
    <col min="9481" max="9481" width="7" style="156" customWidth="1"/>
    <col min="9482" max="9728" width="8.88671875" style="156"/>
    <col min="9729" max="9729" width="7.44140625" style="156" customWidth="1"/>
    <col min="9730" max="9730" width="30.33203125" style="156" customWidth="1"/>
    <col min="9731" max="9732" width="5.109375" style="156" customWidth="1"/>
    <col min="9733" max="9735" width="9" style="156" bestFit="1" customWidth="1"/>
    <col min="9736" max="9736" width="9.88671875" style="156" customWidth="1"/>
    <col min="9737" max="9737" width="7" style="156" customWidth="1"/>
    <col min="9738" max="9984" width="8.88671875" style="156"/>
    <col min="9985" max="9985" width="7.44140625" style="156" customWidth="1"/>
    <col min="9986" max="9986" width="30.33203125" style="156" customWidth="1"/>
    <col min="9987" max="9988" width="5.109375" style="156" customWidth="1"/>
    <col min="9989" max="9991" width="9" style="156" bestFit="1" customWidth="1"/>
    <col min="9992" max="9992" width="9.88671875" style="156" customWidth="1"/>
    <col min="9993" max="9993" width="7" style="156" customWidth="1"/>
    <col min="9994" max="10240" width="8.88671875" style="156"/>
    <col min="10241" max="10241" width="7.44140625" style="156" customWidth="1"/>
    <col min="10242" max="10242" width="30.33203125" style="156" customWidth="1"/>
    <col min="10243" max="10244" width="5.109375" style="156" customWidth="1"/>
    <col min="10245" max="10247" width="9" style="156" bestFit="1" customWidth="1"/>
    <col min="10248" max="10248" width="9.88671875" style="156" customWidth="1"/>
    <col min="10249" max="10249" width="7" style="156" customWidth="1"/>
    <col min="10250" max="10496" width="8.88671875" style="156"/>
    <col min="10497" max="10497" width="7.44140625" style="156" customWidth="1"/>
    <col min="10498" max="10498" width="30.33203125" style="156" customWidth="1"/>
    <col min="10499" max="10500" width="5.109375" style="156" customWidth="1"/>
    <col min="10501" max="10503" width="9" style="156" bestFit="1" customWidth="1"/>
    <col min="10504" max="10504" width="9.88671875" style="156" customWidth="1"/>
    <col min="10505" max="10505" width="7" style="156" customWidth="1"/>
    <col min="10506" max="10752" width="8.88671875" style="156"/>
    <col min="10753" max="10753" width="7.44140625" style="156" customWidth="1"/>
    <col min="10754" max="10754" width="30.33203125" style="156" customWidth="1"/>
    <col min="10755" max="10756" width="5.109375" style="156" customWidth="1"/>
    <col min="10757" max="10759" width="9" style="156" bestFit="1" customWidth="1"/>
    <col min="10760" max="10760" width="9.88671875" style="156" customWidth="1"/>
    <col min="10761" max="10761" width="7" style="156" customWidth="1"/>
    <col min="10762" max="11008" width="8.88671875" style="156"/>
    <col min="11009" max="11009" width="7.44140625" style="156" customWidth="1"/>
    <col min="11010" max="11010" width="30.33203125" style="156" customWidth="1"/>
    <col min="11011" max="11012" width="5.109375" style="156" customWidth="1"/>
    <col min="11013" max="11015" width="9" style="156" bestFit="1" customWidth="1"/>
    <col min="11016" max="11016" width="9.88671875" style="156" customWidth="1"/>
    <col min="11017" max="11017" width="7" style="156" customWidth="1"/>
    <col min="11018" max="11264" width="8.88671875" style="156"/>
    <col min="11265" max="11265" width="7.44140625" style="156" customWidth="1"/>
    <col min="11266" max="11266" width="30.33203125" style="156" customWidth="1"/>
    <col min="11267" max="11268" width="5.109375" style="156" customWidth="1"/>
    <col min="11269" max="11271" width="9" style="156" bestFit="1" customWidth="1"/>
    <col min="11272" max="11272" width="9.88671875" style="156" customWidth="1"/>
    <col min="11273" max="11273" width="7" style="156" customWidth="1"/>
    <col min="11274" max="11520" width="8.88671875" style="156"/>
    <col min="11521" max="11521" width="7.44140625" style="156" customWidth="1"/>
    <col min="11522" max="11522" width="30.33203125" style="156" customWidth="1"/>
    <col min="11523" max="11524" width="5.109375" style="156" customWidth="1"/>
    <col min="11525" max="11527" width="9" style="156" bestFit="1" customWidth="1"/>
    <col min="11528" max="11528" width="9.88671875" style="156" customWidth="1"/>
    <col min="11529" max="11529" width="7" style="156" customWidth="1"/>
    <col min="11530" max="11776" width="8.88671875" style="156"/>
    <col min="11777" max="11777" width="7.44140625" style="156" customWidth="1"/>
    <col min="11778" max="11778" width="30.33203125" style="156" customWidth="1"/>
    <col min="11779" max="11780" width="5.109375" style="156" customWidth="1"/>
    <col min="11781" max="11783" width="9" style="156" bestFit="1" customWidth="1"/>
    <col min="11784" max="11784" width="9.88671875" style="156" customWidth="1"/>
    <col min="11785" max="11785" width="7" style="156" customWidth="1"/>
    <col min="11786" max="12032" width="8.88671875" style="156"/>
    <col min="12033" max="12033" width="7.44140625" style="156" customWidth="1"/>
    <col min="12034" max="12034" width="30.33203125" style="156" customWidth="1"/>
    <col min="12035" max="12036" width="5.109375" style="156" customWidth="1"/>
    <col min="12037" max="12039" width="9" style="156" bestFit="1" customWidth="1"/>
    <col min="12040" max="12040" width="9.88671875" style="156" customWidth="1"/>
    <col min="12041" max="12041" width="7" style="156" customWidth="1"/>
    <col min="12042" max="12288" width="8.88671875" style="156"/>
    <col min="12289" max="12289" width="7.44140625" style="156" customWidth="1"/>
    <col min="12290" max="12290" width="30.33203125" style="156" customWidth="1"/>
    <col min="12291" max="12292" width="5.109375" style="156" customWidth="1"/>
    <col min="12293" max="12295" width="9" style="156" bestFit="1" customWidth="1"/>
    <col min="12296" max="12296" width="9.88671875" style="156" customWidth="1"/>
    <col min="12297" max="12297" width="7" style="156" customWidth="1"/>
    <col min="12298" max="12544" width="8.88671875" style="156"/>
    <col min="12545" max="12545" width="7.44140625" style="156" customWidth="1"/>
    <col min="12546" max="12546" width="30.33203125" style="156" customWidth="1"/>
    <col min="12547" max="12548" width="5.109375" style="156" customWidth="1"/>
    <col min="12549" max="12551" width="9" style="156" bestFit="1" customWidth="1"/>
    <col min="12552" max="12552" width="9.88671875" style="156" customWidth="1"/>
    <col min="12553" max="12553" width="7" style="156" customWidth="1"/>
    <col min="12554" max="12800" width="8.88671875" style="156"/>
    <col min="12801" max="12801" width="7.44140625" style="156" customWidth="1"/>
    <col min="12802" max="12802" width="30.33203125" style="156" customWidth="1"/>
    <col min="12803" max="12804" width="5.109375" style="156" customWidth="1"/>
    <col min="12805" max="12807" width="9" style="156" bestFit="1" customWidth="1"/>
    <col min="12808" max="12808" width="9.88671875" style="156" customWidth="1"/>
    <col min="12809" max="12809" width="7" style="156" customWidth="1"/>
    <col min="12810" max="13056" width="8.88671875" style="156"/>
    <col min="13057" max="13057" width="7.44140625" style="156" customWidth="1"/>
    <col min="13058" max="13058" width="30.33203125" style="156" customWidth="1"/>
    <col min="13059" max="13060" width="5.109375" style="156" customWidth="1"/>
    <col min="13061" max="13063" width="9" style="156" bestFit="1" customWidth="1"/>
    <col min="13064" max="13064" width="9.88671875" style="156" customWidth="1"/>
    <col min="13065" max="13065" width="7" style="156" customWidth="1"/>
    <col min="13066" max="13312" width="8.88671875" style="156"/>
    <col min="13313" max="13313" width="7.44140625" style="156" customWidth="1"/>
    <col min="13314" max="13314" width="30.33203125" style="156" customWidth="1"/>
    <col min="13315" max="13316" width="5.109375" style="156" customWidth="1"/>
    <col min="13317" max="13319" width="9" style="156" bestFit="1" customWidth="1"/>
    <col min="13320" max="13320" width="9.88671875" style="156" customWidth="1"/>
    <col min="13321" max="13321" width="7" style="156" customWidth="1"/>
    <col min="13322" max="13568" width="8.88671875" style="156"/>
    <col min="13569" max="13569" width="7.44140625" style="156" customWidth="1"/>
    <col min="13570" max="13570" width="30.33203125" style="156" customWidth="1"/>
    <col min="13571" max="13572" width="5.109375" style="156" customWidth="1"/>
    <col min="13573" max="13575" width="9" style="156" bestFit="1" customWidth="1"/>
    <col min="13576" max="13576" width="9.88671875" style="156" customWidth="1"/>
    <col min="13577" max="13577" width="7" style="156" customWidth="1"/>
    <col min="13578" max="13824" width="8.88671875" style="156"/>
    <col min="13825" max="13825" width="7.44140625" style="156" customWidth="1"/>
    <col min="13826" max="13826" width="30.33203125" style="156" customWidth="1"/>
    <col min="13827" max="13828" width="5.109375" style="156" customWidth="1"/>
    <col min="13829" max="13831" width="9" style="156" bestFit="1" customWidth="1"/>
    <col min="13832" max="13832" width="9.88671875" style="156" customWidth="1"/>
    <col min="13833" max="13833" width="7" style="156" customWidth="1"/>
    <col min="13834" max="14080" width="8.88671875" style="156"/>
    <col min="14081" max="14081" width="7.44140625" style="156" customWidth="1"/>
    <col min="14082" max="14082" width="30.33203125" style="156" customWidth="1"/>
    <col min="14083" max="14084" width="5.109375" style="156" customWidth="1"/>
    <col min="14085" max="14087" width="9" style="156" bestFit="1" customWidth="1"/>
    <col min="14088" max="14088" width="9.88671875" style="156" customWidth="1"/>
    <col min="14089" max="14089" width="7" style="156" customWidth="1"/>
    <col min="14090" max="14336" width="8.88671875" style="156"/>
    <col min="14337" max="14337" width="7.44140625" style="156" customWidth="1"/>
    <col min="14338" max="14338" width="30.33203125" style="156" customWidth="1"/>
    <col min="14339" max="14340" width="5.109375" style="156" customWidth="1"/>
    <col min="14341" max="14343" width="9" style="156" bestFit="1" customWidth="1"/>
    <col min="14344" max="14344" width="9.88671875" style="156" customWidth="1"/>
    <col min="14345" max="14345" width="7" style="156" customWidth="1"/>
    <col min="14346" max="14592" width="8.88671875" style="156"/>
    <col min="14593" max="14593" width="7.44140625" style="156" customWidth="1"/>
    <col min="14594" max="14594" width="30.33203125" style="156" customWidth="1"/>
    <col min="14595" max="14596" width="5.109375" style="156" customWidth="1"/>
    <col min="14597" max="14599" width="9" style="156" bestFit="1" customWidth="1"/>
    <col min="14600" max="14600" width="9.88671875" style="156" customWidth="1"/>
    <col min="14601" max="14601" width="7" style="156" customWidth="1"/>
    <col min="14602" max="14848" width="8.88671875" style="156"/>
    <col min="14849" max="14849" width="7.44140625" style="156" customWidth="1"/>
    <col min="14850" max="14850" width="30.33203125" style="156" customWidth="1"/>
    <col min="14851" max="14852" width="5.109375" style="156" customWidth="1"/>
    <col min="14853" max="14855" width="9" style="156" bestFit="1" customWidth="1"/>
    <col min="14856" max="14856" width="9.88671875" style="156" customWidth="1"/>
    <col min="14857" max="14857" width="7" style="156" customWidth="1"/>
    <col min="14858" max="15104" width="8.88671875" style="156"/>
    <col min="15105" max="15105" width="7.44140625" style="156" customWidth="1"/>
    <col min="15106" max="15106" width="30.33203125" style="156" customWidth="1"/>
    <col min="15107" max="15108" width="5.109375" style="156" customWidth="1"/>
    <col min="15109" max="15111" width="9" style="156" bestFit="1" customWidth="1"/>
    <col min="15112" max="15112" width="9.88671875" style="156" customWidth="1"/>
    <col min="15113" max="15113" width="7" style="156" customWidth="1"/>
    <col min="15114" max="15360" width="8.88671875" style="156"/>
    <col min="15361" max="15361" width="7.44140625" style="156" customWidth="1"/>
    <col min="15362" max="15362" width="30.33203125" style="156" customWidth="1"/>
    <col min="15363" max="15364" width="5.109375" style="156" customWidth="1"/>
    <col min="15365" max="15367" width="9" style="156" bestFit="1" customWidth="1"/>
    <col min="15368" max="15368" width="9.88671875" style="156" customWidth="1"/>
    <col min="15369" max="15369" width="7" style="156" customWidth="1"/>
    <col min="15370" max="15616" width="8.88671875" style="156"/>
    <col min="15617" max="15617" width="7.44140625" style="156" customWidth="1"/>
    <col min="15618" max="15618" width="30.33203125" style="156" customWidth="1"/>
    <col min="15619" max="15620" width="5.109375" style="156" customWidth="1"/>
    <col min="15621" max="15623" width="9" style="156" bestFit="1" customWidth="1"/>
    <col min="15624" max="15624" width="9.88671875" style="156" customWidth="1"/>
    <col min="15625" max="15625" width="7" style="156" customWidth="1"/>
    <col min="15626" max="15872" width="8.88671875" style="156"/>
    <col min="15873" max="15873" width="7.44140625" style="156" customWidth="1"/>
    <col min="15874" max="15874" width="30.33203125" style="156" customWidth="1"/>
    <col min="15875" max="15876" width="5.109375" style="156" customWidth="1"/>
    <col min="15877" max="15879" width="9" style="156" bestFit="1" customWidth="1"/>
    <col min="15880" max="15880" width="9.88671875" style="156" customWidth="1"/>
    <col min="15881" max="15881" width="7" style="156" customWidth="1"/>
    <col min="15882" max="16128" width="8.88671875" style="156"/>
    <col min="16129" max="16129" width="7.44140625" style="156" customWidth="1"/>
    <col min="16130" max="16130" width="30.33203125" style="156" customWidth="1"/>
    <col min="16131" max="16132" width="5.109375" style="156" customWidth="1"/>
    <col min="16133" max="16135" width="9" style="156" bestFit="1" customWidth="1"/>
    <col min="16136" max="16136" width="9.88671875" style="156" customWidth="1"/>
    <col min="16137" max="16137" width="7" style="156" customWidth="1"/>
    <col min="16138" max="16384" width="8.88671875" style="156"/>
  </cols>
  <sheetData>
    <row r="1" spans="1:9" ht="21" customHeight="1">
      <c r="A1" s="979" t="s">
        <v>2403</v>
      </c>
      <c r="B1" s="979"/>
      <c r="C1" s="979"/>
      <c r="D1" s="979"/>
      <c r="E1" s="979"/>
      <c r="F1" s="979"/>
      <c r="G1" s="979"/>
      <c r="H1" s="979"/>
      <c r="I1" s="979"/>
    </row>
    <row r="2" spans="1:9" ht="21" customHeight="1">
      <c r="A2" s="979" t="s">
        <v>3436</v>
      </c>
      <c r="B2" s="979"/>
      <c r="C2" s="979"/>
      <c r="D2" s="979"/>
      <c r="E2" s="979"/>
      <c r="F2" s="979"/>
      <c r="G2" s="979"/>
      <c r="H2" s="979"/>
      <c r="I2" s="979"/>
    </row>
    <row r="3" spans="1:9" ht="59.25" customHeight="1">
      <c r="A3" s="982" t="s">
        <v>3476</v>
      </c>
      <c r="B3" s="982"/>
      <c r="C3" s="982"/>
      <c r="D3" s="982"/>
      <c r="E3" s="982"/>
      <c r="F3" s="982"/>
      <c r="G3" s="982"/>
      <c r="H3" s="982"/>
      <c r="I3" s="982"/>
    </row>
    <row r="4" spans="1:9" ht="21" customHeight="1">
      <c r="A4" s="983" t="s">
        <v>3286</v>
      </c>
      <c r="B4" s="983"/>
      <c r="C4" s="983"/>
      <c r="D4" s="983"/>
      <c r="E4" s="983"/>
      <c r="F4" s="983"/>
      <c r="G4" s="983"/>
      <c r="H4" s="983"/>
      <c r="I4" s="983"/>
    </row>
    <row r="5" spans="1:9" ht="21" customHeight="1">
      <c r="A5" s="985" t="s">
        <v>3287</v>
      </c>
      <c r="B5" s="981" t="s">
        <v>3288</v>
      </c>
      <c r="C5" s="985" t="s">
        <v>1166</v>
      </c>
      <c r="D5" s="985"/>
      <c r="E5" s="981" t="s">
        <v>3289</v>
      </c>
      <c r="F5" s="981"/>
      <c r="G5" s="981"/>
      <c r="H5" s="981" t="s">
        <v>3290</v>
      </c>
      <c r="I5" s="981" t="s">
        <v>3291</v>
      </c>
    </row>
    <row r="6" spans="1:9" ht="21" customHeight="1">
      <c r="A6" s="985"/>
      <c r="B6" s="981"/>
      <c r="C6" s="985"/>
      <c r="D6" s="985"/>
      <c r="E6" s="159" t="s">
        <v>3292</v>
      </c>
      <c r="F6" s="159" t="s">
        <v>3293</v>
      </c>
      <c r="G6" s="159" t="s">
        <v>3294</v>
      </c>
      <c r="H6" s="981"/>
      <c r="I6" s="981"/>
    </row>
    <row r="7" spans="1:9" ht="39" customHeight="1">
      <c r="A7" s="160">
        <v>1</v>
      </c>
      <c r="B7" s="161" t="s">
        <v>3350</v>
      </c>
      <c r="C7" s="160"/>
      <c r="D7" s="160"/>
      <c r="E7" s="162"/>
      <c r="F7" s="162"/>
      <c r="G7" s="162"/>
      <c r="H7" s="162"/>
      <c r="I7" s="159"/>
    </row>
    <row r="8" spans="1:9" ht="21" customHeight="1">
      <c r="A8" s="160"/>
      <c r="B8" s="161" t="s">
        <v>3351</v>
      </c>
      <c r="C8" s="160">
        <v>1</v>
      </c>
      <c r="D8" s="160">
        <v>1</v>
      </c>
      <c r="E8" s="162">
        <v>11.59</v>
      </c>
      <c r="F8" s="162">
        <v>9</v>
      </c>
      <c r="G8" s="162" t="s">
        <v>1288</v>
      </c>
      <c r="H8" s="162">
        <f t="shared" ref="H8:H18" si="0">PRODUCT(C8:G8)</f>
        <v>104.31</v>
      </c>
      <c r="I8" s="159"/>
    </row>
    <row r="9" spans="1:9" ht="21" customHeight="1">
      <c r="A9" s="160"/>
      <c r="B9" s="161" t="s">
        <v>3352</v>
      </c>
      <c r="C9" s="160">
        <v>1</v>
      </c>
      <c r="D9" s="160">
        <v>1</v>
      </c>
      <c r="E9" s="162">
        <v>4.93</v>
      </c>
      <c r="F9" s="162">
        <v>1.32</v>
      </c>
      <c r="G9" s="162" t="s">
        <v>1288</v>
      </c>
      <c r="H9" s="162">
        <f t="shared" si="0"/>
        <v>6.51</v>
      </c>
      <c r="I9" s="159"/>
    </row>
    <row r="10" spans="1:9" ht="21" customHeight="1">
      <c r="A10" s="160"/>
      <c r="B10" s="161" t="s">
        <v>3353</v>
      </c>
      <c r="C10" s="160">
        <v>1</v>
      </c>
      <c r="D10" s="160">
        <v>1</v>
      </c>
      <c r="E10" s="162">
        <v>43.81</v>
      </c>
      <c r="F10" s="162" t="s">
        <v>1288</v>
      </c>
      <c r="G10" s="162">
        <v>0.15</v>
      </c>
      <c r="H10" s="162">
        <f t="shared" si="0"/>
        <v>6.57</v>
      </c>
      <c r="I10" s="159"/>
    </row>
    <row r="11" spans="1:9" ht="21" customHeight="1">
      <c r="A11" s="160"/>
      <c r="B11" s="161" t="s">
        <v>3354</v>
      </c>
      <c r="C11" s="160">
        <v>2</v>
      </c>
      <c r="D11" s="160">
        <v>10</v>
      </c>
      <c r="E11" s="162">
        <v>0.12</v>
      </c>
      <c r="F11" s="162" t="s">
        <v>1288</v>
      </c>
      <c r="G11" s="162">
        <v>0.15</v>
      </c>
      <c r="H11" s="162">
        <f t="shared" si="0"/>
        <v>0.36</v>
      </c>
      <c r="I11" s="159"/>
    </row>
    <row r="12" spans="1:9" ht="21" customHeight="1">
      <c r="A12" s="160"/>
      <c r="B12" s="161" t="s">
        <v>3355</v>
      </c>
      <c r="C12" s="160">
        <v>1</v>
      </c>
      <c r="D12" s="160">
        <v>1</v>
      </c>
      <c r="E12" s="162">
        <v>4.2300000000000004</v>
      </c>
      <c r="F12" s="162" t="s">
        <v>1288</v>
      </c>
      <c r="G12" s="162">
        <v>0.15</v>
      </c>
      <c r="H12" s="162">
        <f t="shared" si="0"/>
        <v>0.63</v>
      </c>
      <c r="I12" s="159"/>
    </row>
    <row r="13" spans="1:9" ht="21" customHeight="1">
      <c r="A13" s="160"/>
      <c r="B13" s="161" t="s">
        <v>3356</v>
      </c>
      <c r="C13" s="160">
        <v>1</v>
      </c>
      <c r="D13" s="160">
        <v>1</v>
      </c>
      <c r="E13" s="162">
        <v>2.63</v>
      </c>
      <c r="F13" s="162">
        <v>1.34</v>
      </c>
      <c r="G13" s="162" t="s">
        <v>1288</v>
      </c>
      <c r="H13" s="162">
        <f t="shared" si="0"/>
        <v>3.52</v>
      </c>
      <c r="I13" s="159"/>
    </row>
    <row r="14" spans="1:9" ht="21" customHeight="1">
      <c r="A14" s="160"/>
      <c r="B14" s="161" t="s">
        <v>3357</v>
      </c>
      <c r="C14" s="160">
        <v>1</v>
      </c>
      <c r="D14" s="160">
        <v>1</v>
      </c>
      <c r="E14" s="162">
        <v>2.63</v>
      </c>
      <c r="F14" s="162">
        <v>2.46</v>
      </c>
      <c r="G14" s="162" t="s">
        <v>1288</v>
      </c>
      <c r="H14" s="162">
        <f t="shared" si="0"/>
        <v>6.47</v>
      </c>
      <c r="I14" s="159"/>
    </row>
    <row r="15" spans="1:9" ht="21" customHeight="1">
      <c r="A15" s="160"/>
      <c r="B15" s="161" t="s">
        <v>3358</v>
      </c>
      <c r="C15" s="160">
        <v>1</v>
      </c>
      <c r="D15" s="160">
        <v>1</v>
      </c>
      <c r="E15" s="162">
        <v>2.63</v>
      </c>
      <c r="F15" s="162">
        <v>0.89</v>
      </c>
      <c r="G15" s="162" t="s">
        <v>1288</v>
      </c>
      <c r="H15" s="162">
        <f t="shared" si="0"/>
        <v>2.34</v>
      </c>
      <c r="I15" s="159"/>
    </row>
    <row r="16" spans="1:9" ht="21" customHeight="1">
      <c r="A16" s="160"/>
      <c r="B16" s="161" t="s">
        <v>3359</v>
      </c>
      <c r="C16" s="160">
        <v>1</v>
      </c>
      <c r="D16" s="160">
        <v>1</v>
      </c>
      <c r="E16" s="162">
        <v>14.62</v>
      </c>
      <c r="F16" s="162" t="s">
        <v>1288</v>
      </c>
      <c r="G16" s="162">
        <v>0.15</v>
      </c>
      <c r="H16" s="162">
        <f t="shared" si="0"/>
        <v>2.19</v>
      </c>
      <c r="I16" s="159"/>
    </row>
    <row r="17" spans="1:9" ht="21" customHeight="1">
      <c r="A17" s="160"/>
      <c r="B17" s="163" t="s">
        <v>3305</v>
      </c>
      <c r="C17" s="160"/>
      <c r="D17" s="160"/>
      <c r="E17" s="162"/>
      <c r="F17" s="162"/>
      <c r="G17" s="162"/>
      <c r="H17" s="162"/>
      <c r="I17" s="159"/>
    </row>
    <row r="18" spans="1:9" ht="21" customHeight="1">
      <c r="A18" s="160"/>
      <c r="B18" s="161" t="s">
        <v>3317</v>
      </c>
      <c r="C18" s="160">
        <v>-1</v>
      </c>
      <c r="D18" s="160">
        <v>1</v>
      </c>
      <c r="E18" s="162">
        <v>4.96</v>
      </c>
      <c r="F18" s="162">
        <v>2.75</v>
      </c>
      <c r="G18" s="162" t="s">
        <v>1288</v>
      </c>
      <c r="H18" s="162">
        <f t="shared" si="0"/>
        <v>-13.64</v>
      </c>
      <c r="I18" s="159"/>
    </row>
    <row r="19" spans="1:9" ht="21" customHeight="1">
      <c r="A19" s="160"/>
      <c r="B19" s="161"/>
      <c r="C19" s="160"/>
      <c r="D19" s="160"/>
      <c r="E19" s="162"/>
      <c r="F19" s="162"/>
      <c r="G19" s="159" t="s">
        <v>1827</v>
      </c>
      <c r="H19" s="159">
        <f>SUM(H8:H18)</f>
        <v>119.26</v>
      </c>
      <c r="I19" s="159"/>
    </row>
    <row r="20" spans="1:9" ht="21" customHeight="1">
      <c r="A20" s="160"/>
      <c r="B20" s="161"/>
      <c r="C20" s="160"/>
      <c r="D20" s="160"/>
      <c r="E20" s="162"/>
      <c r="F20" s="162"/>
      <c r="G20" s="159" t="s">
        <v>2560</v>
      </c>
      <c r="H20" s="159">
        <f>ROUNDUP(H19,1)</f>
        <v>119.3</v>
      </c>
      <c r="I20" s="159" t="s">
        <v>488</v>
      </c>
    </row>
    <row r="21" spans="1:9" ht="59.25" customHeight="1">
      <c r="A21" s="160">
        <f>A7+1</f>
        <v>2</v>
      </c>
      <c r="B21" s="161" t="str">
        <f>'[11]Building (2)'!B339</f>
        <v>Pressed tiles (23cmx23cmx20mm) mixed with Water proofing compound</v>
      </c>
      <c r="C21" s="160"/>
      <c r="D21" s="160"/>
      <c r="E21" s="162"/>
      <c r="F21" s="162"/>
      <c r="G21" s="162"/>
      <c r="H21" s="162"/>
      <c r="I21" s="159"/>
    </row>
    <row r="22" spans="1:9" ht="21" customHeight="1">
      <c r="A22" s="160"/>
      <c r="B22" s="161" t="s">
        <v>3360</v>
      </c>
      <c r="C22" s="160">
        <v>1</v>
      </c>
      <c r="D22" s="160">
        <v>1</v>
      </c>
      <c r="E22" s="162">
        <f>H20</f>
        <v>119.3</v>
      </c>
      <c r="F22" s="162" t="s">
        <v>1288</v>
      </c>
      <c r="G22" s="162" t="s">
        <v>1288</v>
      </c>
      <c r="H22" s="162">
        <f>PRODUCT(C22:G22)</f>
        <v>119.3</v>
      </c>
      <c r="I22" s="159"/>
    </row>
    <row r="23" spans="1:9" ht="21" customHeight="1">
      <c r="A23" s="160"/>
      <c r="B23" s="161"/>
      <c r="C23" s="160"/>
      <c r="D23" s="160"/>
      <c r="E23" s="162"/>
      <c r="F23" s="162"/>
      <c r="G23" s="159" t="s">
        <v>1827</v>
      </c>
      <c r="H23" s="159">
        <f>SUM(H22:H22)</f>
        <v>119.3</v>
      </c>
      <c r="I23" s="159"/>
    </row>
    <row r="24" spans="1:9" ht="21" customHeight="1">
      <c r="A24" s="160"/>
      <c r="B24" s="161"/>
      <c r="C24" s="160"/>
      <c r="D24" s="160"/>
      <c r="E24" s="162"/>
      <c r="F24" s="162"/>
      <c r="G24" s="159" t="s">
        <v>2560</v>
      </c>
      <c r="H24" s="159">
        <f>ROUNDUP(H23,1)</f>
        <v>119.3</v>
      </c>
      <c r="I24" s="159" t="s">
        <v>488</v>
      </c>
    </row>
    <row r="25" spans="1:9" ht="57.75" customHeight="1">
      <c r="A25" s="160">
        <f>A21+1</f>
        <v>3</v>
      </c>
      <c r="B25" s="161" t="s">
        <v>3361</v>
      </c>
      <c r="C25" s="160"/>
      <c r="D25" s="160"/>
      <c r="E25" s="162"/>
      <c r="F25" s="162"/>
      <c r="G25" s="162"/>
      <c r="H25" s="162"/>
      <c r="I25" s="159"/>
    </row>
    <row r="26" spans="1:9" ht="21" customHeight="1">
      <c r="A26" s="160"/>
      <c r="B26" s="161" t="s">
        <v>3362</v>
      </c>
      <c r="C26" s="160">
        <v>1</v>
      </c>
      <c r="D26" s="160">
        <v>1</v>
      </c>
      <c r="E26" s="162">
        <v>1.1399999999999999</v>
      </c>
      <c r="F26" s="162">
        <v>1.2</v>
      </c>
      <c r="G26" s="162" t="s">
        <v>1288</v>
      </c>
      <c r="H26" s="162">
        <f t="shared" ref="H26:H35" si="1">PRODUCT(C26:G26)</f>
        <v>1.37</v>
      </c>
      <c r="I26" s="159"/>
    </row>
    <row r="27" spans="1:9" ht="21" customHeight="1">
      <c r="A27" s="160"/>
      <c r="B27" s="161" t="s">
        <v>3388</v>
      </c>
      <c r="C27" s="160">
        <v>1</v>
      </c>
      <c r="D27" s="160">
        <v>1</v>
      </c>
      <c r="E27" s="162">
        <v>1.1399999999999999</v>
      </c>
      <c r="F27" s="162">
        <v>1.2</v>
      </c>
      <c r="G27" s="162" t="s">
        <v>1288</v>
      </c>
      <c r="H27" s="162">
        <f t="shared" si="1"/>
        <v>1.37</v>
      </c>
      <c r="I27" s="159"/>
    </row>
    <row r="28" spans="1:9" ht="21" customHeight="1">
      <c r="A28" s="160"/>
      <c r="B28" s="161" t="s">
        <v>3384</v>
      </c>
      <c r="C28" s="160">
        <v>1</v>
      </c>
      <c r="D28" s="160">
        <v>2</v>
      </c>
      <c r="E28" s="162">
        <v>1.1399999999999999</v>
      </c>
      <c r="F28" s="162">
        <v>1.69</v>
      </c>
      <c r="G28" s="162" t="s">
        <v>1288</v>
      </c>
      <c r="H28" s="162">
        <f t="shared" si="1"/>
        <v>3.85</v>
      </c>
      <c r="I28" s="159"/>
    </row>
    <row r="29" spans="1:9" ht="21" customHeight="1">
      <c r="A29" s="160"/>
      <c r="B29" s="161" t="s">
        <v>3363</v>
      </c>
      <c r="C29" s="160">
        <v>1</v>
      </c>
      <c r="D29" s="160">
        <v>1</v>
      </c>
      <c r="E29" s="162">
        <v>0.9</v>
      </c>
      <c r="F29" s="162">
        <v>1.2</v>
      </c>
      <c r="G29" s="162" t="s">
        <v>1288</v>
      </c>
      <c r="H29" s="162">
        <f t="shared" si="1"/>
        <v>1.08</v>
      </c>
      <c r="I29" s="159"/>
    </row>
    <row r="30" spans="1:9" ht="21" customHeight="1">
      <c r="A30" s="160"/>
      <c r="B30" s="161" t="s">
        <v>3297</v>
      </c>
      <c r="C30" s="160">
        <v>1</v>
      </c>
      <c r="D30" s="160">
        <v>1</v>
      </c>
      <c r="E30" s="162">
        <v>1</v>
      </c>
      <c r="F30" s="162">
        <v>1.2</v>
      </c>
      <c r="G30" s="162" t="s">
        <v>1288</v>
      </c>
      <c r="H30" s="162">
        <f t="shared" si="1"/>
        <v>1.2</v>
      </c>
      <c r="I30" s="159"/>
    </row>
    <row r="31" spans="1:9" ht="21" customHeight="1">
      <c r="A31" s="160"/>
      <c r="B31" s="161" t="s">
        <v>3364</v>
      </c>
      <c r="C31" s="160">
        <v>1</v>
      </c>
      <c r="D31" s="160">
        <v>1</v>
      </c>
      <c r="E31" s="162">
        <v>1.2</v>
      </c>
      <c r="F31" s="162">
        <v>3</v>
      </c>
      <c r="G31" s="162" t="s">
        <v>1288</v>
      </c>
      <c r="H31" s="162">
        <f t="shared" si="1"/>
        <v>3.6</v>
      </c>
      <c r="I31" s="159"/>
    </row>
    <row r="32" spans="1:9" ht="21" customHeight="1">
      <c r="A32" s="160"/>
      <c r="B32" s="161" t="s">
        <v>3315</v>
      </c>
      <c r="C32" s="160">
        <v>1</v>
      </c>
      <c r="D32" s="160">
        <v>1</v>
      </c>
      <c r="E32" s="162">
        <v>2.16</v>
      </c>
      <c r="F32" s="162">
        <v>1.89</v>
      </c>
      <c r="G32" s="162" t="s">
        <v>1288</v>
      </c>
      <c r="H32" s="162">
        <f t="shared" si="1"/>
        <v>4.08</v>
      </c>
      <c r="I32" s="159"/>
    </row>
    <row r="33" spans="1:9" ht="21" customHeight="1">
      <c r="A33" s="160"/>
      <c r="B33" s="161" t="s">
        <v>3365</v>
      </c>
      <c r="C33" s="160">
        <v>1</v>
      </c>
      <c r="D33" s="160">
        <v>1</v>
      </c>
      <c r="E33" s="162">
        <v>1.2</v>
      </c>
      <c r="F33" s="162">
        <v>1.2</v>
      </c>
      <c r="G33" s="162" t="s">
        <v>1288</v>
      </c>
      <c r="H33" s="162">
        <f t="shared" si="1"/>
        <v>1.44</v>
      </c>
      <c r="I33" s="159"/>
    </row>
    <row r="34" spans="1:9" ht="21" customHeight="1">
      <c r="A34" s="160"/>
      <c r="B34" s="161" t="s">
        <v>3366</v>
      </c>
      <c r="C34" s="160">
        <v>1</v>
      </c>
      <c r="D34" s="160">
        <v>2</v>
      </c>
      <c r="E34" s="162">
        <v>2.4</v>
      </c>
      <c r="F34" s="162">
        <v>1.2</v>
      </c>
      <c r="G34" s="162" t="s">
        <v>1288</v>
      </c>
      <c r="H34" s="162">
        <f t="shared" si="1"/>
        <v>5.76</v>
      </c>
      <c r="I34" s="159"/>
    </row>
    <row r="35" spans="1:9" ht="21" customHeight="1">
      <c r="A35" s="160"/>
      <c r="B35" s="161" t="s">
        <v>3367</v>
      </c>
      <c r="C35" s="160">
        <v>1</v>
      </c>
      <c r="D35" s="160">
        <v>21</v>
      </c>
      <c r="E35" s="162">
        <v>1.2</v>
      </c>
      <c r="F35" s="162">
        <v>0.3</v>
      </c>
      <c r="G35" s="162" t="s">
        <v>1288</v>
      </c>
      <c r="H35" s="162">
        <f t="shared" si="1"/>
        <v>7.56</v>
      </c>
      <c r="I35" s="159"/>
    </row>
    <row r="36" spans="1:9" ht="21" customHeight="1">
      <c r="A36" s="160"/>
      <c r="B36" s="161"/>
      <c r="C36" s="160"/>
      <c r="D36" s="160"/>
      <c r="E36" s="162"/>
      <c r="F36" s="162"/>
      <c r="G36" s="159" t="s">
        <v>1827</v>
      </c>
      <c r="H36" s="159">
        <f>SUM(H26:H35)</f>
        <v>31.31</v>
      </c>
      <c r="I36" s="159"/>
    </row>
    <row r="37" spans="1:9" ht="21" customHeight="1">
      <c r="A37" s="160"/>
      <c r="B37" s="161"/>
      <c r="C37" s="160"/>
      <c r="D37" s="160"/>
      <c r="E37" s="162"/>
      <c r="F37" s="162"/>
      <c r="G37" s="159" t="s">
        <v>2560</v>
      </c>
      <c r="H37" s="159">
        <f>ROUNDUP(H36,1)</f>
        <v>31.4</v>
      </c>
      <c r="I37" s="159" t="s">
        <v>488</v>
      </c>
    </row>
    <row r="38" spans="1:9" ht="40.5" customHeight="1">
      <c r="A38" s="160">
        <f>A25+1</f>
        <v>4</v>
      </c>
      <c r="B38" s="161" t="str">
        <f>'[11]Building (2)'!B654</f>
        <v>Floor ceramic tiles (Anti-skid) using Grout (Tile Joint Filler).</v>
      </c>
      <c r="C38" s="160"/>
      <c r="D38" s="160"/>
      <c r="E38" s="162"/>
      <c r="F38" s="162"/>
      <c r="G38" s="162"/>
      <c r="H38" s="162"/>
      <c r="I38" s="159"/>
    </row>
    <row r="39" spans="1:9" ht="21" customHeight="1">
      <c r="A39" s="160"/>
      <c r="B39" s="161" t="s">
        <v>3362</v>
      </c>
      <c r="C39" s="160">
        <v>1</v>
      </c>
      <c r="D39" s="160">
        <v>1</v>
      </c>
      <c r="E39" s="162">
        <v>1.1399999999999999</v>
      </c>
      <c r="F39" s="162">
        <v>1.2</v>
      </c>
      <c r="G39" s="162" t="s">
        <v>1288</v>
      </c>
      <c r="H39" s="162">
        <f>PRODUCT(C39:G39)</f>
        <v>1.37</v>
      </c>
      <c r="I39" s="159"/>
    </row>
    <row r="40" spans="1:9" ht="21" customHeight="1">
      <c r="A40" s="160"/>
      <c r="B40" s="161" t="s">
        <v>3388</v>
      </c>
      <c r="C40" s="160">
        <v>1</v>
      </c>
      <c r="D40" s="160">
        <v>1</v>
      </c>
      <c r="E40" s="162">
        <v>1.1399999999999999</v>
      </c>
      <c r="F40" s="162">
        <v>1.2</v>
      </c>
      <c r="G40" s="162" t="s">
        <v>1288</v>
      </c>
      <c r="H40" s="162">
        <f t="shared" ref="H40:H41" si="2">PRODUCT(C40:G40)</f>
        <v>1.37</v>
      </c>
      <c r="I40" s="159"/>
    </row>
    <row r="41" spans="1:9" ht="21" customHeight="1">
      <c r="A41" s="160"/>
      <c r="B41" s="161" t="s">
        <v>3384</v>
      </c>
      <c r="C41" s="160">
        <v>1</v>
      </c>
      <c r="D41" s="160">
        <v>2</v>
      </c>
      <c r="E41" s="162">
        <v>1.1399999999999999</v>
      </c>
      <c r="F41" s="162">
        <v>1.69</v>
      </c>
      <c r="G41" s="162" t="s">
        <v>1288</v>
      </c>
      <c r="H41" s="162">
        <f t="shared" si="2"/>
        <v>3.85</v>
      </c>
      <c r="I41" s="159"/>
    </row>
    <row r="42" spans="1:9" ht="21" customHeight="1">
      <c r="A42" s="160"/>
      <c r="B42" s="161" t="s">
        <v>3363</v>
      </c>
      <c r="C42" s="160">
        <v>1</v>
      </c>
      <c r="D42" s="160">
        <v>1</v>
      </c>
      <c r="E42" s="162">
        <v>0.9</v>
      </c>
      <c r="F42" s="162">
        <v>1.2</v>
      </c>
      <c r="G42" s="162" t="s">
        <v>1288</v>
      </c>
      <c r="H42" s="162">
        <f>PRODUCT(C42:G42)</f>
        <v>1.08</v>
      </c>
      <c r="I42" s="159"/>
    </row>
    <row r="43" spans="1:9" ht="21" customHeight="1">
      <c r="A43" s="160"/>
      <c r="B43" s="161" t="s">
        <v>3297</v>
      </c>
      <c r="C43" s="160">
        <v>1</v>
      </c>
      <c r="D43" s="160">
        <v>1</v>
      </c>
      <c r="E43" s="162">
        <v>1</v>
      </c>
      <c r="F43" s="162">
        <v>1.2</v>
      </c>
      <c r="G43" s="162" t="s">
        <v>1288</v>
      </c>
      <c r="H43" s="162">
        <f>PRODUCT(C43:G43)</f>
        <v>1.2</v>
      </c>
      <c r="I43" s="159"/>
    </row>
    <row r="44" spans="1:9" ht="21" customHeight="1">
      <c r="A44" s="160"/>
      <c r="B44" s="161" t="s">
        <v>3364</v>
      </c>
      <c r="C44" s="160">
        <v>1</v>
      </c>
      <c r="D44" s="160">
        <v>1</v>
      </c>
      <c r="E44" s="162">
        <v>1.2</v>
      </c>
      <c r="F44" s="162">
        <v>3</v>
      </c>
      <c r="G44" s="162" t="s">
        <v>1288</v>
      </c>
      <c r="H44" s="162">
        <f>PRODUCT(C44:G44)</f>
        <v>3.6</v>
      </c>
      <c r="I44" s="159"/>
    </row>
    <row r="45" spans="1:9" ht="21" customHeight="1">
      <c r="A45" s="160"/>
      <c r="B45" s="161"/>
      <c r="C45" s="160"/>
      <c r="D45" s="160"/>
      <c r="E45" s="162"/>
      <c r="F45" s="162"/>
      <c r="G45" s="159" t="s">
        <v>1827</v>
      </c>
      <c r="H45" s="159">
        <f>SUM(H39:H44)</f>
        <v>12.47</v>
      </c>
      <c r="I45" s="159"/>
    </row>
    <row r="46" spans="1:9" ht="21" customHeight="1">
      <c r="A46" s="160"/>
      <c r="B46" s="161"/>
      <c r="C46" s="160"/>
      <c r="D46" s="160"/>
      <c r="E46" s="162"/>
      <c r="F46" s="162"/>
      <c r="G46" s="159" t="s">
        <v>2560</v>
      </c>
      <c r="H46" s="159">
        <f>ROUNDUP(H45,1)</f>
        <v>12.5</v>
      </c>
      <c r="I46" s="159" t="s">
        <v>488</v>
      </c>
    </row>
    <row r="47" spans="1:9" ht="76.5" customHeight="1">
      <c r="A47" s="160">
        <f>A38+1</f>
        <v>5</v>
      </c>
      <c r="B47" s="161" t="str">
        <f>'[11]Building (2)'!B847</f>
        <v xml:space="preserve">S &amp; F of Indian Water closet white glazed (Oriya type) of size 580 x 440mm with PVC SWR grade ' P' or "S' trap   - in G.F.  </v>
      </c>
      <c r="C47" s="160"/>
      <c r="D47" s="160"/>
      <c r="E47" s="162"/>
      <c r="F47" s="162"/>
      <c r="G47" s="162"/>
      <c r="H47" s="162"/>
      <c r="I47" s="159"/>
    </row>
    <row r="48" spans="1:9" ht="21" customHeight="1">
      <c r="A48" s="160"/>
      <c r="B48" s="161" t="s">
        <v>3364</v>
      </c>
      <c r="C48" s="160">
        <v>1</v>
      </c>
      <c r="D48" s="160">
        <v>1</v>
      </c>
      <c r="E48" s="162" t="s">
        <v>1288</v>
      </c>
      <c r="F48" s="162" t="s">
        <v>1288</v>
      </c>
      <c r="G48" s="162" t="s">
        <v>1288</v>
      </c>
      <c r="H48" s="162">
        <f>PRODUCT(C48:G48)</f>
        <v>1</v>
      </c>
      <c r="I48" s="159"/>
    </row>
    <row r="49" spans="1:9" ht="21" customHeight="1">
      <c r="A49" s="160"/>
      <c r="B49" s="161"/>
      <c r="C49" s="160"/>
      <c r="D49" s="160"/>
      <c r="E49" s="162"/>
      <c r="F49" s="162"/>
      <c r="G49" s="159" t="s">
        <v>1827</v>
      </c>
      <c r="H49" s="159">
        <f>SUM(H48:H48)</f>
        <v>1</v>
      </c>
      <c r="I49" s="159"/>
    </row>
    <row r="50" spans="1:9" ht="21" customHeight="1">
      <c r="A50" s="160"/>
      <c r="B50" s="161"/>
      <c r="C50" s="160"/>
      <c r="D50" s="160"/>
      <c r="E50" s="162"/>
      <c r="F50" s="162"/>
      <c r="G50" s="159" t="s">
        <v>2560</v>
      </c>
      <c r="H50" s="159">
        <f>ROUNDUP(H49,1)</f>
        <v>1</v>
      </c>
      <c r="I50" s="159" t="s">
        <v>1395</v>
      </c>
    </row>
    <row r="51" spans="1:9" ht="93" customHeight="1">
      <c r="A51" s="160">
        <f>A47+1</f>
        <v>6</v>
      </c>
      <c r="B51" s="161" t="str">
        <f>'[11]Building (2)'!B848</f>
        <v xml:space="preserve">S &amp; F of Indian Water closet white glazed (Oriya type) of size 580 x 440mm  with PVC SWR grade ' P' or "S' trap- Other than  G.F.  </v>
      </c>
      <c r="C51" s="160"/>
      <c r="D51" s="160"/>
      <c r="E51" s="162"/>
      <c r="F51" s="162"/>
      <c r="G51" s="162"/>
      <c r="H51" s="162"/>
      <c r="I51" s="159"/>
    </row>
    <row r="52" spans="1:9" ht="21" customHeight="1">
      <c r="A52" s="160"/>
      <c r="B52" s="161" t="s">
        <v>3362</v>
      </c>
      <c r="C52" s="160">
        <v>1</v>
      </c>
      <c r="D52" s="160">
        <v>1</v>
      </c>
      <c r="E52" s="162" t="s">
        <v>1288</v>
      </c>
      <c r="F52" s="162" t="s">
        <v>1288</v>
      </c>
      <c r="G52" s="162" t="s">
        <v>1288</v>
      </c>
      <c r="H52" s="162">
        <f>PRODUCT(C52:G52)</f>
        <v>1</v>
      </c>
      <c r="I52" s="159"/>
    </row>
    <row r="53" spans="1:9" ht="21" customHeight="1">
      <c r="A53" s="160"/>
      <c r="B53" s="161" t="s">
        <v>3388</v>
      </c>
      <c r="C53" s="160">
        <v>1</v>
      </c>
      <c r="D53" s="160">
        <v>1</v>
      </c>
      <c r="E53" s="162" t="s">
        <v>1288</v>
      </c>
      <c r="F53" s="162" t="s">
        <v>1288</v>
      </c>
      <c r="G53" s="162" t="s">
        <v>1288</v>
      </c>
      <c r="H53" s="162">
        <f>PRODUCT(C53:G53)</f>
        <v>1</v>
      </c>
      <c r="I53" s="159"/>
    </row>
    <row r="54" spans="1:9" ht="21" customHeight="1">
      <c r="A54" s="160"/>
      <c r="B54" s="161"/>
      <c r="C54" s="160"/>
      <c r="D54" s="160"/>
      <c r="E54" s="162"/>
      <c r="F54" s="162"/>
      <c r="G54" s="159" t="s">
        <v>1827</v>
      </c>
      <c r="H54" s="159">
        <f>SUM(H52:H53)</f>
        <v>2</v>
      </c>
      <c r="I54" s="159"/>
    </row>
    <row r="55" spans="1:9" ht="21" customHeight="1">
      <c r="A55" s="160"/>
      <c r="B55" s="161"/>
      <c r="C55" s="160"/>
      <c r="D55" s="160"/>
      <c r="E55" s="162"/>
      <c r="F55" s="162"/>
      <c r="G55" s="159" t="s">
        <v>2560</v>
      </c>
      <c r="H55" s="159">
        <f>ROUNDUP(H54,1)</f>
        <v>2</v>
      </c>
      <c r="I55" s="159" t="s">
        <v>1395</v>
      </c>
    </row>
    <row r="56" spans="1:9" ht="57" customHeight="1">
      <c r="A56" s="160">
        <f>A51+1</f>
        <v>7</v>
      </c>
      <c r="B56" s="161" t="str">
        <f>'[11]Building (2)'!B849</f>
        <v xml:space="preserve">S &amp; F of E.W.C.(White) 500 mm with PVC SWR grade "P" or "S" TRAP </v>
      </c>
      <c r="C56" s="160"/>
      <c r="D56" s="160"/>
      <c r="E56" s="162"/>
      <c r="F56" s="162"/>
      <c r="G56" s="162"/>
      <c r="H56" s="162"/>
      <c r="I56" s="159"/>
    </row>
    <row r="57" spans="1:9" ht="21" customHeight="1">
      <c r="A57" s="160"/>
      <c r="B57" s="161" t="s">
        <v>3297</v>
      </c>
      <c r="C57" s="160">
        <v>1</v>
      </c>
      <c r="D57" s="160">
        <v>1</v>
      </c>
      <c r="E57" s="162" t="s">
        <v>1288</v>
      </c>
      <c r="F57" s="162" t="s">
        <v>1288</v>
      </c>
      <c r="G57" s="162" t="s">
        <v>1288</v>
      </c>
      <c r="H57" s="162">
        <f>PRODUCT(C57:G57)</f>
        <v>1</v>
      </c>
      <c r="I57" s="159"/>
    </row>
    <row r="58" spans="1:9" ht="21" customHeight="1">
      <c r="A58" s="160"/>
      <c r="B58" s="161"/>
      <c r="C58" s="160"/>
      <c r="D58" s="160"/>
      <c r="E58" s="162"/>
      <c r="F58" s="162"/>
      <c r="G58" s="159" t="s">
        <v>1827</v>
      </c>
      <c r="H58" s="159">
        <f>SUM(H57:H57)</f>
        <v>1</v>
      </c>
      <c r="I58" s="159"/>
    </row>
    <row r="59" spans="1:9" ht="21" customHeight="1">
      <c r="A59" s="160"/>
      <c r="B59" s="161"/>
      <c r="C59" s="160"/>
      <c r="D59" s="160"/>
      <c r="E59" s="162"/>
      <c r="F59" s="162"/>
      <c r="G59" s="159" t="s">
        <v>2560</v>
      </c>
      <c r="H59" s="159">
        <f>ROUNDUP(H58,1)</f>
        <v>1</v>
      </c>
      <c r="I59" s="159" t="s">
        <v>1395</v>
      </c>
    </row>
    <row r="60" spans="1:9" ht="21" customHeight="1">
      <c r="A60" s="160">
        <f>A56+1</f>
        <v>8</v>
      </c>
      <c r="B60" s="161" t="str">
        <f>'[11]Building (2)'!B401</f>
        <v>PVC Nahani trap (4way/2way)</v>
      </c>
      <c r="C60" s="160"/>
      <c r="D60" s="160"/>
      <c r="E60" s="162"/>
      <c r="F60" s="162"/>
      <c r="G60" s="159"/>
      <c r="H60" s="159"/>
      <c r="I60" s="159"/>
    </row>
    <row r="61" spans="1:9" ht="21" customHeight="1">
      <c r="A61" s="160"/>
      <c r="B61" s="161" t="s">
        <v>3297</v>
      </c>
      <c r="C61" s="160">
        <v>1</v>
      </c>
      <c r="D61" s="160">
        <v>1</v>
      </c>
      <c r="E61" s="162" t="s">
        <v>1288</v>
      </c>
      <c r="F61" s="162" t="s">
        <v>1288</v>
      </c>
      <c r="G61" s="162" t="s">
        <v>1288</v>
      </c>
      <c r="H61" s="162">
        <f>PRODUCT(C61:G61)</f>
        <v>1</v>
      </c>
      <c r="I61" s="159"/>
    </row>
    <row r="62" spans="1:9" ht="21" customHeight="1">
      <c r="A62" s="160"/>
      <c r="B62" s="161" t="s">
        <v>3437</v>
      </c>
      <c r="C62" s="160">
        <v>1</v>
      </c>
      <c r="D62" s="160">
        <v>2</v>
      </c>
      <c r="E62" s="162" t="s">
        <v>1288</v>
      </c>
      <c r="F62" s="162" t="s">
        <v>1288</v>
      </c>
      <c r="G62" s="162" t="s">
        <v>1288</v>
      </c>
      <c r="H62" s="162">
        <f>PRODUCT(C62:G62)</f>
        <v>2</v>
      </c>
      <c r="I62" s="159"/>
    </row>
    <row r="63" spans="1:9" ht="21" customHeight="1">
      <c r="A63" s="160"/>
      <c r="B63" s="161" t="s">
        <v>3364</v>
      </c>
      <c r="C63" s="160">
        <v>1</v>
      </c>
      <c r="D63" s="160">
        <v>1</v>
      </c>
      <c r="E63" s="162" t="s">
        <v>1288</v>
      </c>
      <c r="F63" s="162" t="s">
        <v>1288</v>
      </c>
      <c r="G63" s="162" t="s">
        <v>1288</v>
      </c>
      <c r="H63" s="162">
        <f>PRODUCT(C63:G63)</f>
        <v>1</v>
      </c>
      <c r="I63" s="159"/>
    </row>
    <row r="64" spans="1:9" ht="21" customHeight="1">
      <c r="A64" s="160"/>
      <c r="B64" s="161"/>
      <c r="C64" s="160"/>
      <c r="D64" s="160"/>
      <c r="E64" s="162"/>
      <c r="F64" s="162"/>
      <c r="G64" s="159" t="s">
        <v>1827</v>
      </c>
      <c r="H64" s="159">
        <f>SUM(H61:H63)</f>
        <v>4</v>
      </c>
      <c r="I64" s="159"/>
    </row>
    <row r="65" spans="1:9" ht="21" customHeight="1">
      <c r="A65" s="160"/>
      <c r="B65" s="161"/>
      <c r="C65" s="160"/>
      <c r="D65" s="160"/>
      <c r="E65" s="162"/>
      <c r="F65" s="162"/>
      <c r="G65" s="159" t="s">
        <v>2560</v>
      </c>
      <c r="H65" s="159">
        <f>ROUNDUP(H64,1)</f>
        <v>4</v>
      </c>
      <c r="I65" s="159" t="s">
        <v>1395</v>
      </c>
    </row>
    <row r="66" spans="1:9" ht="37.5" customHeight="1">
      <c r="A66" s="160">
        <f>A60+1</f>
        <v>9</v>
      </c>
      <c r="B66" s="161" t="s">
        <v>3368</v>
      </c>
      <c r="C66" s="160"/>
      <c r="D66" s="160"/>
      <c r="E66" s="162"/>
      <c r="F66" s="162"/>
      <c r="G66" s="162"/>
      <c r="H66" s="162"/>
      <c r="I66" s="159"/>
    </row>
    <row r="67" spans="1:9" ht="21" customHeight="1">
      <c r="A67" s="160"/>
      <c r="B67" s="163" t="s">
        <v>3314</v>
      </c>
      <c r="C67" s="160"/>
      <c r="D67" s="160"/>
      <c r="E67" s="162"/>
      <c r="F67" s="162"/>
      <c r="G67" s="162"/>
      <c r="H67" s="162"/>
      <c r="I67" s="159"/>
    </row>
    <row r="68" spans="1:9" ht="21" customHeight="1">
      <c r="A68" s="160"/>
      <c r="B68" s="163" t="s">
        <v>3377</v>
      </c>
      <c r="C68" s="160"/>
      <c r="D68" s="160"/>
      <c r="E68" s="162"/>
      <c r="F68" s="162"/>
      <c r="G68" s="162"/>
      <c r="H68" s="162"/>
      <c r="I68" s="159"/>
    </row>
    <row r="69" spans="1:9" ht="21" customHeight="1">
      <c r="A69" s="160"/>
      <c r="B69" s="161" t="s">
        <v>3317</v>
      </c>
      <c r="C69" s="160">
        <v>1</v>
      </c>
      <c r="D69" s="160">
        <v>1</v>
      </c>
      <c r="E69" s="162">
        <v>2.4</v>
      </c>
      <c r="F69" s="162">
        <v>4.45</v>
      </c>
      <c r="G69" s="162" t="s">
        <v>1288</v>
      </c>
      <c r="H69" s="162">
        <f>PRODUCT(C69:G69)</f>
        <v>10.68</v>
      </c>
      <c r="I69" s="159"/>
    </row>
    <row r="70" spans="1:9" ht="21" customHeight="1">
      <c r="A70" s="160"/>
      <c r="B70" s="161" t="s">
        <v>3369</v>
      </c>
      <c r="C70" s="160">
        <v>1</v>
      </c>
      <c r="D70" s="160">
        <v>1</v>
      </c>
      <c r="E70" s="162">
        <v>3.47</v>
      </c>
      <c r="F70" s="162">
        <v>1.5</v>
      </c>
      <c r="G70" s="162" t="s">
        <v>1288</v>
      </c>
      <c r="H70" s="162">
        <f>PRODUCT(C70:G70)</f>
        <v>5.21</v>
      </c>
      <c r="I70" s="159"/>
    </row>
    <row r="71" spans="1:9" ht="21" customHeight="1">
      <c r="A71" s="160"/>
      <c r="B71" s="161" t="s">
        <v>3370</v>
      </c>
      <c r="C71" s="160">
        <v>1</v>
      </c>
      <c r="D71" s="160">
        <v>1</v>
      </c>
      <c r="E71" s="162">
        <v>2.4</v>
      </c>
      <c r="F71" s="162">
        <v>1.5</v>
      </c>
      <c r="G71" s="162" t="s">
        <v>1288</v>
      </c>
      <c r="H71" s="162">
        <f>PRODUCT(C71:G71)</f>
        <v>3.6</v>
      </c>
      <c r="I71" s="159"/>
    </row>
    <row r="72" spans="1:9" ht="21" customHeight="1">
      <c r="A72" s="160"/>
      <c r="B72" s="161" t="s">
        <v>3371</v>
      </c>
      <c r="C72" s="160">
        <v>1</v>
      </c>
      <c r="D72" s="160">
        <v>1</v>
      </c>
      <c r="E72" s="162">
        <v>1.2</v>
      </c>
      <c r="F72" s="162">
        <v>0.9</v>
      </c>
      <c r="G72" s="162" t="s">
        <v>1288</v>
      </c>
      <c r="H72" s="162">
        <f t="shared" ref="H72:H82" si="3">PRODUCT(C72:G72)</f>
        <v>1.08</v>
      </c>
      <c r="I72" s="159"/>
    </row>
    <row r="73" spans="1:9" ht="21" customHeight="1">
      <c r="A73" s="160"/>
      <c r="B73" s="161" t="s">
        <v>3372</v>
      </c>
      <c r="C73" s="160">
        <v>1</v>
      </c>
      <c r="D73" s="160">
        <v>1</v>
      </c>
      <c r="E73" s="162">
        <v>3.93</v>
      </c>
      <c r="F73" s="162">
        <v>0.9</v>
      </c>
      <c r="G73" s="162" t="s">
        <v>1288</v>
      </c>
      <c r="H73" s="162">
        <f t="shared" si="3"/>
        <v>3.54</v>
      </c>
      <c r="I73" s="159"/>
    </row>
    <row r="74" spans="1:9" ht="21" customHeight="1">
      <c r="A74" s="160"/>
      <c r="B74" s="161" t="s">
        <v>3373</v>
      </c>
      <c r="C74" s="160">
        <v>1</v>
      </c>
      <c r="D74" s="160">
        <v>1</v>
      </c>
      <c r="E74" s="162">
        <v>1.5</v>
      </c>
      <c r="F74" s="162">
        <v>0.9</v>
      </c>
      <c r="G74" s="162" t="s">
        <v>1288</v>
      </c>
      <c r="H74" s="162">
        <f t="shared" si="3"/>
        <v>1.35</v>
      </c>
      <c r="I74" s="159"/>
    </row>
    <row r="75" spans="1:9" ht="21" customHeight="1">
      <c r="A75" s="160"/>
      <c r="B75" s="161" t="s">
        <v>3374</v>
      </c>
      <c r="C75" s="160">
        <v>1</v>
      </c>
      <c r="D75" s="160">
        <v>1</v>
      </c>
      <c r="E75" s="162">
        <v>1.5</v>
      </c>
      <c r="F75" s="162">
        <v>0.6</v>
      </c>
      <c r="G75" s="162" t="s">
        <v>1288</v>
      </c>
      <c r="H75" s="162">
        <f t="shared" si="3"/>
        <v>0.9</v>
      </c>
      <c r="I75" s="159"/>
    </row>
    <row r="76" spans="1:9" ht="21" customHeight="1">
      <c r="A76" s="160"/>
      <c r="B76" s="161" t="s">
        <v>3315</v>
      </c>
      <c r="C76" s="160">
        <v>1</v>
      </c>
      <c r="D76" s="160">
        <v>1</v>
      </c>
      <c r="E76" s="162">
        <v>2.16</v>
      </c>
      <c r="F76" s="162">
        <v>0.75</v>
      </c>
      <c r="G76" s="162" t="s">
        <v>1288</v>
      </c>
      <c r="H76" s="162">
        <f t="shared" si="3"/>
        <v>1.62</v>
      </c>
      <c r="I76" s="159"/>
    </row>
    <row r="77" spans="1:9" ht="21" customHeight="1">
      <c r="A77" s="160"/>
      <c r="B77" s="161" t="s">
        <v>3375</v>
      </c>
      <c r="C77" s="160">
        <v>1</v>
      </c>
      <c r="D77" s="160">
        <v>1</v>
      </c>
      <c r="E77" s="162">
        <v>2.4</v>
      </c>
      <c r="F77" s="162">
        <v>0.75</v>
      </c>
      <c r="G77" s="162" t="s">
        <v>1288</v>
      </c>
      <c r="H77" s="162">
        <f t="shared" si="3"/>
        <v>1.8</v>
      </c>
      <c r="I77" s="159"/>
    </row>
    <row r="78" spans="1:9" ht="21" customHeight="1">
      <c r="A78" s="160"/>
      <c r="B78" s="161" t="s">
        <v>3439</v>
      </c>
      <c r="C78" s="160">
        <v>1</v>
      </c>
      <c r="D78" s="160">
        <v>2</v>
      </c>
      <c r="E78" s="162">
        <v>1.1399999999999999</v>
      </c>
      <c r="F78" s="162">
        <v>0.6</v>
      </c>
      <c r="G78" s="162" t="s">
        <v>1288</v>
      </c>
      <c r="H78" s="162">
        <f t="shared" si="3"/>
        <v>1.37</v>
      </c>
      <c r="I78" s="159"/>
    </row>
    <row r="79" spans="1:9" ht="21" customHeight="1">
      <c r="A79" s="160"/>
      <c r="B79" s="161" t="s">
        <v>3295</v>
      </c>
      <c r="C79" s="160">
        <v>1</v>
      </c>
      <c r="D79" s="160">
        <v>1</v>
      </c>
      <c r="E79" s="162">
        <v>3.93</v>
      </c>
      <c r="F79" s="162">
        <v>0.6</v>
      </c>
      <c r="G79" s="162" t="s">
        <v>1288</v>
      </c>
      <c r="H79" s="162">
        <f t="shared" si="3"/>
        <v>2.36</v>
      </c>
      <c r="I79" s="159"/>
    </row>
    <row r="80" spans="1:9" ht="21" customHeight="1">
      <c r="A80" s="160"/>
      <c r="B80" s="163" t="s">
        <v>3380</v>
      </c>
      <c r="C80" s="160"/>
      <c r="D80" s="160"/>
      <c r="E80" s="162"/>
      <c r="F80" s="162"/>
      <c r="G80" s="162"/>
      <c r="H80" s="162"/>
      <c r="I80" s="159"/>
    </row>
    <row r="81" spans="1:9" ht="21" customHeight="1">
      <c r="A81" s="160"/>
      <c r="B81" s="161" t="s">
        <v>3320</v>
      </c>
      <c r="C81" s="160">
        <v>1</v>
      </c>
      <c r="D81" s="160">
        <v>3</v>
      </c>
      <c r="E81" s="162">
        <v>1.81</v>
      </c>
      <c r="F81" s="162">
        <v>0.45</v>
      </c>
      <c r="G81" s="162" t="s">
        <v>1288</v>
      </c>
      <c r="H81" s="162">
        <f t="shared" si="3"/>
        <v>2.44</v>
      </c>
      <c r="I81" s="159"/>
    </row>
    <row r="82" spans="1:9" ht="21" customHeight="1">
      <c r="A82" s="160"/>
      <c r="B82" s="161" t="s">
        <v>3440</v>
      </c>
      <c r="C82" s="160">
        <v>1</v>
      </c>
      <c r="D82" s="160">
        <v>2</v>
      </c>
      <c r="E82" s="162">
        <v>2.4</v>
      </c>
      <c r="F82" s="162">
        <v>0.45</v>
      </c>
      <c r="G82" s="162" t="s">
        <v>1288</v>
      </c>
      <c r="H82" s="162">
        <f t="shared" si="3"/>
        <v>2.16</v>
      </c>
      <c r="I82" s="159"/>
    </row>
    <row r="83" spans="1:9" ht="21" customHeight="1">
      <c r="A83" s="160"/>
      <c r="B83" s="163" t="s">
        <v>3376</v>
      </c>
      <c r="C83" s="160"/>
      <c r="D83" s="160"/>
      <c r="E83" s="162"/>
      <c r="F83" s="162"/>
      <c r="G83" s="162"/>
      <c r="H83" s="162"/>
      <c r="I83" s="159"/>
    </row>
    <row r="84" spans="1:9" ht="21" customHeight="1">
      <c r="A84" s="160"/>
      <c r="B84" s="163" t="s">
        <v>3377</v>
      </c>
      <c r="C84" s="160"/>
      <c r="D84" s="160"/>
      <c r="E84" s="162"/>
      <c r="F84" s="162"/>
      <c r="G84" s="162"/>
      <c r="H84" s="162"/>
      <c r="I84" s="159"/>
    </row>
    <row r="85" spans="1:9" ht="21" customHeight="1">
      <c r="A85" s="160"/>
      <c r="B85" s="161" t="s">
        <v>3317</v>
      </c>
      <c r="C85" s="160">
        <v>1</v>
      </c>
      <c r="D85" s="160">
        <v>2</v>
      </c>
      <c r="E85" s="162">
        <v>4.32</v>
      </c>
      <c r="F85" s="162" t="s">
        <v>1288</v>
      </c>
      <c r="G85" s="162">
        <v>0.6</v>
      </c>
      <c r="H85" s="162">
        <f t="shared" ref="H85:H101" si="4">PRODUCT(C85:G85)</f>
        <v>5.18</v>
      </c>
      <c r="I85" s="159"/>
    </row>
    <row r="86" spans="1:9" ht="21" customHeight="1">
      <c r="A86" s="160"/>
      <c r="B86" s="161" t="s">
        <v>3378</v>
      </c>
      <c r="C86" s="160">
        <v>1</v>
      </c>
      <c r="D86" s="160">
        <v>1</v>
      </c>
      <c r="E86" s="162">
        <v>1.5</v>
      </c>
      <c r="F86" s="162" t="s">
        <v>1288</v>
      </c>
      <c r="G86" s="162">
        <v>0.75</v>
      </c>
      <c r="H86" s="162">
        <f t="shared" si="4"/>
        <v>1.1299999999999999</v>
      </c>
      <c r="I86" s="159"/>
    </row>
    <row r="87" spans="1:9" ht="21" customHeight="1">
      <c r="A87" s="160"/>
      <c r="B87" s="161" t="s">
        <v>3374</v>
      </c>
      <c r="C87" s="160">
        <v>1</v>
      </c>
      <c r="D87" s="160">
        <v>1</v>
      </c>
      <c r="E87" s="162">
        <v>2</v>
      </c>
      <c r="F87" s="162" t="s">
        <v>1288</v>
      </c>
      <c r="G87" s="162">
        <v>0.6</v>
      </c>
      <c r="H87" s="162">
        <f t="shared" si="4"/>
        <v>1.2</v>
      </c>
      <c r="I87" s="159"/>
    </row>
    <row r="88" spans="1:9" ht="21" customHeight="1">
      <c r="A88" s="160"/>
      <c r="B88" s="161" t="s">
        <v>3369</v>
      </c>
      <c r="C88" s="160">
        <v>1</v>
      </c>
      <c r="D88" s="160">
        <v>1</v>
      </c>
      <c r="E88" s="162">
        <v>3.47</v>
      </c>
      <c r="F88" s="162" t="s">
        <v>1288</v>
      </c>
      <c r="G88" s="162">
        <v>3</v>
      </c>
      <c r="H88" s="162">
        <f t="shared" si="4"/>
        <v>10.41</v>
      </c>
      <c r="I88" s="159"/>
    </row>
    <row r="89" spans="1:9" ht="21" customHeight="1">
      <c r="A89" s="160"/>
      <c r="B89" s="161" t="s">
        <v>3379</v>
      </c>
      <c r="C89" s="160">
        <v>1</v>
      </c>
      <c r="D89" s="160">
        <v>1</v>
      </c>
      <c r="E89" s="162">
        <v>2.4</v>
      </c>
      <c r="F89" s="162" t="s">
        <v>1288</v>
      </c>
      <c r="G89" s="162">
        <v>2.1</v>
      </c>
      <c r="H89" s="162">
        <f t="shared" si="4"/>
        <v>5.04</v>
      </c>
      <c r="I89" s="159"/>
    </row>
    <row r="90" spans="1:9" ht="21" customHeight="1">
      <c r="A90" s="160"/>
      <c r="B90" s="161" t="s">
        <v>3372</v>
      </c>
      <c r="C90" s="160">
        <v>1</v>
      </c>
      <c r="D90" s="160">
        <v>1</v>
      </c>
      <c r="E90" s="162">
        <v>3.93</v>
      </c>
      <c r="F90" s="162" t="s">
        <v>1288</v>
      </c>
      <c r="G90" s="162">
        <v>1.5</v>
      </c>
      <c r="H90" s="162">
        <f t="shared" si="4"/>
        <v>5.9</v>
      </c>
      <c r="I90" s="159"/>
    </row>
    <row r="91" spans="1:9" ht="21" customHeight="1">
      <c r="A91" s="160"/>
      <c r="B91" s="161" t="s">
        <v>3439</v>
      </c>
      <c r="C91" s="160">
        <v>1</v>
      </c>
      <c r="D91" s="160">
        <v>2</v>
      </c>
      <c r="E91" s="162">
        <v>1.1399999999999999</v>
      </c>
      <c r="F91" s="162" t="s">
        <v>1288</v>
      </c>
      <c r="G91" s="162">
        <v>0.6</v>
      </c>
      <c r="H91" s="162">
        <f t="shared" si="4"/>
        <v>1.37</v>
      </c>
      <c r="I91" s="159"/>
    </row>
    <row r="92" spans="1:9" ht="21" customHeight="1">
      <c r="A92" s="160"/>
      <c r="B92" s="161" t="s">
        <v>3371</v>
      </c>
      <c r="C92" s="160">
        <v>1</v>
      </c>
      <c r="D92" s="160">
        <v>1</v>
      </c>
      <c r="E92" s="162">
        <v>3.93</v>
      </c>
      <c r="F92" s="162" t="s">
        <v>1288</v>
      </c>
      <c r="G92" s="162">
        <v>0.6</v>
      </c>
      <c r="H92" s="162">
        <f t="shared" si="4"/>
        <v>2.36</v>
      </c>
      <c r="I92" s="159"/>
    </row>
    <row r="93" spans="1:9" ht="21" customHeight="1">
      <c r="A93" s="160"/>
      <c r="B93" s="161" t="s">
        <v>3295</v>
      </c>
      <c r="C93" s="160">
        <v>1</v>
      </c>
      <c r="D93" s="160">
        <v>1</v>
      </c>
      <c r="E93" s="162">
        <v>3.93</v>
      </c>
      <c r="F93" s="162" t="s">
        <v>1288</v>
      </c>
      <c r="G93" s="162">
        <v>0.6</v>
      </c>
      <c r="H93" s="162">
        <f t="shared" si="4"/>
        <v>2.36</v>
      </c>
      <c r="I93" s="159"/>
    </row>
    <row r="94" spans="1:9" ht="21" customHeight="1">
      <c r="A94" s="160"/>
      <c r="B94" s="161" t="s">
        <v>3441</v>
      </c>
      <c r="C94" s="160">
        <v>1</v>
      </c>
      <c r="D94" s="160">
        <v>1</v>
      </c>
      <c r="E94" s="162">
        <v>2.77</v>
      </c>
      <c r="F94" s="162" t="s">
        <v>1288</v>
      </c>
      <c r="G94" s="162">
        <v>0.6</v>
      </c>
      <c r="H94" s="162">
        <f t="shared" si="4"/>
        <v>1.66</v>
      </c>
      <c r="I94" s="159"/>
    </row>
    <row r="95" spans="1:9" ht="21" customHeight="1">
      <c r="A95" s="160"/>
      <c r="B95" s="161" t="s">
        <v>3344</v>
      </c>
      <c r="C95" s="160">
        <v>1</v>
      </c>
      <c r="D95" s="160">
        <v>1</v>
      </c>
      <c r="E95" s="162">
        <v>2.77</v>
      </c>
      <c r="F95" s="162" t="s">
        <v>1288</v>
      </c>
      <c r="G95" s="162">
        <v>0.6</v>
      </c>
      <c r="H95" s="162">
        <f t="shared" si="4"/>
        <v>1.66</v>
      </c>
      <c r="I95" s="159"/>
    </row>
    <row r="96" spans="1:9" ht="21" customHeight="1">
      <c r="A96" s="160"/>
      <c r="B96" s="161" t="s">
        <v>3385</v>
      </c>
      <c r="C96" s="160">
        <v>1</v>
      </c>
      <c r="D96" s="160">
        <v>1</v>
      </c>
      <c r="E96" s="162">
        <v>2.4</v>
      </c>
      <c r="F96" s="162" t="s">
        <v>1288</v>
      </c>
      <c r="G96" s="162">
        <v>1.5</v>
      </c>
      <c r="H96" s="162">
        <f t="shared" si="4"/>
        <v>3.6</v>
      </c>
      <c r="I96" s="159"/>
    </row>
    <row r="97" spans="1:9" ht="21" customHeight="1">
      <c r="A97" s="160"/>
      <c r="B97" s="161" t="s">
        <v>3315</v>
      </c>
      <c r="C97" s="160">
        <v>1</v>
      </c>
      <c r="D97" s="160">
        <v>1</v>
      </c>
      <c r="E97" s="162">
        <v>2.16</v>
      </c>
      <c r="F97" s="162" t="s">
        <v>1288</v>
      </c>
      <c r="G97" s="162">
        <v>0.9</v>
      </c>
      <c r="H97" s="162">
        <f t="shared" si="4"/>
        <v>1.94</v>
      </c>
      <c r="I97" s="159"/>
    </row>
    <row r="98" spans="1:9" ht="21" customHeight="1">
      <c r="A98" s="160"/>
      <c r="B98" s="163" t="s">
        <v>3305</v>
      </c>
      <c r="C98" s="160"/>
      <c r="D98" s="160"/>
      <c r="E98" s="162"/>
      <c r="F98" s="162"/>
      <c r="G98" s="162"/>
      <c r="H98" s="162"/>
      <c r="I98" s="159"/>
    </row>
    <row r="99" spans="1:9" ht="21" customHeight="1">
      <c r="A99" s="160"/>
      <c r="B99" s="161" t="s">
        <v>3320</v>
      </c>
      <c r="C99" s="160">
        <v>-1</v>
      </c>
      <c r="D99" s="160">
        <v>1</v>
      </c>
      <c r="E99" s="162">
        <v>1.35</v>
      </c>
      <c r="F99" s="162" t="s">
        <v>1288</v>
      </c>
      <c r="G99" s="162">
        <v>1.35</v>
      </c>
      <c r="H99" s="162">
        <f t="shared" si="4"/>
        <v>-1.82</v>
      </c>
      <c r="I99" s="159"/>
    </row>
    <row r="100" spans="1:9" ht="21" customHeight="1">
      <c r="A100" s="160"/>
      <c r="B100" s="161" t="s">
        <v>3321</v>
      </c>
      <c r="C100" s="160">
        <v>-1</v>
      </c>
      <c r="D100" s="160">
        <v>1</v>
      </c>
      <c r="E100" s="162">
        <v>0.9</v>
      </c>
      <c r="F100" s="162" t="s">
        <v>1288</v>
      </c>
      <c r="G100" s="162">
        <v>0.6</v>
      </c>
      <c r="H100" s="162">
        <f t="shared" si="4"/>
        <v>-0.54</v>
      </c>
      <c r="I100" s="159"/>
    </row>
    <row r="101" spans="1:9" ht="21" customHeight="1">
      <c r="A101" s="160"/>
      <c r="B101" s="161" t="s">
        <v>3400</v>
      </c>
      <c r="C101" s="160">
        <v>-1</v>
      </c>
      <c r="D101" s="160">
        <v>1</v>
      </c>
      <c r="E101" s="162">
        <v>0.6</v>
      </c>
      <c r="F101" s="162" t="s">
        <v>1288</v>
      </c>
      <c r="G101" s="162">
        <v>0.6</v>
      </c>
      <c r="H101" s="162">
        <f t="shared" si="4"/>
        <v>-0.36</v>
      </c>
      <c r="I101" s="159"/>
    </row>
    <row r="102" spans="1:9" ht="21" customHeight="1">
      <c r="A102" s="160"/>
      <c r="B102" s="163" t="s">
        <v>3380</v>
      </c>
      <c r="C102" s="160"/>
      <c r="D102" s="160"/>
      <c r="E102" s="162"/>
      <c r="F102" s="162"/>
      <c r="G102" s="162"/>
      <c r="H102" s="162"/>
      <c r="I102" s="159"/>
    </row>
    <row r="103" spans="1:9" ht="21" customHeight="1">
      <c r="A103" s="160"/>
      <c r="B103" s="161" t="s">
        <v>3317</v>
      </c>
      <c r="C103" s="160">
        <v>1</v>
      </c>
      <c r="D103" s="160">
        <v>1</v>
      </c>
      <c r="E103" s="162">
        <v>2.4</v>
      </c>
      <c r="F103" s="162" t="s">
        <v>1288</v>
      </c>
      <c r="G103" s="162">
        <v>0.75</v>
      </c>
      <c r="H103" s="162">
        <f>PRODUCT(C103:G103)</f>
        <v>1.8</v>
      </c>
      <c r="I103" s="159"/>
    </row>
    <row r="104" spans="1:9" ht="21" customHeight="1">
      <c r="A104" s="160"/>
      <c r="B104" s="161" t="s">
        <v>3442</v>
      </c>
      <c r="C104" s="160">
        <v>1</v>
      </c>
      <c r="D104" s="160">
        <v>1</v>
      </c>
      <c r="E104" s="162">
        <v>12</v>
      </c>
      <c r="F104" s="162" t="s">
        <v>1288</v>
      </c>
      <c r="G104" s="162">
        <v>0.6</v>
      </c>
      <c r="H104" s="162">
        <f>PRODUCT(C104:G104)</f>
        <v>7.2</v>
      </c>
      <c r="I104" s="159"/>
    </row>
    <row r="105" spans="1:9" ht="21" customHeight="1">
      <c r="A105" s="160"/>
      <c r="B105" s="161" t="s">
        <v>3443</v>
      </c>
      <c r="C105" s="160">
        <v>1</v>
      </c>
      <c r="D105" s="160">
        <v>1</v>
      </c>
      <c r="E105" s="162">
        <v>9.23</v>
      </c>
      <c r="F105" s="162" t="s">
        <v>1288</v>
      </c>
      <c r="G105" s="162">
        <v>1.5</v>
      </c>
      <c r="H105" s="162">
        <f>PRODUCT(C105:G105)</f>
        <v>13.85</v>
      </c>
      <c r="I105" s="159"/>
    </row>
    <row r="106" spans="1:9" ht="21" customHeight="1">
      <c r="A106" s="160"/>
      <c r="B106" s="161" t="s">
        <v>3444</v>
      </c>
      <c r="C106" s="160">
        <v>1</v>
      </c>
      <c r="D106" s="160">
        <v>1</v>
      </c>
      <c r="E106" s="162">
        <v>9.23</v>
      </c>
      <c r="F106" s="162" t="s">
        <v>1288</v>
      </c>
      <c r="G106" s="162">
        <v>0.9</v>
      </c>
      <c r="H106" s="162">
        <f>PRODUCT(C106:G106)</f>
        <v>8.31</v>
      </c>
      <c r="I106" s="159"/>
    </row>
    <row r="107" spans="1:9" ht="21" customHeight="1">
      <c r="A107" s="160"/>
      <c r="B107" s="161" t="s">
        <v>3319</v>
      </c>
      <c r="C107" s="160">
        <v>1</v>
      </c>
      <c r="D107" s="160">
        <v>1</v>
      </c>
      <c r="E107" s="162">
        <v>8.9600000000000009</v>
      </c>
      <c r="F107" s="162" t="s">
        <v>1288</v>
      </c>
      <c r="G107" s="162">
        <v>4.2</v>
      </c>
      <c r="H107" s="162">
        <f>PRODUCT(C107:G107)</f>
        <v>37.630000000000003</v>
      </c>
      <c r="I107" s="159"/>
    </row>
    <row r="108" spans="1:9" ht="21" customHeight="1">
      <c r="A108" s="160"/>
      <c r="B108" s="161" t="s">
        <v>3320</v>
      </c>
      <c r="C108" s="160">
        <v>1</v>
      </c>
      <c r="D108" s="160">
        <v>3</v>
      </c>
      <c r="E108" s="162">
        <v>1.81</v>
      </c>
      <c r="F108" s="162">
        <v>0.45</v>
      </c>
      <c r="G108" s="162" t="s">
        <v>1288</v>
      </c>
      <c r="H108" s="162">
        <f t="shared" ref="H108:H109" si="5">PRODUCT(C108:G108)</f>
        <v>2.44</v>
      </c>
      <c r="I108" s="159"/>
    </row>
    <row r="109" spans="1:9" ht="21" customHeight="1">
      <c r="A109" s="160"/>
      <c r="B109" s="161" t="s">
        <v>3440</v>
      </c>
      <c r="C109" s="160">
        <v>1</v>
      </c>
      <c r="D109" s="160">
        <v>2</v>
      </c>
      <c r="E109" s="162">
        <v>2.4</v>
      </c>
      <c r="F109" s="162">
        <v>0.45</v>
      </c>
      <c r="G109" s="162" t="s">
        <v>1288</v>
      </c>
      <c r="H109" s="162">
        <f t="shared" si="5"/>
        <v>2.16</v>
      </c>
      <c r="I109" s="159"/>
    </row>
    <row r="110" spans="1:9" ht="21" customHeight="1">
      <c r="A110" s="160"/>
      <c r="B110" s="163" t="s">
        <v>3305</v>
      </c>
      <c r="C110" s="160"/>
      <c r="D110" s="160"/>
      <c r="E110" s="162"/>
      <c r="F110" s="162"/>
      <c r="G110" s="162"/>
      <c r="H110" s="162"/>
      <c r="I110" s="159"/>
    </row>
    <row r="111" spans="1:9" ht="21" customHeight="1">
      <c r="A111" s="160"/>
      <c r="B111" s="161" t="s">
        <v>3320</v>
      </c>
      <c r="C111" s="160">
        <v>-1</v>
      </c>
      <c r="D111" s="160">
        <v>1</v>
      </c>
      <c r="E111" s="162">
        <v>1.35</v>
      </c>
      <c r="F111" s="162" t="s">
        <v>1288</v>
      </c>
      <c r="G111" s="162">
        <v>1.35</v>
      </c>
      <c r="H111" s="162">
        <f t="shared" ref="H111:H114" si="6">PRODUCT(C111:G111)</f>
        <v>-1.82</v>
      </c>
      <c r="I111" s="159"/>
    </row>
    <row r="112" spans="1:9" ht="21" customHeight="1">
      <c r="A112" s="160"/>
      <c r="B112" s="161" t="s">
        <v>3322</v>
      </c>
      <c r="C112" s="160">
        <v>-1</v>
      </c>
      <c r="D112" s="160">
        <v>2</v>
      </c>
      <c r="E112" s="162">
        <v>0.9</v>
      </c>
      <c r="F112" s="162" t="s">
        <v>1288</v>
      </c>
      <c r="G112" s="162">
        <v>0.6</v>
      </c>
      <c r="H112" s="162">
        <f t="shared" si="6"/>
        <v>-1.08</v>
      </c>
      <c r="I112" s="159"/>
    </row>
    <row r="113" spans="1:9" ht="21" customHeight="1">
      <c r="A113" s="160"/>
      <c r="B113" s="161" t="s">
        <v>3321</v>
      </c>
      <c r="C113" s="160">
        <v>-1</v>
      </c>
      <c r="D113" s="160">
        <v>1</v>
      </c>
      <c r="E113" s="162">
        <v>0.9</v>
      </c>
      <c r="F113" s="162" t="s">
        <v>1288</v>
      </c>
      <c r="G113" s="162">
        <v>0.6</v>
      </c>
      <c r="H113" s="162">
        <f t="shared" si="6"/>
        <v>-0.54</v>
      </c>
      <c r="I113" s="159"/>
    </row>
    <row r="114" spans="1:9" ht="21" customHeight="1">
      <c r="A114" s="160"/>
      <c r="B114" s="161" t="s">
        <v>3400</v>
      </c>
      <c r="C114" s="160">
        <v>-1</v>
      </c>
      <c r="D114" s="160">
        <v>1</v>
      </c>
      <c r="E114" s="162">
        <v>0.6</v>
      </c>
      <c r="F114" s="162" t="s">
        <v>1288</v>
      </c>
      <c r="G114" s="162">
        <v>0.6</v>
      </c>
      <c r="H114" s="162">
        <f t="shared" si="6"/>
        <v>-0.36</v>
      </c>
      <c r="I114" s="159"/>
    </row>
    <row r="115" spans="1:9" ht="21" customHeight="1">
      <c r="A115" s="160"/>
      <c r="B115" s="161"/>
      <c r="C115" s="160"/>
      <c r="D115" s="160"/>
      <c r="E115" s="162"/>
      <c r="F115" s="162"/>
      <c r="G115" s="159" t="s">
        <v>1827</v>
      </c>
      <c r="H115" s="159">
        <f>SUM(H67:H114)</f>
        <v>148.79</v>
      </c>
      <c r="I115" s="159"/>
    </row>
    <row r="116" spans="1:9" ht="21" customHeight="1">
      <c r="A116" s="160"/>
      <c r="B116" s="161"/>
      <c r="C116" s="160"/>
      <c r="D116" s="160"/>
      <c r="E116" s="162"/>
      <c r="F116" s="162"/>
      <c r="G116" s="159" t="s">
        <v>2560</v>
      </c>
      <c r="H116" s="159">
        <f>ROUNDUP(H115,1)</f>
        <v>148.80000000000001</v>
      </c>
      <c r="I116" s="159" t="s">
        <v>488</v>
      </c>
    </row>
    <row r="117" spans="1:9" ht="24" customHeight="1">
      <c r="A117" s="160">
        <f>A66+1</f>
        <v>10</v>
      </c>
      <c r="B117" s="161" t="str">
        <f>'[11]Building (2)'!B341</f>
        <v>Plastering in C.M. 1:5, 12 mm tk.</v>
      </c>
      <c r="C117" s="160"/>
      <c r="D117" s="160"/>
      <c r="E117" s="162"/>
      <c r="F117" s="162"/>
      <c r="G117" s="162"/>
      <c r="H117" s="162"/>
      <c r="I117" s="159"/>
    </row>
    <row r="118" spans="1:9" ht="21" customHeight="1">
      <c r="A118" s="160"/>
      <c r="B118" s="163" t="s">
        <v>3376</v>
      </c>
      <c r="C118" s="160"/>
      <c r="D118" s="160"/>
      <c r="E118" s="162"/>
      <c r="F118" s="162"/>
      <c r="G118" s="162"/>
      <c r="H118" s="162"/>
      <c r="I118" s="159"/>
    </row>
    <row r="119" spans="1:9" ht="21" customHeight="1">
      <c r="A119" s="160"/>
      <c r="B119" s="163" t="s">
        <v>3377</v>
      </c>
      <c r="C119" s="160"/>
      <c r="D119" s="160"/>
      <c r="E119" s="162"/>
      <c r="F119" s="162"/>
      <c r="G119" s="162"/>
      <c r="H119" s="162"/>
      <c r="I119" s="159"/>
    </row>
    <row r="120" spans="1:9" ht="21" customHeight="1">
      <c r="A120" s="160"/>
      <c r="B120" s="161" t="s">
        <v>3317</v>
      </c>
      <c r="C120" s="160">
        <v>1</v>
      </c>
      <c r="D120" s="160">
        <v>2</v>
      </c>
      <c r="E120" s="162">
        <v>4.32</v>
      </c>
      <c r="F120" s="162" t="s">
        <v>1288</v>
      </c>
      <c r="G120" s="162">
        <v>0.6</v>
      </c>
      <c r="H120" s="162">
        <f t="shared" ref="H120:H132" si="7">PRODUCT(C120:G120)</f>
        <v>5.18</v>
      </c>
      <c r="I120" s="159"/>
    </row>
    <row r="121" spans="1:9" ht="21" customHeight="1">
      <c r="A121" s="160"/>
      <c r="B121" s="161" t="s">
        <v>3378</v>
      </c>
      <c r="C121" s="160">
        <v>1</v>
      </c>
      <c r="D121" s="160">
        <v>1</v>
      </c>
      <c r="E121" s="162">
        <v>1.5</v>
      </c>
      <c r="F121" s="162" t="s">
        <v>1288</v>
      </c>
      <c r="G121" s="162">
        <v>0.75</v>
      </c>
      <c r="H121" s="162">
        <f t="shared" si="7"/>
        <v>1.1299999999999999</v>
      </c>
      <c r="I121" s="159"/>
    </row>
    <row r="122" spans="1:9" ht="21" customHeight="1">
      <c r="A122" s="160"/>
      <c r="B122" s="161" t="s">
        <v>3374</v>
      </c>
      <c r="C122" s="160">
        <v>1</v>
      </c>
      <c r="D122" s="160">
        <v>1</v>
      </c>
      <c r="E122" s="162">
        <v>2</v>
      </c>
      <c r="F122" s="162" t="s">
        <v>1288</v>
      </c>
      <c r="G122" s="162">
        <v>0.6</v>
      </c>
      <c r="H122" s="162">
        <f t="shared" si="7"/>
        <v>1.2</v>
      </c>
      <c r="I122" s="159"/>
    </row>
    <row r="123" spans="1:9" ht="21" customHeight="1">
      <c r="A123" s="160"/>
      <c r="B123" s="161" t="s">
        <v>3369</v>
      </c>
      <c r="C123" s="160">
        <v>1</v>
      </c>
      <c r="D123" s="160">
        <v>1</v>
      </c>
      <c r="E123" s="162">
        <v>3.47</v>
      </c>
      <c r="F123" s="162" t="s">
        <v>1288</v>
      </c>
      <c r="G123" s="162">
        <v>3</v>
      </c>
      <c r="H123" s="162">
        <f t="shared" si="7"/>
        <v>10.41</v>
      </c>
      <c r="I123" s="159"/>
    </row>
    <row r="124" spans="1:9" ht="21" customHeight="1">
      <c r="A124" s="160"/>
      <c r="B124" s="161" t="s">
        <v>3379</v>
      </c>
      <c r="C124" s="160">
        <v>1</v>
      </c>
      <c r="D124" s="160">
        <v>1</v>
      </c>
      <c r="E124" s="162">
        <v>2.4</v>
      </c>
      <c r="F124" s="162" t="s">
        <v>1288</v>
      </c>
      <c r="G124" s="162">
        <v>2.1</v>
      </c>
      <c r="H124" s="162">
        <f t="shared" si="7"/>
        <v>5.04</v>
      </c>
      <c r="I124" s="159"/>
    </row>
    <row r="125" spans="1:9" ht="21" customHeight="1">
      <c r="A125" s="160"/>
      <c r="B125" s="161" t="s">
        <v>3372</v>
      </c>
      <c r="C125" s="160">
        <v>1</v>
      </c>
      <c r="D125" s="160">
        <v>1</v>
      </c>
      <c r="E125" s="162">
        <v>3.93</v>
      </c>
      <c r="F125" s="162" t="s">
        <v>1288</v>
      </c>
      <c r="G125" s="162">
        <v>1.5</v>
      </c>
      <c r="H125" s="162">
        <f t="shared" si="7"/>
        <v>5.9</v>
      </c>
      <c r="I125" s="159"/>
    </row>
    <row r="126" spans="1:9" ht="21" customHeight="1">
      <c r="A126" s="160"/>
      <c r="B126" s="161" t="s">
        <v>3439</v>
      </c>
      <c r="C126" s="160">
        <v>1</v>
      </c>
      <c r="D126" s="160">
        <v>2</v>
      </c>
      <c r="E126" s="162">
        <v>1.1399999999999999</v>
      </c>
      <c r="F126" s="162" t="s">
        <v>1288</v>
      </c>
      <c r="G126" s="162">
        <v>0.6</v>
      </c>
      <c r="H126" s="162">
        <f t="shared" si="7"/>
        <v>1.37</v>
      </c>
      <c r="I126" s="159"/>
    </row>
    <row r="127" spans="1:9" ht="21" customHeight="1">
      <c r="A127" s="160"/>
      <c r="B127" s="161" t="s">
        <v>3371</v>
      </c>
      <c r="C127" s="160">
        <v>1</v>
      </c>
      <c r="D127" s="160">
        <v>1</v>
      </c>
      <c r="E127" s="162">
        <v>3.93</v>
      </c>
      <c r="F127" s="162" t="s">
        <v>1288</v>
      </c>
      <c r="G127" s="162">
        <v>0.6</v>
      </c>
      <c r="H127" s="162">
        <f t="shared" si="7"/>
        <v>2.36</v>
      </c>
      <c r="I127" s="159"/>
    </row>
    <row r="128" spans="1:9" ht="21" customHeight="1">
      <c r="A128" s="160"/>
      <c r="B128" s="161" t="s">
        <v>3295</v>
      </c>
      <c r="C128" s="160">
        <v>1</v>
      </c>
      <c r="D128" s="160">
        <v>1</v>
      </c>
      <c r="E128" s="162">
        <v>3.93</v>
      </c>
      <c r="F128" s="162" t="s">
        <v>1288</v>
      </c>
      <c r="G128" s="162">
        <v>0.6</v>
      </c>
      <c r="H128" s="162">
        <f t="shared" si="7"/>
        <v>2.36</v>
      </c>
      <c r="I128" s="159"/>
    </row>
    <row r="129" spans="1:9" ht="21" customHeight="1">
      <c r="A129" s="160"/>
      <c r="B129" s="161" t="s">
        <v>3441</v>
      </c>
      <c r="C129" s="160">
        <v>1</v>
      </c>
      <c r="D129" s="160">
        <v>1</v>
      </c>
      <c r="E129" s="162">
        <v>2.77</v>
      </c>
      <c r="F129" s="162" t="s">
        <v>1288</v>
      </c>
      <c r="G129" s="162">
        <v>0.6</v>
      </c>
      <c r="H129" s="162">
        <f t="shared" si="7"/>
        <v>1.66</v>
      </c>
      <c r="I129" s="159"/>
    </row>
    <row r="130" spans="1:9" ht="21" customHeight="1">
      <c r="A130" s="160"/>
      <c r="B130" s="161" t="s">
        <v>3344</v>
      </c>
      <c r="C130" s="160">
        <v>1</v>
      </c>
      <c r="D130" s="160">
        <v>1</v>
      </c>
      <c r="E130" s="162">
        <v>2.77</v>
      </c>
      <c r="F130" s="162" t="s">
        <v>1288</v>
      </c>
      <c r="G130" s="162">
        <v>0.6</v>
      </c>
      <c r="H130" s="162">
        <f t="shared" si="7"/>
        <v>1.66</v>
      </c>
      <c r="I130" s="159"/>
    </row>
    <row r="131" spans="1:9" ht="21" customHeight="1">
      <c r="A131" s="160"/>
      <c r="B131" s="161" t="s">
        <v>3385</v>
      </c>
      <c r="C131" s="160">
        <v>1</v>
      </c>
      <c r="D131" s="160">
        <v>1</v>
      </c>
      <c r="E131" s="162">
        <v>2.4</v>
      </c>
      <c r="F131" s="162" t="s">
        <v>1288</v>
      </c>
      <c r="G131" s="162">
        <v>1.5</v>
      </c>
      <c r="H131" s="162">
        <f t="shared" si="7"/>
        <v>3.6</v>
      </c>
      <c r="I131" s="159"/>
    </row>
    <row r="132" spans="1:9" ht="21" customHeight="1">
      <c r="A132" s="160"/>
      <c r="B132" s="161" t="s">
        <v>3315</v>
      </c>
      <c r="C132" s="160">
        <v>1</v>
      </c>
      <c r="D132" s="160">
        <v>1</v>
      </c>
      <c r="E132" s="162">
        <v>2.16</v>
      </c>
      <c r="F132" s="162" t="s">
        <v>1288</v>
      </c>
      <c r="G132" s="162">
        <v>0.9</v>
      </c>
      <c r="H132" s="162">
        <f t="shared" si="7"/>
        <v>1.94</v>
      </c>
      <c r="I132" s="159"/>
    </row>
    <row r="133" spans="1:9" ht="21" customHeight="1">
      <c r="A133" s="160"/>
      <c r="B133" s="163" t="s">
        <v>3305</v>
      </c>
      <c r="C133" s="160"/>
      <c r="D133" s="160"/>
      <c r="E133" s="162"/>
      <c r="F133" s="162"/>
      <c r="G133" s="162"/>
      <c r="H133" s="162"/>
      <c r="I133" s="159"/>
    </row>
    <row r="134" spans="1:9" ht="21" customHeight="1">
      <c r="A134" s="160"/>
      <c r="B134" s="161" t="s">
        <v>3320</v>
      </c>
      <c r="C134" s="160">
        <v>-1</v>
      </c>
      <c r="D134" s="160">
        <v>1</v>
      </c>
      <c r="E134" s="162">
        <v>1.35</v>
      </c>
      <c r="F134" s="162" t="s">
        <v>1288</v>
      </c>
      <c r="G134" s="162">
        <v>1.35</v>
      </c>
      <c r="H134" s="162">
        <f t="shared" ref="H134:H136" si="8">PRODUCT(C134:G134)</f>
        <v>-1.82</v>
      </c>
      <c r="I134" s="159"/>
    </row>
    <row r="135" spans="1:9" ht="21" customHeight="1">
      <c r="A135" s="160"/>
      <c r="B135" s="161" t="s">
        <v>3321</v>
      </c>
      <c r="C135" s="160">
        <v>-1</v>
      </c>
      <c r="D135" s="160">
        <v>1</v>
      </c>
      <c r="E135" s="162">
        <v>0.9</v>
      </c>
      <c r="F135" s="162" t="s">
        <v>1288</v>
      </c>
      <c r="G135" s="162">
        <v>0.6</v>
      </c>
      <c r="H135" s="162">
        <f t="shared" si="8"/>
        <v>-0.54</v>
      </c>
      <c r="I135" s="159"/>
    </row>
    <row r="136" spans="1:9" ht="21" customHeight="1">
      <c r="A136" s="160"/>
      <c r="B136" s="161" t="s">
        <v>3400</v>
      </c>
      <c r="C136" s="160">
        <v>-1</v>
      </c>
      <c r="D136" s="160">
        <v>1</v>
      </c>
      <c r="E136" s="162">
        <v>0.6</v>
      </c>
      <c r="F136" s="162" t="s">
        <v>1288</v>
      </c>
      <c r="G136" s="162">
        <v>0.6</v>
      </c>
      <c r="H136" s="162">
        <f t="shared" si="8"/>
        <v>-0.36</v>
      </c>
      <c r="I136" s="159"/>
    </row>
    <row r="137" spans="1:9" ht="21" customHeight="1">
      <c r="A137" s="160"/>
      <c r="B137" s="163" t="s">
        <v>3380</v>
      </c>
      <c r="C137" s="160"/>
      <c r="D137" s="160"/>
      <c r="E137" s="162"/>
      <c r="F137" s="162"/>
      <c r="G137" s="162"/>
      <c r="H137" s="162"/>
      <c r="I137" s="159"/>
    </row>
    <row r="138" spans="1:9" ht="21" customHeight="1">
      <c r="A138" s="160"/>
      <c r="B138" s="161" t="s">
        <v>3317</v>
      </c>
      <c r="C138" s="160">
        <v>1</v>
      </c>
      <c r="D138" s="160">
        <v>1</v>
      </c>
      <c r="E138" s="162">
        <v>2.4</v>
      </c>
      <c r="F138" s="162" t="s">
        <v>1288</v>
      </c>
      <c r="G138" s="162">
        <v>0.75</v>
      </c>
      <c r="H138" s="162">
        <f>PRODUCT(C138:G138)</f>
        <v>1.8</v>
      </c>
      <c r="I138" s="159"/>
    </row>
    <row r="139" spans="1:9" ht="21" customHeight="1">
      <c r="A139" s="160"/>
      <c r="B139" s="161" t="s">
        <v>3442</v>
      </c>
      <c r="C139" s="160">
        <v>1</v>
      </c>
      <c r="D139" s="160">
        <v>1</v>
      </c>
      <c r="E139" s="162">
        <v>12</v>
      </c>
      <c r="F139" s="162" t="s">
        <v>1288</v>
      </c>
      <c r="G139" s="162">
        <v>0.6</v>
      </c>
      <c r="H139" s="162">
        <f>PRODUCT(C139:G139)</f>
        <v>7.2</v>
      </c>
      <c r="I139" s="159"/>
    </row>
    <row r="140" spans="1:9" ht="21" customHeight="1">
      <c r="A140" s="160"/>
      <c r="B140" s="161" t="s">
        <v>3443</v>
      </c>
      <c r="C140" s="160">
        <v>1</v>
      </c>
      <c r="D140" s="160">
        <v>1</v>
      </c>
      <c r="E140" s="162">
        <v>9.23</v>
      </c>
      <c r="F140" s="162" t="s">
        <v>1288</v>
      </c>
      <c r="G140" s="162">
        <v>1.5</v>
      </c>
      <c r="H140" s="162">
        <f>PRODUCT(C140:G140)</f>
        <v>13.85</v>
      </c>
      <c r="I140" s="159"/>
    </row>
    <row r="141" spans="1:9" ht="21" customHeight="1">
      <c r="A141" s="160"/>
      <c r="B141" s="161" t="s">
        <v>3444</v>
      </c>
      <c r="C141" s="160">
        <v>1</v>
      </c>
      <c r="D141" s="160">
        <v>1</v>
      </c>
      <c r="E141" s="162">
        <v>9.23</v>
      </c>
      <c r="F141" s="162" t="s">
        <v>1288</v>
      </c>
      <c r="G141" s="162">
        <v>0.9</v>
      </c>
      <c r="H141" s="162">
        <f>PRODUCT(C141:G141)</f>
        <v>8.31</v>
      </c>
      <c r="I141" s="159"/>
    </row>
    <row r="142" spans="1:9" ht="21" customHeight="1">
      <c r="A142" s="160"/>
      <c r="B142" s="161" t="s">
        <v>3319</v>
      </c>
      <c r="C142" s="160">
        <v>1</v>
      </c>
      <c r="D142" s="160">
        <v>1</v>
      </c>
      <c r="E142" s="162">
        <v>8.9600000000000009</v>
      </c>
      <c r="F142" s="162" t="s">
        <v>1288</v>
      </c>
      <c r="G142" s="162">
        <v>4.2</v>
      </c>
      <c r="H142" s="162">
        <f>PRODUCT(C142:G142)</f>
        <v>37.630000000000003</v>
      </c>
      <c r="I142" s="159"/>
    </row>
    <row r="143" spans="1:9" ht="21" customHeight="1">
      <c r="A143" s="160"/>
      <c r="B143" s="161" t="s">
        <v>3320</v>
      </c>
      <c r="C143" s="160">
        <v>1</v>
      </c>
      <c r="D143" s="160">
        <v>3</v>
      </c>
      <c r="E143" s="162">
        <v>1.81</v>
      </c>
      <c r="F143" s="162">
        <v>0.45</v>
      </c>
      <c r="G143" s="162" t="s">
        <v>1288</v>
      </c>
      <c r="H143" s="162">
        <f t="shared" ref="H143:H144" si="9">PRODUCT(C143:G143)</f>
        <v>2.44</v>
      </c>
      <c r="I143" s="159"/>
    </row>
    <row r="144" spans="1:9" ht="21" customHeight="1">
      <c r="A144" s="160"/>
      <c r="B144" s="161" t="s">
        <v>3440</v>
      </c>
      <c r="C144" s="160">
        <v>1</v>
      </c>
      <c r="D144" s="160">
        <v>2</v>
      </c>
      <c r="E144" s="162">
        <v>2.4</v>
      </c>
      <c r="F144" s="162">
        <v>0.45</v>
      </c>
      <c r="G144" s="162" t="s">
        <v>1288</v>
      </c>
      <c r="H144" s="162">
        <f t="shared" si="9"/>
        <v>2.16</v>
      </c>
      <c r="I144" s="159"/>
    </row>
    <row r="145" spans="1:9" ht="21" customHeight="1">
      <c r="A145" s="160"/>
      <c r="B145" s="163" t="s">
        <v>3451</v>
      </c>
      <c r="C145" s="160"/>
      <c r="D145" s="160"/>
      <c r="E145" s="162"/>
      <c r="F145" s="162"/>
      <c r="G145" s="162"/>
      <c r="H145" s="162"/>
      <c r="I145" s="159"/>
    </row>
    <row r="146" spans="1:9" ht="21" customHeight="1">
      <c r="A146" s="160"/>
      <c r="B146" s="161" t="s">
        <v>3319</v>
      </c>
      <c r="C146" s="160">
        <v>1</v>
      </c>
      <c r="D146" s="160">
        <v>1</v>
      </c>
      <c r="E146" s="162">
        <v>13.02</v>
      </c>
      <c r="F146" s="162" t="s">
        <v>1288</v>
      </c>
      <c r="G146" s="162">
        <v>0.3</v>
      </c>
      <c r="H146" s="162">
        <f t="shared" ref="H146:H148" si="10">PRODUCT(C146:G146)</f>
        <v>3.91</v>
      </c>
      <c r="I146" s="159"/>
    </row>
    <row r="147" spans="1:9" ht="21" customHeight="1">
      <c r="A147" s="160"/>
      <c r="B147" s="161" t="s">
        <v>3452</v>
      </c>
      <c r="C147" s="160">
        <v>1</v>
      </c>
      <c r="D147" s="160">
        <v>2</v>
      </c>
      <c r="E147" s="162">
        <v>10.73</v>
      </c>
      <c r="F147" s="162" t="s">
        <v>1288</v>
      </c>
      <c r="G147" s="162">
        <v>0.3</v>
      </c>
      <c r="H147" s="162">
        <f t="shared" si="10"/>
        <v>6.44</v>
      </c>
      <c r="I147" s="159"/>
    </row>
    <row r="148" spans="1:9" ht="21" customHeight="1">
      <c r="A148" s="160"/>
      <c r="B148" s="161" t="s">
        <v>3453</v>
      </c>
      <c r="C148" s="160">
        <v>1</v>
      </c>
      <c r="D148" s="160">
        <v>1</v>
      </c>
      <c r="E148" s="162">
        <v>7.86</v>
      </c>
      <c r="F148" s="162" t="s">
        <v>1288</v>
      </c>
      <c r="G148" s="162">
        <v>0.3</v>
      </c>
      <c r="H148" s="162">
        <f t="shared" si="10"/>
        <v>2.36</v>
      </c>
      <c r="I148" s="159"/>
    </row>
    <row r="149" spans="1:9" ht="21" customHeight="1">
      <c r="A149" s="160"/>
      <c r="B149" s="161" t="s">
        <v>3449</v>
      </c>
      <c r="C149" s="160">
        <v>1</v>
      </c>
      <c r="D149" s="160">
        <v>1</v>
      </c>
      <c r="E149" s="162">
        <v>20</v>
      </c>
      <c r="F149" s="162">
        <v>0.12</v>
      </c>
      <c r="G149" s="162" t="s">
        <v>1288</v>
      </c>
      <c r="H149" s="162">
        <f>PRODUCT(C149:G149)</f>
        <v>2.4</v>
      </c>
      <c r="I149" s="159"/>
    </row>
    <row r="150" spans="1:9" ht="21" customHeight="1">
      <c r="A150" s="160"/>
      <c r="B150" s="163" t="s">
        <v>3305</v>
      </c>
      <c r="C150" s="160"/>
      <c r="D150" s="160"/>
      <c r="E150" s="162"/>
      <c r="F150" s="162"/>
      <c r="G150" s="162"/>
      <c r="H150" s="162"/>
      <c r="I150" s="159"/>
    </row>
    <row r="151" spans="1:9" ht="21" customHeight="1">
      <c r="A151" s="160"/>
      <c r="B151" s="161" t="s">
        <v>3320</v>
      </c>
      <c r="C151" s="160">
        <v>-1</v>
      </c>
      <c r="D151" s="160">
        <v>1</v>
      </c>
      <c r="E151" s="162">
        <v>1.35</v>
      </c>
      <c r="F151" s="162" t="s">
        <v>1288</v>
      </c>
      <c r="G151" s="162">
        <v>1.35</v>
      </c>
      <c r="H151" s="162">
        <f t="shared" ref="H151:H154" si="11">PRODUCT(C151:G151)</f>
        <v>-1.82</v>
      </c>
      <c r="I151" s="159"/>
    </row>
    <row r="152" spans="1:9" ht="21" customHeight="1">
      <c r="A152" s="160"/>
      <c r="B152" s="161" t="s">
        <v>3322</v>
      </c>
      <c r="C152" s="160">
        <v>-1</v>
      </c>
      <c r="D152" s="160">
        <v>2</v>
      </c>
      <c r="E152" s="162">
        <v>0.9</v>
      </c>
      <c r="F152" s="162" t="s">
        <v>1288</v>
      </c>
      <c r="G152" s="162">
        <v>0.6</v>
      </c>
      <c r="H152" s="162">
        <f t="shared" si="11"/>
        <v>-1.08</v>
      </c>
      <c r="I152" s="159"/>
    </row>
    <row r="153" spans="1:9" ht="21" customHeight="1">
      <c r="A153" s="160"/>
      <c r="B153" s="161" t="s">
        <v>3321</v>
      </c>
      <c r="C153" s="160">
        <v>-1</v>
      </c>
      <c r="D153" s="160">
        <v>1</v>
      </c>
      <c r="E153" s="162">
        <v>0.9</v>
      </c>
      <c r="F153" s="162" t="s">
        <v>1288</v>
      </c>
      <c r="G153" s="162">
        <v>0.6</v>
      </c>
      <c r="H153" s="162">
        <f t="shared" si="11"/>
        <v>-0.54</v>
      </c>
      <c r="I153" s="159"/>
    </row>
    <row r="154" spans="1:9" ht="21" customHeight="1">
      <c r="A154" s="160"/>
      <c r="B154" s="161" t="s">
        <v>3400</v>
      </c>
      <c r="C154" s="160">
        <v>-1</v>
      </c>
      <c r="D154" s="160">
        <v>1</v>
      </c>
      <c r="E154" s="162">
        <v>0.6</v>
      </c>
      <c r="F154" s="162" t="s">
        <v>1288</v>
      </c>
      <c r="G154" s="162">
        <v>0.6</v>
      </c>
      <c r="H154" s="162">
        <f t="shared" si="11"/>
        <v>-0.36</v>
      </c>
      <c r="I154" s="159"/>
    </row>
    <row r="155" spans="1:9" ht="21" customHeight="1">
      <c r="A155" s="160"/>
      <c r="B155" s="161"/>
      <c r="C155" s="160"/>
      <c r="D155" s="160"/>
      <c r="E155" s="162"/>
      <c r="F155" s="162"/>
      <c r="G155" s="159" t="s">
        <v>1827</v>
      </c>
      <c r="H155" s="159">
        <f>SUM(H119:H154)</f>
        <v>125.79</v>
      </c>
      <c r="I155" s="159"/>
    </row>
    <row r="156" spans="1:9" ht="21" customHeight="1">
      <c r="A156" s="160"/>
      <c r="B156" s="161"/>
      <c r="C156" s="160"/>
      <c r="D156" s="160"/>
      <c r="E156" s="162"/>
      <c r="F156" s="162"/>
      <c r="G156" s="159" t="s">
        <v>2560</v>
      </c>
      <c r="H156" s="159">
        <f>ROUNDUP(H155,1)</f>
        <v>125.8</v>
      </c>
      <c r="I156" s="159" t="s">
        <v>488</v>
      </c>
    </row>
    <row r="157" spans="1:9" ht="36">
      <c r="A157" s="160">
        <f>A117+1</f>
        <v>11</v>
      </c>
      <c r="B157" s="161" t="str">
        <f>'[11]Building (2)'!B343</f>
        <v>Spl. Ceiling plastering in C.M. 1:3, 10 mm tk.</v>
      </c>
      <c r="C157" s="160"/>
      <c r="D157" s="160"/>
      <c r="E157" s="162"/>
      <c r="F157" s="162"/>
      <c r="G157" s="162"/>
      <c r="H157" s="162"/>
      <c r="I157" s="159"/>
    </row>
    <row r="158" spans="1:9" ht="21" customHeight="1">
      <c r="A158" s="160"/>
      <c r="B158" s="163" t="s">
        <v>3314</v>
      </c>
      <c r="C158" s="160"/>
      <c r="D158" s="160"/>
      <c r="E158" s="162"/>
      <c r="F158" s="162"/>
      <c r="G158" s="162"/>
      <c r="H158" s="162"/>
      <c r="I158" s="159"/>
    </row>
    <row r="159" spans="1:9" ht="21" customHeight="1">
      <c r="A159" s="160"/>
      <c r="B159" s="163" t="s">
        <v>3377</v>
      </c>
      <c r="C159" s="160"/>
      <c r="D159" s="160"/>
      <c r="E159" s="162"/>
      <c r="F159" s="162"/>
      <c r="G159" s="162"/>
      <c r="H159" s="162"/>
      <c r="I159" s="159"/>
    </row>
    <row r="160" spans="1:9" ht="21" customHeight="1">
      <c r="A160" s="160"/>
      <c r="B160" s="161" t="s">
        <v>3317</v>
      </c>
      <c r="C160" s="160">
        <v>1</v>
      </c>
      <c r="D160" s="160">
        <v>1</v>
      </c>
      <c r="E160" s="162">
        <v>2.4</v>
      </c>
      <c r="F160" s="162">
        <v>4.45</v>
      </c>
      <c r="G160" s="162" t="s">
        <v>1288</v>
      </c>
      <c r="H160" s="162">
        <f>PRODUCT(C160:G160)</f>
        <v>10.68</v>
      </c>
      <c r="I160" s="159"/>
    </row>
    <row r="161" spans="1:9" ht="21" customHeight="1">
      <c r="A161" s="160"/>
      <c r="B161" s="161" t="s">
        <v>3369</v>
      </c>
      <c r="C161" s="160">
        <v>1</v>
      </c>
      <c r="D161" s="160">
        <v>1</v>
      </c>
      <c r="E161" s="162">
        <v>3.47</v>
      </c>
      <c r="F161" s="162">
        <v>1.5</v>
      </c>
      <c r="G161" s="162" t="s">
        <v>1288</v>
      </c>
      <c r="H161" s="162">
        <f>PRODUCT(C161:G161)</f>
        <v>5.21</v>
      </c>
      <c r="I161" s="159"/>
    </row>
    <row r="162" spans="1:9" ht="21" customHeight="1">
      <c r="A162" s="160"/>
      <c r="B162" s="161" t="s">
        <v>3370</v>
      </c>
      <c r="C162" s="160">
        <v>1</v>
      </c>
      <c r="D162" s="160">
        <v>1</v>
      </c>
      <c r="E162" s="162">
        <v>2.4</v>
      </c>
      <c r="F162" s="162">
        <v>1.5</v>
      </c>
      <c r="G162" s="162" t="s">
        <v>1288</v>
      </c>
      <c r="H162" s="162">
        <f>PRODUCT(C162:G162)</f>
        <v>3.6</v>
      </c>
      <c r="I162" s="159"/>
    </row>
    <row r="163" spans="1:9" ht="21" customHeight="1">
      <c r="A163" s="160"/>
      <c r="B163" s="161" t="s">
        <v>3371</v>
      </c>
      <c r="C163" s="160">
        <v>1</v>
      </c>
      <c r="D163" s="160">
        <v>1</v>
      </c>
      <c r="E163" s="162">
        <v>1.2</v>
      </c>
      <c r="F163" s="162">
        <v>0.9</v>
      </c>
      <c r="G163" s="162" t="s">
        <v>1288</v>
      </c>
      <c r="H163" s="162">
        <f t="shared" ref="H163:H170" si="12">PRODUCT(C163:G163)</f>
        <v>1.08</v>
      </c>
      <c r="I163" s="159"/>
    </row>
    <row r="164" spans="1:9" ht="21" customHeight="1">
      <c r="A164" s="160"/>
      <c r="B164" s="161" t="s">
        <v>3372</v>
      </c>
      <c r="C164" s="160">
        <v>1</v>
      </c>
      <c r="D164" s="160">
        <v>1</v>
      </c>
      <c r="E164" s="162">
        <v>3.93</v>
      </c>
      <c r="F164" s="162">
        <v>0.9</v>
      </c>
      <c r="G164" s="162" t="s">
        <v>1288</v>
      </c>
      <c r="H164" s="162">
        <f t="shared" si="12"/>
        <v>3.54</v>
      </c>
      <c r="I164" s="159"/>
    </row>
    <row r="165" spans="1:9" ht="21" customHeight="1">
      <c r="A165" s="160"/>
      <c r="B165" s="161" t="s">
        <v>3373</v>
      </c>
      <c r="C165" s="160">
        <v>1</v>
      </c>
      <c r="D165" s="160">
        <v>1</v>
      </c>
      <c r="E165" s="162">
        <v>1.5</v>
      </c>
      <c r="F165" s="162">
        <v>0.9</v>
      </c>
      <c r="G165" s="162" t="s">
        <v>1288</v>
      </c>
      <c r="H165" s="162">
        <f t="shared" si="12"/>
        <v>1.35</v>
      </c>
      <c r="I165" s="159"/>
    </row>
    <row r="166" spans="1:9" ht="21" customHeight="1">
      <c r="A166" s="160"/>
      <c r="B166" s="161" t="s">
        <v>3374</v>
      </c>
      <c r="C166" s="160">
        <v>1</v>
      </c>
      <c r="D166" s="160">
        <v>1</v>
      </c>
      <c r="E166" s="162">
        <v>1.5</v>
      </c>
      <c r="F166" s="162">
        <v>0.6</v>
      </c>
      <c r="G166" s="162" t="s">
        <v>1288</v>
      </c>
      <c r="H166" s="162">
        <f t="shared" si="12"/>
        <v>0.9</v>
      </c>
      <c r="I166" s="159"/>
    </row>
    <row r="167" spans="1:9" ht="21" customHeight="1">
      <c r="A167" s="160"/>
      <c r="B167" s="161" t="s">
        <v>3315</v>
      </c>
      <c r="C167" s="160">
        <v>1</v>
      </c>
      <c r="D167" s="160">
        <v>1</v>
      </c>
      <c r="E167" s="162">
        <v>2.16</v>
      </c>
      <c r="F167" s="162">
        <v>0.75</v>
      </c>
      <c r="G167" s="162" t="s">
        <v>1288</v>
      </c>
      <c r="H167" s="162">
        <f t="shared" si="12"/>
        <v>1.62</v>
      </c>
      <c r="I167" s="159"/>
    </row>
    <row r="168" spans="1:9" ht="21" customHeight="1">
      <c r="A168" s="160"/>
      <c r="B168" s="161" t="s">
        <v>3375</v>
      </c>
      <c r="C168" s="160">
        <v>1</v>
      </c>
      <c r="D168" s="160">
        <v>1</v>
      </c>
      <c r="E168" s="162">
        <v>2.4</v>
      </c>
      <c r="F168" s="162">
        <v>0.75</v>
      </c>
      <c r="G168" s="162" t="s">
        <v>1288</v>
      </c>
      <c r="H168" s="162">
        <f t="shared" si="12"/>
        <v>1.8</v>
      </c>
      <c r="I168" s="159"/>
    </row>
    <row r="169" spans="1:9" ht="21" customHeight="1">
      <c r="A169" s="160"/>
      <c r="B169" s="161" t="s">
        <v>3439</v>
      </c>
      <c r="C169" s="160">
        <v>1</v>
      </c>
      <c r="D169" s="160">
        <v>2</v>
      </c>
      <c r="E169" s="162">
        <v>1.1399999999999999</v>
      </c>
      <c r="F169" s="162">
        <v>0.6</v>
      </c>
      <c r="G169" s="162" t="s">
        <v>1288</v>
      </c>
      <c r="H169" s="162">
        <f t="shared" si="12"/>
        <v>1.37</v>
      </c>
      <c r="I169" s="159"/>
    </row>
    <row r="170" spans="1:9" ht="21" customHeight="1">
      <c r="A170" s="160"/>
      <c r="B170" s="161" t="s">
        <v>3295</v>
      </c>
      <c r="C170" s="160">
        <v>1</v>
      </c>
      <c r="D170" s="160">
        <v>1</v>
      </c>
      <c r="E170" s="162">
        <v>3.93</v>
      </c>
      <c r="F170" s="162">
        <v>0.6</v>
      </c>
      <c r="G170" s="162" t="s">
        <v>1288</v>
      </c>
      <c r="H170" s="162">
        <f t="shared" si="12"/>
        <v>2.36</v>
      </c>
      <c r="I170" s="159"/>
    </row>
    <row r="171" spans="1:9" ht="21" customHeight="1">
      <c r="A171" s="160"/>
      <c r="B171" s="163" t="s">
        <v>3380</v>
      </c>
      <c r="C171" s="160"/>
      <c r="D171" s="160"/>
      <c r="E171" s="162"/>
      <c r="F171" s="162"/>
      <c r="G171" s="162"/>
      <c r="H171" s="162"/>
      <c r="I171" s="159"/>
    </row>
    <row r="172" spans="1:9" ht="21" customHeight="1">
      <c r="A172" s="160"/>
      <c r="B172" s="161" t="s">
        <v>3320</v>
      </c>
      <c r="C172" s="160">
        <v>1</v>
      </c>
      <c r="D172" s="160">
        <v>3</v>
      </c>
      <c r="E172" s="162">
        <v>1.81</v>
      </c>
      <c r="F172" s="162">
        <v>0.45</v>
      </c>
      <c r="G172" s="162" t="s">
        <v>1288</v>
      </c>
      <c r="H172" s="162">
        <f t="shared" ref="H172:H173" si="13">PRODUCT(C172:G172)</f>
        <v>2.44</v>
      </c>
      <c r="I172" s="159"/>
    </row>
    <row r="173" spans="1:9" ht="21" customHeight="1">
      <c r="A173" s="160"/>
      <c r="B173" s="161" t="s">
        <v>3440</v>
      </c>
      <c r="C173" s="160">
        <v>1</v>
      </c>
      <c r="D173" s="160">
        <v>2</v>
      </c>
      <c r="E173" s="162">
        <v>2.4</v>
      </c>
      <c r="F173" s="162">
        <v>0.45</v>
      </c>
      <c r="G173" s="162" t="s">
        <v>1288</v>
      </c>
      <c r="H173" s="162">
        <f t="shared" si="13"/>
        <v>2.16</v>
      </c>
      <c r="I173" s="159"/>
    </row>
    <row r="174" spans="1:9" ht="21" customHeight="1">
      <c r="A174" s="160"/>
      <c r="B174" s="161"/>
      <c r="C174" s="160"/>
      <c r="D174" s="160"/>
      <c r="E174" s="162"/>
      <c r="F174" s="162"/>
      <c r="G174" s="159" t="s">
        <v>1827</v>
      </c>
      <c r="H174" s="159">
        <f>SUM(H158:H173)</f>
        <v>38.11</v>
      </c>
      <c r="I174" s="159"/>
    </row>
    <row r="175" spans="1:9" ht="21" customHeight="1">
      <c r="A175" s="160"/>
      <c r="B175" s="161"/>
      <c r="C175" s="160"/>
      <c r="D175" s="160"/>
      <c r="E175" s="162"/>
      <c r="F175" s="162"/>
      <c r="G175" s="159" t="s">
        <v>2560</v>
      </c>
      <c r="H175" s="159">
        <f>ROUNDUP(H174,1)</f>
        <v>38.200000000000003</v>
      </c>
      <c r="I175" s="159" t="s">
        <v>488</v>
      </c>
    </row>
    <row r="176" spans="1:9" ht="24" customHeight="1">
      <c r="A176" s="160">
        <f>A157+1</f>
        <v>12</v>
      </c>
      <c r="B176" s="161" t="str">
        <f>'[11]Building (2)'!B348</f>
        <v>White washing 3 coats  (slaked)</v>
      </c>
      <c r="C176" s="160"/>
      <c r="D176" s="160"/>
      <c r="E176" s="162"/>
      <c r="F176" s="162"/>
      <c r="G176" s="162"/>
      <c r="H176" s="162"/>
      <c r="I176" s="159"/>
    </row>
    <row r="177" spans="1:9" ht="21" customHeight="1">
      <c r="A177" s="160"/>
      <c r="B177" s="163" t="s">
        <v>3314</v>
      </c>
      <c r="C177" s="160"/>
      <c r="D177" s="160"/>
      <c r="E177" s="162"/>
      <c r="F177" s="162"/>
      <c r="G177" s="162"/>
      <c r="H177" s="162"/>
      <c r="I177" s="159"/>
    </row>
    <row r="178" spans="1:9" ht="21" customHeight="1">
      <c r="A178" s="160"/>
      <c r="B178" s="161" t="s">
        <v>3317</v>
      </c>
      <c r="C178" s="160">
        <v>1</v>
      </c>
      <c r="D178" s="160">
        <v>1</v>
      </c>
      <c r="E178" s="162">
        <v>2.4</v>
      </c>
      <c r="F178" s="162">
        <v>4.45</v>
      </c>
      <c r="G178" s="162" t="s">
        <v>1288</v>
      </c>
      <c r="H178" s="162">
        <f>PRODUCT(C178:G178)</f>
        <v>10.68</v>
      </c>
      <c r="I178" s="159"/>
    </row>
    <row r="179" spans="1:9" ht="21" customHeight="1">
      <c r="A179" s="160"/>
      <c r="B179" s="161" t="s">
        <v>3369</v>
      </c>
      <c r="C179" s="160">
        <v>1</v>
      </c>
      <c r="D179" s="160">
        <v>1</v>
      </c>
      <c r="E179" s="162">
        <v>3.47</v>
      </c>
      <c r="F179" s="162">
        <v>1.5</v>
      </c>
      <c r="G179" s="162" t="s">
        <v>1288</v>
      </c>
      <c r="H179" s="162">
        <f>PRODUCT(C179:G179)</f>
        <v>5.21</v>
      </c>
      <c r="I179" s="159"/>
    </row>
    <row r="180" spans="1:9" ht="21" customHeight="1">
      <c r="A180" s="160"/>
      <c r="B180" s="161" t="s">
        <v>3370</v>
      </c>
      <c r="C180" s="160">
        <v>1</v>
      </c>
      <c r="D180" s="160">
        <v>1</v>
      </c>
      <c r="E180" s="162">
        <v>2.4</v>
      </c>
      <c r="F180" s="162">
        <v>1.5</v>
      </c>
      <c r="G180" s="162" t="s">
        <v>1288</v>
      </c>
      <c r="H180" s="162">
        <f>PRODUCT(C180:G180)</f>
        <v>3.6</v>
      </c>
      <c r="I180" s="159"/>
    </row>
    <row r="181" spans="1:9" ht="21" customHeight="1">
      <c r="A181" s="160"/>
      <c r="B181" s="161" t="s">
        <v>3371</v>
      </c>
      <c r="C181" s="160">
        <v>1</v>
      </c>
      <c r="D181" s="160">
        <v>1</v>
      </c>
      <c r="E181" s="162">
        <v>1.2</v>
      </c>
      <c r="F181" s="162">
        <v>0.9</v>
      </c>
      <c r="G181" s="162" t="s">
        <v>1288</v>
      </c>
      <c r="H181" s="162">
        <f t="shared" ref="H181:H188" si="14">PRODUCT(C181:G181)</f>
        <v>1.08</v>
      </c>
      <c r="I181" s="159"/>
    </row>
    <row r="182" spans="1:9" ht="21" customHeight="1">
      <c r="A182" s="160"/>
      <c r="B182" s="161" t="s">
        <v>3372</v>
      </c>
      <c r="C182" s="160">
        <v>1</v>
      </c>
      <c r="D182" s="160">
        <v>1</v>
      </c>
      <c r="E182" s="162">
        <v>3.93</v>
      </c>
      <c r="F182" s="162">
        <v>0.9</v>
      </c>
      <c r="G182" s="162" t="s">
        <v>1288</v>
      </c>
      <c r="H182" s="162">
        <f t="shared" si="14"/>
        <v>3.54</v>
      </c>
      <c r="I182" s="159"/>
    </row>
    <row r="183" spans="1:9" ht="21" customHeight="1">
      <c r="A183" s="160"/>
      <c r="B183" s="161" t="s">
        <v>3373</v>
      </c>
      <c r="C183" s="160">
        <v>1</v>
      </c>
      <c r="D183" s="160">
        <v>1</v>
      </c>
      <c r="E183" s="162">
        <v>1.5</v>
      </c>
      <c r="F183" s="162">
        <v>0.9</v>
      </c>
      <c r="G183" s="162" t="s">
        <v>1288</v>
      </c>
      <c r="H183" s="162">
        <f t="shared" si="14"/>
        <v>1.35</v>
      </c>
      <c r="I183" s="159"/>
    </row>
    <row r="184" spans="1:9" ht="21" customHeight="1">
      <c r="A184" s="160"/>
      <c r="B184" s="161" t="s">
        <v>3374</v>
      </c>
      <c r="C184" s="160">
        <v>1</v>
      </c>
      <c r="D184" s="160">
        <v>1</v>
      </c>
      <c r="E184" s="162">
        <v>1.5</v>
      </c>
      <c r="F184" s="162">
        <v>0.6</v>
      </c>
      <c r="G184" s="162" t="s">
        <v>1288</v>
      </c>
      <c r="H184" s="162">
        <f t="shared" si="14"/>
        <v>0.9</v>
      </c>
      <c r="I184" s="159"/>
    </row>
    <row r="185" spans="1:9" ht="21" customHeight="1">
      <c r="A185" s="160"/>
      <c r="B185" s="161" t="s">
        <v>3315</v>
      </c>
      <c r="C185" s="160">
        <v>1</v>
      </c>
      <c r="D185" s="160">
        <v>1</v>
      </c>
      <c r="E185" s="162">
        <v>2.16</v>
      </c>
      <c r="F185" s="162">
        <v>0.75</v>
      </c>
      <c r="G185" s="162" t="s">
        <v>1288</v>
      </c>
      <c r="H185" s="162">
        <f t="shared" si="14"/>
        <v>1.62</v>
      </c>
      <c r="I185" s="159"/>
    </row>
    <row r="186" spans="1:9" ht="21" customHeight="1">
      <c r="A186" s="160"/>
      <c r="B186" s="161" t="s">
        <v>3375</v>
      </c>
      <c r="C186" s="160">
        <v>1</v>
      </c>
      <c r="D186" s="160">
        <v>1</v>
      </c>
      <c r="E186" s="162">
        <v>2.4</v>
      </c>
      <c r="F186" s="162">
        <v>0.75</v>
      </c>
      <c r="G186" s="162" t="s">
        <v>1288</v>
      </c>
      <c r="H186" s="162">
        <f t="shared" si="14"/>
        <v>1.8</v>
      </c>
      <c r="I186" s="159"/>
    </row>
    <row r="187" spans="1:9" ht="21" customHeight="1">
      <c r="A187" s="160"/>
      <c r="B187" s="161" t="s">
        <v>3439</v>
      </c>
      <c r="C187" s="160">
        <v>1</v>
      </c>
      <c r="D187" s="160">
        <v>2</v>
      </c>
      <c r="E187" s="162">
        <v>1.1399999999999999</v>
      </c>
      <c r="F187" s="162">
        <v>0.6</v>
      </c>
      <c r="G187" s="162" t="s">
        <v>1288</v>
      </c>
      <c r="H187" s="162">
        <f t="shared" si="14"/>
        <v>1.37</v>
      </c>
      <c r="I187" s="159"/>
    </row>
    <row r="188" spans="1:9" ht="21" customHeight="1">
      <c r="A188" s="160"/>
      <c r="B188" s="161" t="s">
        <v>3295</v>
      </c>
      <c r="C188" s="160">
        <v>1</v>
      </c>
      <c r="D188" s="160">
        <v>1</v>
      </c>
      <c r="E188" s="162">
        <v>3.93</v>
      </c>
      <c r="F188" s="162">
        <v>0.6</v>
      </c>
      <c r="G188" s="162" t="s">
        <v>1288</v>
      </c>
      <c r="H188" s="162">
        <f t="shared" si="14"/>
        <v>2.36</v>
      </c>
      <c r="I188" s="159"/>
    </row>
    <row r="189" spans="1:9" ht="21" customHeight="1">
      <c r="A189" s="160"/>
      <c r="B189" s="161"/>
      <c r="C189" s="160"/>
      <c r="D189" s="160"/>
      <c r="E189" s="162"/>
      <c r="F189" s="162"/>
      <c r="G189" s="159" t="s">
        <v>1827</v>
      </c>
      <c r="H189" s="159">
        <f>SUM(H178:H188)</f>
        <v>33.51</v>
      </c>
      <c r="I189" s="159"/>
    </row>
    <row r="190" spans="1:9" ht="21" customHeight="1">
      <c r="A190" s="160"/>
      <c r="B190" s="161"/>
      <c r="C190" s="160"/>
      <c r="D190" s="160"/>
      <c r="E190" s="162"/>
      <c r="F190" s="162"/>
      <c r="G190" s="159" t="s">
        <v>2560</v>
      </c>
      <c r="H190" s="159">
        <f>ROUNDUP(H189,1)</f>
        <v>33.6</v>
      </c>
      <c r="I190" s="159" t="s">
        <v>488</v>
      </c>
    </row>
    <row r="191" spans="1:9" ht="36">
      <c r="A191" s="160">
        <f>A176+1</f>
        <v>13</v>
      </c>
      <c r="B191" s="161" t="str">
        <f>'[11]Building (2)'!B657</f>
        <v>One coat white cement for new walls and other similar works.</v>
      </c>
      <c r="C191" s="160"/>
      <c r="D191" s="160"/>
      <c r="E191" s="162"/>
      <c r="F191" s="162"/>
      <c r="G191" s="162"/>
      <c r="H191" s="162"/>
      <c r="I191" s="159"/>
    </row>
    <row r="192" spans="1:9" ht="21" customHeight="1">
      <c r="A192" s="160"/>
      <c r="B192" s="163" t="s">
        <v>3377</v>
      </c>
      <c r="C192" s="160"/>
      <c r="D192" s="160"/>
      <c r="E192" s="162"/>
      <c r="F192" s="162"/>
      <c r="G192" s="162"/>
      <c r="H192" s="162"/>
      <c r="I192" s="159"/>
    </row>
    <row r="193" spans="1:9" ht="21" customHeight="1">
      <c r="A193" s="160"/>
      <c r="B193" s="161" t="s">
        <v>3317</v>
      </c>
      <c r="C193" s="160">
        <v>1</v>
      </c>
      <c r="D193" s="160">
        <v>2</v>
      </c>
      <c r="E193" s="162">
        <v>4.32</v>
      </c>
      <c r="F193" s="162" t="s">
        <v>1288</v>
      </c>
      <c r="G193" s="162">
        <v>0.6</v>
      </c>
      <c r="H193" s="162">
        <f t="shared" ref="H193:H205" si="15">PRODUCT(C193:G193)</f>
        <v>5.18</v>
      </c>
      <c r="I193" s="159"/>
    </row>
    <row r="194" spans="1:9" ht="21" customHeight="1">
      <c r="A194" s="160"/>
      <c r="B194" s="161" t="s">
        <v>3378</v>
      </c>
      <c r="C194" s="160">
        <v>1</v>
      </c>
      <c r="D194" s="160">
        <v>1</v>
      </c>
      <c r="E194" s="162">
        <v>1.5</v>
      </c>
      <c r="F194" s="162" t="s">
        <v>1288</v>
      </c>
      <c r="G194" s="162">
        <v>0.75</v>
      </c>
      <c r="H194" s="162">
        <f t="shared" si="15"/>
        <v>1.1299999999999999</v>
      </c>
      <c r="I194" s="159"/>
    </row>
    <row r="195" spans="1:9" ht="21" customHeight="1">
      <c r="A195" s="160"/>
      <c r="B195" s="161" t="s">
        <v>3374</v>
      </c>
      <c r="C195" s="160">
        <v>1</v>
      </c>
      <c r="D195" s="160">
        <v>1</v>
      </c>
      <c r="E195" s="162">
        <v>2</v>
      </c>
      <c r="F195" s="162" t="s">
        <v>1288</v>
      </c>
      <c r="G195" s="162">
        <v>0.6</v>
      </c>
      <c r="H195" s="162">
        <f t="shared" si="15"/>
        <v>1.2</v>
      </c>
      <c r="I195" s="159"/>
    </row>
    <row r="196" spans="1:9" ht="21" customHeight="1">
      <c r="A196" s="160"/>
      <c r="B196" s="161" t="s">
        <v>3369</v>
      </c>
      <c r="C196" s="160">
        <v>1</v>
      </c>
      <c r="D196" s="160">
        <v>1</v>
      </c>
      <c r="E196" s="162">
        <v>3.47</v>
      </c>
      <c r="F196" s="162" t="s">
        <v>1288</v>
      </c>
      <c r="G196" s="162">
        <v>3</v>
      </c>
      <c r="H196" s="162">
        <f t="shared" si="15"/>
        <v>10.41</v>
      </c>
      <c r="I196" s="159"/>
    </row>
    <row r="197" spans="1:9" ht="21" customHeight="1">
      <c r="A197" s="160"/>
      <c r="B197" s="161" t="s">
        <v>3379</v>
      </c>
      <c r="C197" s="160">
        <v>1</v>
      </c>
      <c r="D197" s="160">
        <v>1</v>
      </c>
      <c r="E197" s="162">
        <v>2.4</v>
      </c>
      <c r="F197" s="162" t="s">
        <v>1288</v>
      </c>
      <c r="G197" s="162">
        <v>2.1</v>
      </c>
      <c r="H197" s="162">
        <f t="shared" si="15"/>
        <v>5.04</v>
      </c>
      <c r="I197" s="159"/>
    </row>
    <row r="198" spans="1:9" ht="21" customHeight="1">
      <c r="A198" s="160"/>
      <c r="B198" s="161" t="s">
        <v>3372</v>
      </c>
      <c r="C198" s="160">
        <v>1</v>
      </c>
      <c r="D198" s="160">
        <v>1</v>
      </c>
      <c r="E198" s="162">
        <v>3.93</v>
      </c>
      <c r="F198" s="162" t="s">
        <v>1288</v>
      </c>
      <c r="G198" s="162">
        <v>1.5</v>
      </c>
      <c r="H198" s="162">
        <f t="shared" si="15"/>
        <v>5.9</v>
      </c>
      <c r="I198" s="159"/>
    </row>
    <row r="199" spans="1:9" ht="21" customHeight="1">
      <c r="A199" s="160"/>
      <c r="B199" s="161" t="s">
        <v>3439</v>
      </c>
      <c r="C199" s="160">
        <v>1</v>
      </c>
      <c r="D199" s="160">
        <v>2</v>
      </c>
      <c r="E199" s="162">
        <v>1.1399999999999999</v>
      </c>
      <c r="F199" s="162" t="s">
        <v>1288</v>
      </c>
      <c r="G199" s="162">
        <v>0.6</v>
      </c>
      <c r="H199" s="162">
        <f t="shared" si="15"/>
        <v>1.37</v>
      </c>
      <c r="I199" s="159"/>
    </row>
    <row r="200" spans="1:9" ht="21" customHeight="1">
      <c r="A200" s="160"/>
      <c r="B200" s="161" t="s">
        <v>3371</v>
      </c>
      <c r="C200" s="160">
        <v>1</v>
      </c>
      <c r="D200" s="160">
        <v>1</v>
      </c>
      <c r="E200" s="162">
        <v>3.93</v>
      </c>
      <c r="F200" s="162" t="s">
        <v>1288</v>
      </c>
      <c r="G200" s="162">
        <v>0.6</v>
      </c>
      <c r="H200" s="162">
        <f t="shared" si="15"/>
        <v>2.36</v>
      </c>
      <c r="I200" s="159"/>
    </row>
    <row r="201" spans="1:9" ht="21" customHeight="1">
      <c r="A201" s="160"/>
      <c r="B201" s="161" t="s">
        <v>3295</v>
      </c>
      <c r="C201" s="160">
        <v>1</v>
      </c>
      <c r="D201" s="160">
        <v>1</v>
      </c>
      <c r="E201" s="162">
        <v>3.93</v>
      </c>
      <c r="F201" s="162" t="s">
        <v>1288</v>
      </c>
      <c r="G201" s="162">
        <v>0.6</v>
      </c>
      <c r="H201" s="162">
        <f t="shared" si="15"/>
        <v>2.36</v>
      </c>
      <c r="I201" s="159"/>
    </row>
    <row r="202" spans="1:9" ht="21" customHeight="1">
      <c r="A202" s="160"/>
      <c r="B202" s="161" t="s">
        <v>3441</v>
      </c>
      <c r="C202" s="160">
        <v>1</v>
      </c>
      <c r="D202" s="160">
        <v>1</v>
      </c>
      <c r="E202" s="162">
        <v>2.77</v>
      </c>
      <c r="F202" s="162" t="s">
        <v>1288</v>
      </c>
      <c r="G202" s="162">
        <v>0.6</v>
      </c>
      <c r="H202" s="162">
        <f t="shared" si="15"/>
        <v>1.66</v>
      </c>
      <c r="I202" s="159"/>
    </row>
    <row r="203" spans="1:9" ht="21" customHeight="1">
      <c r="A203" s="160"/>
      <c r="B203" s="161" t="s">
        <v>3344</v>
      </c>
      <c r="C203" s="160">
        <v>1</v>
      </c>
      <c r="D203" s="160">
        <v>1</v>
      </c>
      <c r="E203" s="162">
        <v>2.77</v>
      </c>
      <c r="F203" s="162" t="s">
        <v>1288</v>
      </c>
      <c r="G203" s="162">
        <v>0.6</v>
      </c>
      <c r="H203" s="162">
        <f t="shared" si="15"/>
        <v>1.66</v>
      </c>
      <c r="I203" s="159"/>
    </row>
    <row r="204" spans="1:9" ht="21" customHeight="1">
      <c r="A204" s="160"/>
      <c r="B204" s="161" t="s">
        <v>3385</v>
      </c>
      <c r="C204" s="160">
        <v>1</v>
      </c>
      <c r="D204" s="160">
        <v>1</v>
      </c>
      <c r="E204" s="162">
        <v>2.4</v>
      </c>
      <c r="F204" s="162" t="s">
        <v>1288</v>
      </c>
      <c r="G204" s="162">
        <v>1.5</v>
      </c>
      <c r="H204" s="162">
        <f t="shared" si="15"/>
        <v>3.6</v>
      </c>
      <c r="I204" s="159"/>
    </row>
    <row r="205" spans="1:9" ht="21" customHeight="1">
      <c r="A205" s="160"/>
      <c r="B205" s="161" t="s">
        <v>3315</v>
      </c>
      <c r="C205" s="160">
        <v>1</v>
      </c>
      <c r="D205" s="160">
        <v>1</v>
      </c>
      <c r="E205" s="162">
        <v>2.16</v>
      </c>
      <c r="F205" s="162" t="s">
        <v>1288</v>
      </c>
      <c r="G205" s="162">
        <v>0.9</v>
      </c>
      <c r="H205" s="162">
        <f t="shared" si="15"/>
        <v>1.94</v>
      </c>
      <c r="I205" s="159"/>
    </row>
    <row r="206" spans="1:9" ht="21" customHeight="1">
      <c r="A206" s="160"/>
      <c r="B206" s="163" t="s">
        <v>3305</v>
      </c>
      <c r="C206" s="160"/>
      <c r="D206" s="160"/>
      <c r="E206" s="162"/>
      <c r="F206" s="162"/>
      <c r="G206" s="162"/>
      <c r="H206" s="162"/>
      <c r="I206" s="159"/>
    </row>
    <row r="207" spans="1:9" ht="21" customHeight="1">
      <c r="A207" s="160"/>
      <c r="B207" s="161" t="s">
        <v>3320</v>
      </c>
      <c r="C207" s="160">
        <v>-1</v>
      </c>
      <c r="D207" s="160">
        <v>1</v>
      </c>
      <c r="E207" s="162">
        <v>1.35</v>
      </c>
      <c r="F207" s="162" t="s">
        <v>1288</v>
      </c>
      <c r="G207" s="162">
        <v>1.35</v>
      </c>
      <c r="H207" s="162">
        <f t="shared" ref="H207:H209" si="16">PRODUCT(C207:G207)</f>
        <v>-1.82</v>
      </c>
      <c r="I207" s="159"/>
    </row>
    <row r="208" spans="1:9" ht="21" customHeight="1">
      <c r="A208" s="160"/>
      <c r="B208" s="161" t="s">
        <v>3321</v>
      </c>
      <c r="C208" s="160">
        <v>-1</v>
      </c>
      <c r="D208" s="160">
        <v>1</v>
      </c>
      <c r="E208" s="162">
        <v>0.9</v>
      </c>
      <c r="F208" s="162" t="s">
        <v>1288</v>
      </c>
      <c r="G208" s="162">
        <v>0.6</v>
      </c>
      <c r="H208" s="162">
        <f t="shared" si="16"/>
        <v>-0.54</v>
      </c>
      <c r="I208" s="159"/>
    </row>
    <row r="209" spans="1:9" ht="21" customHeight="1">
      <c r="A209" s="160"/>
      <c r="B209" s="161" t="s">
        <v>3400</v>
      </c>
      <c r="C209" s="160">
        <v>-1</v>
      </c>
      <c r="D209" s="160">
        <v>1</v>
      </c>
      <c r="E209" s="162">
        <v>0.6</v>
      </c>
      <c r="F209" s="162" t="s">
        <v>1288</v>
      </c>
      <c r="G209" s="162">
        <v>0.6</v>
      </c>
      <c r="H209" s="162">
        <f t="shared" si="16"/>
        <v>-0.36</v>
      </c>
      <c r="I209" s="159"/>
    </row>
    <row r="210" spans="1:9" ht="21" customHeight="1">
      <c r="A210" s="160"/>
      <c r="B210" s="161"/>
      <c r="C210" s="160"/>
      <c r="D210" s="160"/>
      <c r="E210" s="162"/>
      <c r="F210" s="162"/>
      <c r="G210" s="159" t="s">
        <v>1827</v>
      </c>
      <c r="H210" s="159">
        <f>SUM(H192:H209)</f>
        <v>41.09</v>
      </c>
      <c r="I210" s="159"/>
    </row>
    <row r="211" spans="1:9" ht="21" customHeight="1">
      <c r="A211" s="160"/>
      <c r="B211" s="161"/>
      <c r="C211" s="160"/>
      <c r="D211" s="160"/>
      <c r="E211" s="162"/>
      <c r="F211" s="162"/>
      <c r="G211" s="159" t="s">
        <v>2560</v>
      </c>
      <c r="H211" s="159">
        <f>ROUNDUP(H210,1)</f>
        <v>41.1</v>
      </c>
      <c r="I211" s="159" t="s">
        <v>488</v>
      </c>
    </row>
    <row r="212" spans="1:9" ht="36">
      <c r="A212" s="160">
        <f>A191+1</f>
        <v>14</v>
      </c>
      <c r="B212" s="161" t="str">
        <f>'[11]Building (2)'!B712</f>
        <v xml:space="preserve">Two coat of OBD over one coat white cement for inner walls </v>
      </c>
      <c r="C212" s="160"/>
      <c r="D212" s="160"/>
      <c r="E212" s="162"/>
      <c r="F212" s="162"/>
      <c r="G212" s="162"/>
      <c r="H212" s="162"/>
      <c r="I212" s="159"/>
    </row>
    <row r="213" spans="1:9" ht="21" customHeight="1">
      <c r="A213" s="160"/>
      <c r="B213" s="161" t="s">
        <v>3381</v>
      </c>
      <c r="C213" s="160">
        <v>1</v>
      </c>
      <c r="D213" s="160">
        <v>1</v>
      </c>
      <c r="E213" s="162">
        <f>H211</f>
        <v>41.1</v>
      </c>
      <c r="F213" s="162" t="s">
        <v>1288</v>
      </c>
      <c r="G213" s="162" t="s">
        <v>1288</v>
      </c>
      <c r="H213" s="162">
        <f>PRODUCT(C213:G213)</f>
        <v>41.1</v>
      </c>
      <c r="I213" s="159"/>
    </row>
    <row r="214" spans="1:9" ht="21" customHeight="1">
      <c r="A214" s="160"/>
      <c r="B214" s="161"/>
      <c r="C214" s="160"/>
      <c r="D214" s="160"/>
      <c r="E214" s="162"/>
      <c r="F214" s="162"/>
      <c r="G214" s="159" t="s">
        <v>1827</v>
      </c>
      <c r="H214" s="159">
        <f>SUM(H213:H213)</f>
        <v>41.1</v>
      </c>
      <c r="I214" s="159"/>
    </row>
    <row r="215" spans="1:9" ht="21" customHeight="1">
      <c r="A215" s="160"/>
      <c r="B215" s="161"/>
      <c r="C215" s="160"/>
      <c r="D215" s="160"/>
      <c r="E215" s="162"/>
      <c r="F215" s="162"/>
      <c r="G215" s="159" t="s">
        <v>2560</v>
      </c>
      <c r="H215" s="159">
        <f>ROUNDUP(H214,1)</f>
        <v>41.1</v>
      </c>
      <c r="I215" s="159" t="s">
        <v>488</v>
      </c>
    </row>
    <row r="216" spans="1:9" ht="36">
      <c r="A216" s="160">
        <f>A212+1</f>
        <v>15</v>
      </c>
      <c r="B216" s="161" t="str">
        <f>'[11]Building (2)'!B711</f>
        <v>Plastic Emulsion Paint including primer for outer walls</v>
      </c>
      <c r="C216" s="160"/>
      <c r="D216" s="160"/>
      <c r="E216" s="162"/>
      <c r="F216" s="162"/>
      <c r="G216" s="159"/>
      <c r="H216" s="159"/>
      <c r="I216" s="159"/>
    </row>
    <row r="217" spans="1:9" ht="21" customHeight="1">
      <c r="A217" s="160"/>
      <c r="B217" s="163" t="s">
        <v>3380</v>
      </c>
      <c r="C217" s="160"/>
      <c r="D217" s="160"/>
      <c r="E217" s="162"/>
      <c r="F217" s="162"/>
      <c r="G217" s="162"/>
      <c r="H217" s="162"/>
      <c r="I217" s="159"/>
    </row>
    <row r="218" spans="1:9" ht="21" customHeight="1">
      <c r="A218" s="160"/>
      <c r="B218" s="161" t="s">
        <v>3317</v>
      </c>
      <c r="C218" s="160">
        <v>1</v>
      </c>
      <c r="D218" s="160">
        <v>1</v>
      </c>
      <c r="E218" s="162">
        <v>2.4</v>
      </c>
      <c r="F218" s="162" t="s">
        <v>1288</v>
      </c>
      <c r="G218" s="162">
        <v>0.75</v>
      </c>
      <c r="H218" s="162">
        <f>PRODUCT(C218:G218)</f>
        <v>1.8</v>
      </c>
      <c r="I218" s="159"/>
    </row>
    <row r="219" spans="1:9" ht="21" customHeight="1">
      <c r="A219" s="160"/>
      <c r="B219" s="161" t="s">
        <v>3442</v>
      </c>
      <c r="C219" s="160">
        <v>1</v>
      </c>
      <c r="D219" s="160">
        <v>1</v>
      </c>
      <c r="E219" s="162">
        <v>12</v>
      </c>
      <c r="F219" s="162" t="s">
        <v>1288</v>
      </c>
      <c r="G219" s="162">
        <v>0.6</v>
      </c>
      <c r="H219" s="162">
        <f>PRODUCT(C219:G219)</f>
        <v>7.2</v>
      </c>
      <c r="I219" s="159"/>
    </row>
    <row r="220" spans="1:9" ht="21" customHeight="1">
      <c r="A220" s="160"/>
      <c r="B220" s="161" t="s">
        <v>3443</v>
      </c>
      <c r="C220" s="160">
        <v>1</v>
      </c>
      <c r="D220" s="160">
        <v>1</v>
      </c>
      <c r="E220" s="162">
        <v>9.23</v>
      </c>
      <c r="F220" s="162" t="s">
        <v>1288</v>
      </c>
      <c r="G220" s="162">
        <v>1.5</v>
      </c>
      <c r="H220" s="162">
        <f>PRODUCT(C220:G220)</f>
        <v>13.85</v>
      </c>
      <c r="I220" s="159"/>
    </row>
    <row r="221" spans="1:9" ht="21" customHeight="1">
      <c r="A221" s="160"/>
      <c r="B221" s="161" t="s">
        <v>3444</v>
      </c>
      <c r="C221" s="160">
        <v>1</v>
      </c>
      <c r="D221" s="160">
        <v>1</v>
      </c>
      <c r="E221" s="162">
        <v>9.23</v>
      </c>
      <c r="F221" s="162" t="s">
        <v>1288</v>
      </c>
      <c r="G221" s="162">
        <v>0.9</v>
      </c>
      <c r="H221" s="162">
        <f>PRODUCT(C221:G221)</f>
        <v>8.31</v>
      </c>
      <c r="I221" s="159"/>
    </row>
    <row r="222" spans="1:9" ht="21" customHeight="1">
      <c r="A222" s="160"/>
      <c r="B222" s="161" t="s">
        <v>3319</v>
      </c>
      <c r="C222" s="160">
        <v>1</v>
      </c>
      <c r="D222" s="160">
        <v>1</v>
      </c>
      <c r="E222" s="162">
        <v>8.9600000000000009</v>
      </c>
      <c r="F222" s="162" t="s">
        <v>1288</v>
      </c>
      <c r="G222" s="162">
        <v>4.2</v>
      </c>
      <c r="H222" s="162">
        <f>PRODUCT(C222:G222)</f>
        <v>37.630000000000003</v>
      </c>
      <c r="I222" s="159"/>
    </row>
    <row r="223" spans="1:9" ht="21" customHeight="1">
      <c r="A223" s="160"/>
      <c r="B223" s="161" t="s">
        <v>3320</v>
      </c>
      <c r="C223" s="160">
        <v>2</v>
      </c>
      <c r="D223" s="160">
        <v>3</v>
      </c>
      <c r="E223" s="162">
        <v>1.81</v>
      </c>
      <c r="F223" s="162">
        <v>0.45</v>
      </c>
      <c r="G223" s="162" t="s">
        <v>1288</v>
      </c>
      <c r="H223" s="162">
        <f t="shared" ref="H223:H224" si="17">PRODUCT(C223:G223)</f>
        <v>4.8899999999999997</v>
      </c>
      <c r="I223" s="159"/>
    </row>
    <row r="224" spans="1:9" ht="21" customHeight="1">
      <c r="A224" s="160"/>
      <c r="B224" s="161" t="s">
        <v>3440</v>
      </c>
      <c r="C224" s="160">
        <v>2</v>
      </c>
      <c r="D224" s="160">
        <v>2</v>
      </c>
      <c r="E224" s="162">
        <v>2.4</v>
      </c>
      <c r="F224" s="162">
        <v>0.45</v>
      </c>
      <c r="G224" s="162" t="s">
        <v>1288</v>
      </c>
      <c r="H224" s="162">
        <f t="shared" si="17"/>
        <v>4.32</v>
      </c>
      <c r="I224" s="159"/>
    </row>
    <row r="225" spans="1:9" ht="21" customHeight="1">
      <c r="A225" s="160"/>
      <c r="B225" s="163" t="s">
        <v>3305</v>
      </c>
      <c r="C225" s="160"/>
      <c r="D225" s="160"/>
      <c r="E225" s="162"/>
      <c r="F225" s="162"/>
      <c r="G225" s="162"/>
      <c r="H225" s="162"/>
      <c r="I225" s="159"/>
    </row>
    <row r="226" spans="1:9" ht="21" customHeight="1">
      <c r="A226" s="160"/>
      <c r="B226" s="161" t="s">
        <v>3320</v>
      </c>
      <c r="C226" s="160">
        <v>-1</v>
      </c>
      <c r="D226" s="160">
        <v>1</v>
      </c>
      <c r="E226" s="162">
        <v>1.35</v>
      </c>
      <c r="F226" s="162" t="s">
        <v>1288</v>
      </c>
      <c r="G226" s="162">
        <v>1.35</v>
      </c>
      <c r="H226" s="162">
        <f t="shared" ref="H226:H229" si="18">PRODUCT(C226:G226)</f>
        <v>-1.82</v>
      </c>
      <c r="I226" s="159"/>
    </row>
    <row r="227" spans="1:9" ht="21" customHeight="1">
      <c r="A227" s="160"/>
      <c r="B227" s="161" t="s">
        <v>3322</v>
      </c>
      <c r="C227" s="160">
        <v>-1</v>
      </c>
      <c r="D227" s="160">
        <v>2</v>
      </c>
      <c r="E227" s="162">
        <v>0.9</v>
      </c>
      <c r="F227" s="162" t="s">
        <v>1288</v>
      </c>
      <c r="G227" s="162">
        <v>0.6</v>
      </c>
      <c r="H227" s="162">
        <f t="shared" si="18"/>
        <v>-1.08</v>
      </c>
      <c r="I227" s="159"/>
    </row>
    <row r="228" spans="1:9" ht="21" customHeight="1">
      <c r="A228" s="160"/>
      <c r="B228" s="161" t="s">
        <v>3321</v>
      </c>
      <c r="C228" s="160">
        <v>-1</v>
      </c>
      <c r="D228" s="160">
        <v>1</v>
      </c>
      <c r="E228" s="162">
        <v>0.9</v>
      </c>
      <c r="F228" s="162" t="s">
        <v>1288</v>
      </c>
      <c r="G228" s="162">
        <v>0.6</v>
      </c>
      <c r="H228" s="162">
        <f t="shared" si="18"/>
        <v>-0.54</v>
      </c>
      <c r="I228" s="159"/>
    </row>
    <row r="229" spans="1:9" ht="21" customHeight="1">
      <c r="A229" s="160"/>
      <c r="B229" s="161" t="s">
        <v>3400</v>
      </c>
      <c r="C229" s="160">
        <v>-1</v>
      </c>
      <c r="D229" s="160">
        <v>1</v>
      </c>
      <c r="E229" s="162">
        <v>0.6</v>
      </c>
      <c r="F229" s="162" t="s">
        <v>1288</v>
      </c>
      <c r="G229" s="162">
        <v>0.6</v>
      </c>
      <c r="H229" s="162">
        <f t="shared" si="18"/>
        <v>-0.36</v>
      </c>
      <c r="I229" s="159"/>
    </row>
    <row r="230" spans="1:9" ht="21" customHeight="1">
      <c r="A230" s="160"/>
      <c r="B230" s="161"/>
      <c r="C230" s="160"/>
      <c r="D230" s="160"/>
      <c r="E230" s="162"/>
      <c r="F230" s="162"/>
      <c r="G230" s="159" t="s">
        <v>1827</v>
      </c>
      <c r="H230" s="159">
        <f>SUM(H217:H229)</f>
        <v>74.2</v>
      </c>
      <c r="I230" s="159"/>
    </row>
    <row r="231" spans="1:9" ht="21" customHeight="1">
      <c r="A231" s="160"/>
      <c r="B231" s="161"/>
      <c r="C231" s="160"/>
      <c r="D231" s="160"/>
      <c r="E231" s="162"/>
      <c r="F231" s="162"/>
      <c r="G231" s="159" t="s">
        <v>2560</v>
      </c>
      <c r="H231" s="159">
        <f>ROUNDUP(H230,1)</f>
        <v>74.2</v>
      </c>
      <c r="I231" s="159" t="s">
        <v>488</v>
      </c>
    </row>
    <row r="232" spans="1:9" ht="39.75" customHeight="1">
      <c r="A232" s="160">
        <f>A216+1</f>
        <v>16</v>
      </c>
      <c r="B232" s="161" t="str">
        <f>'[11]Building (2)'!B373</f>
        <v>HDPE water tank 700 lit capacity with ISI mark</v>
      </c>
      <c r="C232" s="160"/>
      <c r="D232" s="160"/>
      <c r="E232" s="162"/>
      <c r="F232" s="162"/>
      <c r="G232" s="162"/>
      <c r="H232" s="162"/>
      <c r="I232" s="159"/>
    </row>
    <row r="233" spans="1:9" ht="21" customHeight="1">
      <c r="A233" s="160"/>
      <c r="B233" s="161" t="s">
        <v>3318</v>
      </c>
      <c r="C233" s="160">
        <v>1</v>
      </c>
      <c r="D233" s="160">
        <v>2</v>
      </c>
      <c r="E233" s="162" t="s">
        <v>1288</v>
      </c>
      <c r="F233" s="162" t="s">
        <v>1288</v>
      </c>
      <c r="G233" s="162" t="s">
        <v>1288</v>
      </c>
      <c r="H233" s="162">
        <f>PRODUCT(C233:G233)</f>
        <v>2</v>
      </c>
      <c r="I233" s="159"/>
    </row>
    <row r="234" spans="1:9" ht="21" customHeight="1">
      <c r="A234" s="160"/>
      <c r="B234" s="161"/>
      <c r="C234" s="160"/>
      <c r="D234" s="160"/>
      <c r="E234" s="162"/>
      <c r="F234" s="162"/>
      <c r="G234" s="159" t="s">
        <v>1827</v>
      </c>
      <c r="H234" s="159">
        <f>SUM(H233:H233)</f>
        <v>2</v>
      </c>
      <c r="I234" s="159"/>
    </row>
    <row r="235" spans="1:9" ht="21" customHeight="1">
      <c r="A235" s="160"/>
      <c r="B235" s="161"/>
      <c r="C235" s="160"/>
      <c r="D235" s="160"/>
      <c r="E235" s="162"/>
      <c r="F235" s="162"/>
      <c r="G235" s="159" t="s">
        <v>2560</v>
      </c>
      <c r="H235" s="159">
        <f>ROUNDUP(H234,1)</f>
        <v>2</v>
      </c>
      <c r="I235" s="159" t="s">
        <v>1395</v>
      </c>
    </row>
    <row r="236" spans="1:9" ht="24" customHeight="1">
      <c r="A236" s="160">
        <f>A232+1</f>
        <v>17</v>
      </c>
      <c r="B236" s="161" t="s">
        <v>3382</v>
      </c>
      <c r="C236" s="160"/>
      <c r="D236" s="160"/>
      <c r="E236" s="162"/>
      <c r="F236" s="162"/>
      <c r="G236" s="162"/>
      <c r="H236" s="162"/>
      <c r="I236" s="159"/>
    </row>
    <row r="237" spans="1:9" ht="21" customHeight="1">
      <c r="A237" s="160"/>
      <c r="B237" s="163" t="s">
        <v>3312</v>
      </c>
      <c r="C237" s="160"/>
      <c r="D237" s="160"/>
      <c r="E237" s="162"/>
      <c r="F237" s="162"/>
      <c r="G237" s="162"/>
      <c r="H237" s="162"/>
      <c r="I237" s="159"/>
    </row>
    <row r="238" spans="1:9" ht="21" customHeight="1">
      <c r="A238" s="160"/>
      <c r="B238" s="161" t="s">
        <v>3295</v>
      </c>
      <c r="C238" s="160">
        <v>1</v>
      </c>
      <c r="D238" s="160">
        <v>1</v>
      </c>
      <c r="E238" s="162">
        <v>15.45</v>
      </c>
      <c r="F238" s="162" t="s">
        <v>1288</v>
      </c>
      <c r="G238" s="162">
        <v>3.08</v>
      </c>
      <c r="H238" s="162">
        <f t="shared" ref="H238:H250" si="19">PRODUCT(C238:G238)</f>
        <v>47.59</v>
      </c>
      <c r="I238" s="159"/>
    </row>
    <row r="239" spans="1:9" ht="21" customHeight="1">
      <c r="A239" s="160"/>
      <c r="B239" s="161" t="s">
        <v>3298</v>
      </c>
      <c r="C239" s="160">
        <v>1</v>
      </c>
      <c r="D239" s="160">
        <v>1</v>
      </c>
      <c r="E239" s="162">
        <v>9.0399999999999991</v>
      </c>
      <c r="F239" s="162" t="s">
        <v>1288</v>
      </c>
      <c r="G239" s="162">
        <v>3.08</v>
      </c>
      <c r="H239" s="162">
        <f t="shared" si="19"/>
        <v>27.84</v>
      </c>
      <c r="I239" s="159"/>
    </row>
    <row r="240" spans="1:9" ht="21" customHeight="1">
      <c r="A240" s="160"/>
      <c r="B240" s="161" t="s">
        <v>3383</v>
      </c>
      <c r="C240" s="160">
        <v>1</v>
      </c>
      <c r="D240" s="160">
        <v>1</v>
      </c>
      <c r="E240" s="162">
        <v>10.34</v>
      </c>
      <c r="F240" s="162" t="s">
        <v>1288</v>
      </c>
      <c r="G240" s="162">
        <v>3.08</v>
      </c>
      <c r="H240" s="162">
        <f t="shared" si="19"/>
        <v>31.85</v>
      </c>
      <c r="I240" s="159"/>
    </row>
    <row r="241" spans="1:9" ht="21" customHeight="1">
      <c r="A241" s="160"/>
      <c r="B241" s="161" t="s">
        <v>3344</v>
      </c>
      <c r="C241" s="160">
        <v>1</v>
      </c>
      <c r="D241" s="160">
        <v>1</v>
      </c>
      <c r="E241" s="162">
        <v>10.34</v>
      </c>
      <c r="F241" s="162" t="s">
        <v>1288</v>
      </c>
      <c r="G241" s="162">
        <v>3.08</v>
      </c>
      <c r="H241" s="162">
        <f t="shared" si="19"/>
        <v>31.85</v>
      </c>
      <c r="I241" s="159"/>
    </row>
    <row r="242" spans="1:9" ht="21" customHeight="1">
      <c r="A242" s="160"/>
      <c r="B242" s="161" t="s">
        <v>3375</v>
      </c>
      <c r="C242" s="160">
        <v>1</v>
      </c>
      <c r="D242" s="160">
        <v>1</v>
      </c>
      <c r="E242" s="162">
        <v>10.8</v>
      </c>
      <c r="F242" s="162" t="s">
        <v>1288</v>
      </c>
      <c r="G242" s="162">
        <v>3.18</v>
      </c>
      <c r="H242" s="162">
        <f t="shared" si="19"/>
        <v>34.340000000000003</v>
      </c>
      <c r="I242" s="159"/>
    </row>
    <row r="243" spans="1:9" ht="21" customHeight="1">
      <c r="A243" s="160"/>
      <c r="B243" s="161" t="s">
        <v>3315</v>
      </c>
      <c r="C243" s="160">
        <v>1</v>
      </c>
      <c r="D243" s="160">
        <v>1</v>
      </c>
      <c r="E243" s="162">
        <v>8.08</v>
      </c>
      <c r="F243" s="162" t="s">
        <v>1288</v>
      </c>
      <c r="G243" s="162">
        <v>3.18</v>
      </c>
      <c r="H243" s="162">
        <f t="shared" si="19"/>
        <v>25.69</v>
      </c>
      <c r="I243" s="159"/>
    </row>
    <row r="244" spans="1:9" ht="21" customHeight="1">
      <c r="A244" s="160"/>
      <c r="B244" s="161" t="s">
        <v>3384</v>
      </c>
      <c r="C244" s="160">
        <v>1</v>
      </c>
      <c r="D244" s="160">
        <v>1</v>
      </c>
      <c r="E244" s="162">
        <v>6.17</v>
      </c>
      <c r="F244" s="162" t="s">
        <v>1288</v>
      </c>
      <c r="G244" s="162">
        <v>2.58</v>
      </c>
      <c r="H244" s="162">
        <f t="shared" si="19"/>
        <v>15.92</v>
      </c>
      <c r="I244" s="159"/>
    </row>
    <row r="245" spans="1:9" ht="21" customHeight="1">
      <c r="A245" s="160"/>
      <c r="B245" s="161" t="s">
        <v>3385</v>
      </c>
      <c r="C245" s="160">
        <v>1</v>
      </c>
      <c r="D245" s="160">
        <v>1</v>
      </c>
      <c r="E245" s="162">
        <v>10.8</v>
      </c>
      <c r="F245" s="162" t="s">
        <v>1288</v>
      </c>
      <c r="G245" s="162">
        <v>3.18</v>
      </c>
      <c r="H245" s="162">
        <f t="shared" si="19"/>
        <v>34.340000000000003</v>
      </c>
      <c r="I245" s="159"/>
    </row>
    <row r="246" spans="1:9" ht="21" customHeight="1">
      <c r="A246" s="160"/>
      <c r="B246" s="161" t="s">
        <v>3325</v>
      </c>
      <c r="C246" s="160">
        <v>1</v>
      </c>
      <c r="D246" s="160">
        <v>1</v>
      </c>
      <c r="E246" s="162">
        <v>4.4000000000000004</v>
      </c>
      <c r="F246" s="162" t="s">
        <v>1288</v>
      </c>
      <c r="G246" s="162">
        <v>0.9</v>
      </c>
      <c r="H246" s="162">
        <f t="shared" si="19"/>
        <v>3.96</v>
      </c>
      <c r="I246" s="159"/>
    </row>
    <row r="247" spans="1:9" ht="21" customHeight="1">
      <c r="A247" s="160"/>
      <c r="B247" s="161" t="s">
        <v>3316</v>
      </c>
      <c r="C247" s="160">
        <v>1</v>
      </c>
      <c r="D247" s="160">
        <v>1</v>
      </c>
      <c r="E247" s="162">
        <v>20.54</v>
      </c>
      <c r="F247" s="162" t="s">
        <v>1288</v>
      </c>
      <c r="G247" s="162">
        <v>3.08</v>
      </c>
      <c r="H247" s="162">
        <f t="shared" si="19"/>
        <v>63.26</v>
      </c>
      <c r="I247" s="159"/>
    </row>
    <row r="248" spans="1:9" ht="21" customHeight="1">
      <c r="A248" s="160"/>
      <c r="B248" s="161" t="s">
        <v>3374</v>
      </c>
      <c r="C248" s="160">
        <v>1</v>
      </c>
      <c r="D248" s="160">
        <v>2</v>
      </c>
      <c r="E248" s="162">
        <v>4.03</v>
      </c>
      <c r="F248" s="162" t="s">
        <v>1288</v>
      </c>
      <c r="G248" s="162">
        <v>3.08</v>
      </c>
      <c r="H248" s="162">
        <f t="shared" si="19"/>
        <v>24.82</v>
      </c>
      <c r="I248" s="159"/>
    </row>
    <row r="249" spans="1:9" ht="21" customHeight="1">
      <c r="A249" s="160"/>
      <c r="B249" s="161" t="s">
        <v>3364</v>
      </c>
      <c r="C249" s="160">
        <v>1</v>
      </c>
      <c r="D249" s="160">
        <v>1</v>
      </c>
      <c r="E249" s="162">
        <v>8.4</v>
      </c>
      <c r="F249" s="162" t="s">
        <v>1288</v>
      </c>
      <c r="G249" s="162">
        <v>2.58</v>
      </c>
      <c r="H249" s="162">
        <f t="shared" si="19"/>
        <v>21.67</v>
      </c>
      <c r="I249" s="159"/>
    </row>
    <row r="250" spans="1:9" ht="21" customHeight="1">
      <c r="A250" s="160"/>
      <c r="B250" s="161" t="s">
        <v>3386</v>
      </c>
      <c r="C250" s="160">
        <v>1</v>
      </c>
      <c r="D250" s="160">
        <v>1</v>
      </c>
      <c r="E250" s="162">
        <v>11.26</v>
      </c>
      <c r="F250" s="162" t="s">
        <v>1288</v>
      </c>
      <c r="G250" s="162">
        <v>3.08</v>
      </c>
      <c r="H250" s="162">
        <f t="shared" si="19"/>
        <v>34.68</v>
      </c>
      <c r="I250" s="159"/>
    </row>
    <row r="251" spans="1:9" ht="21" customHeight="1">
      <c r="A251" s="160"/>
      <c r="B251" s="163" t="s">
        <v>3323</v>
      </c>
      <c r="C251" s="160"/>
      <c r="D251" s="160"/>
      <c r="E251" s="162"/>
      <c r="F251" s="162"/>
      <c r="G251" s="162"/>
      <c r="H251" s="162"/>
      <c r="I251" s="159"/>
    </row>
    <row r="252" spans="1:9" ht="21" customHeight="1">
      <c r="A252" s="160"/>
      <c r="B252" s="161" t="s">
        <v>3295</v>
      </c>
      <c r="C252" s="160">
        <v>1</v>
      </c>
      <c r="D252" s="160">
        <v>1</v>
      </c>
      <c r="E252" s="162">
        <v>3.93</v>
      </c>
      <c r="F252" s="162">
        <v>0.6</v>
      </c>
      <c r="G252" s="162" t="s">
        <v>1288</v>
      </c>
      <c r="H252" s="162">
        <f>PRODUCT(C252:G252)</f>
        <v>2.36</v>
      </c>
      <c r="I252" s="159"/>
    </row>
    <row r="253" spans="1:9" ht="21" customHeight="1">
      <c r="A253" s="160"/>
      <c r="B253" s="161" t="s">
        <v>3383</v>
      </c>
      <c r="C253" s="160">
        <v>1</v>
      </c>
      <c r="D253" s="160">
        <v>1</v>
      </c>
      <c r="E253" s="162">
        <v>2.77</v>
      </c>
      <c r="F253" s="162">
        <v>0.6</v>
      </c>
      <c r="G253" s="162" t="s">
        <v>1288</v>
      </c>
      <c r="H253" s="162">
        <f>PRODUCT(C253:G253)</f>
        <v>1.66</v>
      </c>
      <c r="I253" s="159"/>
    </row>
    <row r="254" spans="1:9" ht="21" customHeight="1">
      <c r="A254" s="160"/>
      <c r="B254" s="161" t="s">
        <v>3344</v>
      </c>
      <c r="C254" s="160">
        <v>1</v>
      </c>
      <c r="D254" s="160">
        <v>1</v>
      </c>
      <c r="E254" s="162">
        <v>2.77</v>
      </c>
      <c r="F254" s="162">
        <v>0.6</v>
      </c>
      <c r="G254" s="162" t="s">
        <v>1288</v>
      </c>
      <c r="H254" s="162">
        <f>PRODUCT(C254:G254)</f>
        <v>1.66</v>
      </c>
      <c r="I254" s="159"/>
    </row>
    <row r="255" spans="1:9" ht="21" customHeight="1">
      <c r="A255" s="160"/>
      <c r="B255" s="161" t="s">
        <v>3375</v>
      </c>
      <c r="C255" s="160">
        <v>1</v>
      </c>
      <c r="D255" s="160">
        <v>1</v>
      </c>
      <c r="E255" s="162">
        <v>3</v>
      </c>
      <c r="F255" s="162">
        <v>0.6</v>
      </c>
      <c r="G255" s="162" t="s">
        <v>1288</v>
      </c>
      <c r="H255" s="162">
        <f>PRODUCT(C255:G255)</f>
        <v>1.8</v>
      </c>
      <c r="I255" s="159"/>
    </row>
    <row r="256" spans="1:9" ht="21" customHeight="1">
      <c r="A256" s="160"/>
      <c r="B256" s="161" t="s">
        <v>3315</v>
      </c>
      <c r="C256" s="160">
        <v>1</v>
      </c>
      <c r="D256" s="160">
        <v>1</v>
      </c>
      <c r="E256" s="162">
        <v>1.89</v>
      </c>
      <c r="F256" s="162">
        <v>0.6</v>
      </c>
      <c r="G256" s="162" t="s">
        <v>1288</v>
      </c>
      <c r="H256" s="162">
        <f>PRODUCT(C256:G256)</f>
        <v>1.1299999999999999</v>
      </c>
      <c r="I256" s="159"/>
    </row>
    <row r="257" spans="1:9" ht="21" customHeight="1">
      <c r="A257" s="160"/>
      <c r="B257" s="163" t="s">
        <v>3306</v>
      </c>
      <c r="C257" s="160"/>
      <c r="D257" s="160"/>
      <c r="E257" s="162"/>
      <c r="F257" s="162"/>
      <c r="G257" s="162"/>
      <c r="H257" s="162"/>
      <c r="I257" s="159"/>
    </row>
    <row r="258" spans="1:9" ht="21" customHeight="1">
      <c r="A258" s="160"/>
      <c r="B258" s="161" t="s">
        <v>3387</v>
      </c>
      <c r="C258" s="160">
        <v>1</v>
      </c>
      <c r="D258" s="160">
        <v>1</v>
      </c>
      <c r="E258" s="162">
        <v>15.45</v>
      </c>
      <c r="F258" s="162" t="s">
        <v>1288</v>
      </c>
      <c r="G258" s="162">
        <v>3.08</v>
      </c>
      <c r="H258" s="162">
        <f t="shared" ref="H258:H271" si="20">PRODUCT(C258:G258)</f>
        <v>47.59</v>
      </c>
      <c r="I258" s="159"/>
    </row>
    <row r="259" spans="1:9" ht="21" customHeight="1">
      <c r="A259" s="160"/>
      <c r="B259" s="161" t="s">
        <v>3373</v>
      </c>
      <c r="C259" s="160">
        <v>1</v>
      </c>
      <c r="D259" s="160">
        <v>1</v>
      </c>
      <c r="E259" s="162">
        <v>12.62</v>
      </c>
      <c r="F259" s="162" t="s">
        <v>1288</v>
      </c>
      <c r="G259" s="162">
        <v>3.08</v>
      </c>
      <c r="H259" s="162">
        <f t="shared" si="20"/>
        <v>38.869999999999997</v>
      </c>
      <c r="I259" s="159"/>
    </row>
    <row r="260" spans="1:9" ht="21" customHeight="1">
      <c r="A260" s="160"/>
      <c r="B260" s="161" t="s">
        <v>3371</v>
      </c>
      <c r="C260" s="160">
        <v>1</v>
      </c>
      <c r="D260" s="160">
        <v>1</v>
      </c>
      <c r="E260" s="162">
        <v>12.65</v>
      </c>
      <c r="F260" s="162" t="s">
        <v>1288</v>
      </c>
      <c r="G260" s="162">
        <v>3.08</v>
      </c>
      <c r="H260" s="162">
        <f t="shared" si="20"/>
        <v>38.96</v>
      </c>
      <c r="I260" s="159"/>
    </row>
    <row r="261" spans="1:9" ht="21" customHeight="1">
      <c r="A261" s="160"/>
      <c r="B261" s="161" t="s">
        <v>3374</v>
      </c>
      <c r="C261" s="160">
        <v>1</v>
      </c>
      <c r="D261" s="160">
        <v>1</v>
      </c>
      <c r="E261" s="162">
        <v>25.72</v>
      </c>
      <c r="F261" s="162" t="s">
        <v>1288</v>
      </c>
      <c r="G261" s="162">
        <v>3.08</v>
      </c>
      <c r="H261" s="162">
        <f t="shared" si="20"/>
        <v>79.22</v>
      </c>
      <c r="I261" s="159"/>
    </row>
    <row r="262" spans="1:9" ht="21" customHeight="1">
      <c r="A262" s="160"/>
      <c r="B262" s="161" t="s">
        <v>3374</v>
      </c>
      <c r="C262" s="160">
        <v>1</v>
      </c>
      <c r="D262" s="160">
        <v>1</v>
      </c>
      <c r="E262" s="162">
        <v>8.3699999999999992</v>
      </c>
      <c r="F262" s="162" t="s">
        <v>1288</v>
      </c>
      <c r="G262" s="162">
        <v>3.08</v>
      </c>
      <c r="H262" s="162">
        <f t="shared" si="20"/>
        <v>25.78</v>
      </c>
      <c r="I262" s="159"/>
    </row>
    <row r="263" spans="1:9" ht="21" customHeight="1">
      <c r="A263" s="160"/>
      <c r="B263" s="161" t="s">
        <v>3298</v>
      </c>
      <c r="C263" s="160">
        <v>1</v>
      </c>
      <c r="D263" s="160">
        <v>1</v>
      </c>
      <c r="E263" s="162">
        <v>14.34</v>
      </c>
      <c r="F263" s="162" t="s">
        <v>1288</v>
      </c>
      <c r="G263" s="162">
        <v>3.08</v>
      </c>
      <c r="H263" s="162">
        <f t="shared" si="20"/>
        <v>44.17</v>
      </c>
      <c r="I263" s="159"/>
    </row>
    <row r="264" spans="1:9" ht="21" customHeight="1">
      <c r="A264" s="160"/>
      <c r="B264" s="161" t="s">
        <v>3379</v>
      </c>
      <c r="C264" s="160">
        <v>1</v>
      </c>
      <c r="D264" s="160">
        <v>1</v>
      </c>
      <c r="E264" s="162">
        <v>10.57</v>
      </c>
      <c r="F264" s="162" t="s">
        <v>1288</v>
      </c>
      <c r="G264" s="162">
        <v>3.18</v>
      </c>
      <c r="H264" s="162">
        <f t="shared" si="20"/>
        <v>33.61</v>
      </c>
      <c r="I264" s="159"/>
    </row>
    <row r="265" spans="1:9" ht="21" customHeight="1">
      <c r="A265" s="160"/>
      <c r="B265" s="161" t="s">
        <v>3326</v>
      </c>
      <c r="C265" s="160">
        <v>1</v>
      </c>
      <c r="D265" s="160">
        <v>1</v>
      </c>
      <c r="E265" s="162">
        <v>4.4000000000000004</v>
      </c>
      <c r="F265" s="162" t="s">
        <v>1288</v>
      </c>
      <c r="G265" s="162">
        <v>0.9</v>
      </c>
      <c r="H265" s="162">
        <f t="shared" si="20"/>
        <v>3.96</v>
      </c>
      <c r="I265" s="159"/>
    </row>
    <row r="266" spans="1:9" ht="21" customHeight="1">
      <c r="A266" s="160"/>
      <c r="B266" s="161" t="s">
        <v>3369</v>
      </c>
      <c r="C266" s="160">
        <v>1</v>
      </c>
      <c r="D266" s="160">
        <v>1</v>
      </c>
      <c r="E266" s="162">
        <v>12.94</v>
      </c>
      <c r="F266" s="162" t="s">
        <v>1288</v>
      </c>
      <c r="G266" s="162">
        <v>3.08</v>
      </c>
      <c r="H266" s="162">
        <f t="shared" si="20"/>
        <v>39.86</v>
      </c>
      <c r="I266" s="159"/>
    </row>
    <row r="267" spans="1:9" ht="21" customHeight="1">
      <c r="A267" s="160"/>
      <c r="B267" s="161" t="s">
        <v>3299</v>
      </c>
      <c r="C267" s="160">
        <v>1</v>
      </c>
      <c r="D267" s="160">
        <v>1</v>
      </c>
      <c r="E267" s="162">
        <v>5.65</v>
      </c>
      <c r="F267" s="162" t="s">
        <v>1288</v>
      </c>
      <c r="G267" s="162">
        <v>1.68</v>
      </c>
      <c r="H267" s="162">
        <f t="shared" si="20"/>
        <v>9.49</v>
      </c>
      <c r="I267" s="159"/>
    </row>
    <row r="268" spans="1:9" ht="21" customHeight="1">
      <c r="A268" s="160"/>
      <c r="B268" s="161" t="s">
        <v>3388</v>
      </c>
      <c r="C268" s="160">
        <v>1</v>
      </c>
      <c r="D268" s="160">
        <v>1</v>
      </c>
      <c r="E268" s="162">
        <v>4.68</v>
      </c>
      <c r="F268" s="162" t="s">
        <v>1288</v>
      </c>
      <c r="G268" s="162">
        <v>2.58</v>
      </c>
      <c r="H268" s="162">
        <f t="shared" si="20"/>
        <v>12.07</v>
      </c>
      <c r="I268" s="159"/>
    </row>
    <row r="269" spans="1:9" ht="21" customHeight="1">
      <c r="A269" s="160"/>
      <c r="B269" s="161" t="s">
        <v>3389</v>
      </c>
      <c r="C269" s="160">
        <v>1</v>
      </c>
      <c r="D269" s="160">
        <v>1</v>
      </c>
      <c r="E269" s="162">
        <v>5.65</v>
      </c>
      <c r="F269" s="162" t="s">
        <v>1288</v>
      </c>
      <c r="G269" s="162">
        <v>1.68</v>
      </c>
      <c r="H269" s="162">
        <f t="shared" si="20"/>
        <v>9.49</v>
      </c>
      <c r="I269" s="159"/>
    </row>
    <row r="270" spans="1:9" ht="21" customHeight="1">
      <c r="A270" s="160"/>
      <c r="B270" s="161" t="s">
        <v>3362</v>
      </c>
      <c r="C270" s="160">
        <v>1</v>
      </c>
      <c r="D270" s="160">
        <v>1</v>
      </c>
      <c r="E270" s="162">
        <v>4.68</v>
      </c>
      <c r="F270" s="162" t="s">
        <v>1288</v>
      </c>
      <c r="G270" s="162">
        <v>2.58</v>
      </c>
      <c r="H270" s="162">
        <f t="shared" si="20"/>
        <v>12.07</v>
      </c>
      <c r="I270" s="159"/>
    </row>
    <row r="271" spans="1:9" ht="21" customHeight="1">
      <c r="A271" s="160"/>
      <c r="B271" s="161" t="s">
        <v>3296</v>
      </c>
      <c r="C271" s="160">
        <v>1</v>
      </c>
      <c r="D271" s="160">
        <v>1</v>
      </c>
      <c r="E271" s="162">
        <v>11.26</v>
      </c>
      <c r="F271" s="162" t="s">
        <v>1288</v>
      </c>
      <c r="G271" s="162">
        <v>3.3</v>
      </c>
      <c r="H271" s="162">
        <f t="shared" si="20"/>
        <v>37.159999999999997</v>
      </c>
      <c r="I271" s="159"/>
    </row>
    <row r="272" spans="1:9" ht="21" customHeight="1">
      <c r="A272" s="160"/>
      <c r="B272" s="163" t="s">
        <v>3323</v>
      </c>
      <c r="C272" s="160"/>
      <c r="D272" s="160"/>
      <c r="E272" s="162"/>
      <c r="F272" s="162"/>
      <c r="G272" s="162"/>
      <c r="H272" s="162"/>
      <c r="I272" s="159"/>
    </row>
    <row r="273" spans="1:9" ht="21" customHeight="1">
      <c r="A273" s="160"/>
      <c r="B273" s="161" t="s">
        <v>3387</v>
      </c>
      <c r="C273" s="160">
        <v>1</v>
      </c>
      <c r="D273" s="160">
        <v>1</v>
      </c>
      <c r="E273" s="162">
        <v>3.93</v>
      </c>
      <c r="F273" s="162">
        <v>0.6</v>
      </c>
      <c r="G273" s="162" t="s">
        <v>1288</v>
      </c>
      <c r="H273" s="162">
        <f>PRODUCT(C273:G273)</f>
        <v>2.36</v>
      </c>
      <c r="I273" s="159"/>
    </row>
    <row r="274" spans="1:9" ht="21" customHeight="1">
      <c r="A274" s="160"/>
      <c r="B274" s="161" t="s">
        <v>3373</v>
      </c>
      <c r="C274" s="160">
        <v>1</v>
      </c>
      <c r="D274" s="160">
        <v>1</v>
      </c>
      <c r="E274" s="162">
        <v>3.59</v>
      </c>
      <c r="F274" s="162">
        <v>0.6</v>
      </c>
      <c r="G274" s="162" t="s">
        <v>1288</v>
      </c>
      <c r="H274" s="162">
        <f>PRODUCT(C274:G274)</f>
        <v>2.15</v>
      </c>
      <c r="I274" s="159"/>
    </row>
    <row r="275" spans="1:9" ht="21" customHeight="1">
      <c r="A275" s="160"/>
      <c r="B275" s="161" t="s">
        <v>3371</v>
      </c>
      <c r="C275" s="160">
        <v>1</v>
      </c>
      <c r="D275" s="160">
        <v>1</v>
      </c>
      <c r="E275" s="162">
        <v>2.4</v>
      </c>
      <c r="F275" s="162">
        <v>0.6</v>
      </c>
      <c r="G275" s="162" t="s">
        <v>1288</v>
      </c>
      <c r="H275" s="162">
        <f>PRODUCT(C275:G275)</f>
        <v>1.44</v>
      </c>
      <c r="I275" s="159"/>
    </row>
    <row r="276" spans="1:9" ht="21" customHeight="1">
      <c r="A276" s="160"/>
      <c r="B276" s="161" t="s">
        <v>3369</v>
      </c>
      <c r="C276" s="160">
        <v>1</v>
      </c>
      <c r="D276" s="160">
        <v>1</v>
      </c>
      <c r="E276" s="162">
        <v>3</v>
      </c>
      <c r="F276" s="162">
        <v>0.6</v>
      </c>
      <c r="G276" s="162" t="s">
        <v>1288</v>
      </c>
      <c r="H276" s="162">
        <f>PRODUCT(C276:G276)</f>
        <v>1.8</v>
      </c>
      <c r="I276" s="159"/>
    </row>
    <row r="277" spans="1:9" ht="21" customHeight="1">
      <c r="A277" s="160"/>
      <c r="B277" s="163" t="s">
        <v>3317</v>
      </c>
      <c r="C277" s="160"/>
      <c r="D277" s="160"/>
      <c r="E277" s="162"/>
      <c r="F277" s="162"/>
      <c r="G277" s="162"/>
      <c r="H277" s="162"/>
      <c r="I277" s="159"/>
    </row>
    <row r="278" spans="1:9" ht="21" customHeight="1">
      <c r="A278" s="160"/>
      <c r="B278" s="161" t="s">
        <v>3358</v>
      </c>
      <c r="C278" s="160">
        <v>1</v>
      </c>
      <c r="D278" s="160">
        <v>1</v>
      </c>
      <c r="E278" s="162">
        <v>12.97</v>
      </c>
      <c r="F278" s="162" t="s">
        <v>1288</v>
      </c>
      <c r="G278" s="162">
        <v>1.1299999999999999</v>
      </c>
      <c r="H278" s="162">
        <f>PRODUCT(C278:G278)</f>
        <v>14.66</v>
      </c>
      <c r="I278" s="159"/>
    </row>
    <row r="279" spans="1:9" ht="21" customHeight="1">
      <c r="A279" s="160"/>
      <c r="B279" s="161" t="s">
        <v>3357</v>
      </c>
      <c r="C279" s="160">
        <v>2</v>
      </c>
      <c r="D279" s="169">
        <v>0.5</v>
      </c>
      <c r="E279" s="162">
        <v>2</v>
      </c>
      <c r="F279" s="162" t="s">
        <v>1288</v>
      </c>
      <c r="G279" s="162">
        <v>1.42</v>
      </c>
      <c r="H279" s="162">
        <f>PRODUCT(C279:G279)</f>
        <v>2.84</v>
      </c>
      <c r="I279" s="159"/>
    </row>
    <row r="280" spans="1:9" ht="21" customHeight="1">
      <c r="A280" s="160"/>
      <c r="B280" s="161" t="s">
        <v>3356</v>
      </c>
      <c r="C280" s="160">
        <v>1</v>
      </c>
      <c r="D280" s="160">
        <v>1</v>
      </c>
      <c r="E280" s="162">
        <v>4.84</v>
      </c>
      <c r="F280" s="162" t="s">
        <v>1288</v>
      </c>
      <c r="G280" s="162">
        <v>1.42</v>
      </c>
      <c r="H280" s="162">
        <f>PRODUCT(C280:G280)</f>
        <v>6.87</v>
      </c>
      <c r="I280" s="159"/>
    </row>
    <row r="281" spans="1:9" ht="21" customHeight="1">
      <c r="A281" s="160"/>
      <c r="B281" s="161" t="s">
        <v>3390</v>
      </c>
      <c r="C281" s="160">
        <v>1</v>
      </c>
      <c r="D281" s="160">
        <v>1</v>
      </c>
      <c r="E281" s="162">
        <v>13.45</v>
      </c>
      <c r="F281" s="162" t="s">
        <v>1288</v>
      </c>
      <c r="G281" s="162">
        <v>1.65</v>
      </c>
      <c r="H281" s="162">
        <f>PRODUCT(C281:G281)</f>
        <v>22.19</v>
      </c>
      <c r="I281" s="159"/>
    </row>
    <row r="282" spans="1:9" ht="21" customHeight="1">
      <c r="A282" s="160"/>
      <c r="B282" s="163" t="s">
        <v>3391</v>
      </c>
      <c r="C282" s="160"/>
      <c r="D282" s="160"/>
      <c r="E282" s="162"/>
      <c r="F282" s="162"/>
      <c r="G282" s="162"/>
      <c r="H282" s="162"/>
      <c r="I282" s="159"/>
    </row>
    <row r="283" spans="1:9" ht="21" customHeight="1">
      <c r="A283" s="160"/>
      <c r="B283" s="161" t="s">
        <v>3391</v>
      </c>
      <c r="C283" s="160">
        <v>1</v>
      </c>
      <c r="D283" s="160">
        <v>1</v>
      </c>
      <c r="E283" s="162">
        <v>7.8</v>
      </c>
      <c r="F283" s="162" t="s">
        <v>1288</v>
      </c>
      <c r="G283" s="162">
        <v>2.1</v>
      </c>
      <c r="H283" s="162">
        <f>PRODUCT(C283:G283)</f>
        <v>16.38</v>
      </c>
      <c r="I283" s="159"/>
    </row>
    <row r="284" spans="1:9" ht="21" customHeight="1">
      <c r="A284" s="160"/>
      <c r="B284" s="163" t="s">
        <v>3300</v>
      </c>
      <c r="C284" s="160"/>
      <c r="D284" s="160"/>
      <c r="E284" s="162"/>
      <c r="F284" s="162"/>
      <c r="G284" s="162"/>
      <c r="H284" s="162"/>
      <c r="I284" s="159"/>
    </row>
    <row r="285" spans="1:9" ht="21" customHeight="1">
      <c r="A285" s="160"/>
      <c r="B285" s="161" t="s">
        <v>3324</v>
      </c>
      <c r="C285" s="160">
        <v>1</v>
      </c>
      <c r="D285" s="160">
        <v>1</v>
      </c>
      <c r="E285" s="162">
        <v>5.5</v>
      </c>
      <c r="F285" s="162">
        <v>0.13</v>
      </c>
      <c r="G285" s="162" t="s">
        <v>1288</v>
      </c>
      <c r="H285" s="162">
        <f t="shared" ref="H285:H307" si="21">PRODUCT(C285:G285)</f>
        <v>0.72</v>
      </c>
      <c r="I285" s="159"/>
    </row>
    <row r="286" spans="1:9" ht="21" customHeight="1">
      <c r="A286" s="160"/>
      <c r="B286" s="161" t="s">
        <v>3301</v>
      </c>
      <c r="C286" s="160">
        <v>1</v>
      </c>
      <c r="D286" s="160">
        <v>9</v>
      </c>
      <c r="E286" s="162">
        <v>5</v>
      </c>
      <c r="F286" s="162">
        <v>0.18</v>
      </c>
      <c r="G286" s="162" t="s">
        <v>1288</v>
      </c>
      <c r="H286" s="162">
        <f t="shared" si="21"/>
        <v>8.1</v>
      </c>
      <c r="I286" s="159"/>
    </row>
    <row r="287" spans="1:9" ht="21" customHeight="1">
      <c r="A287" s="160"/>
      <c r="B287" s="161" t="s">
        <v>3302</v>
      </c>
      <c r="C287" s="160">
        <v>1</v>
      </c>
      <c r="D287" s="160">
        <v>2</v>
      </c>
      <c r="E287" s="162">
        <v>5</v>
      </c>
      <c r="F287" s="162">
        <v>0.18</v>
      </c>
      <c r="G287" s="162" t="s">
        <v>1288</v>
      </c>
      <c r="H287" s="162">
        <f t="shared" si="21"/>
        <v>1.8</v>
      </c>
      <c r="I287" s="159"/>
    </row>
    <row r="288" spans="1:9" ht="21" customHeight="1">
      <c r="A288" s="160"/>
      <c r="B288" s="161" t="s">
        <v>3392</v>
      </c>
      <c r="C288" s="160">
        <v>1</v>
      </c>
      <c r="D288" s="160">
        <v>3</v>
      </c>
      <c r="E288" s="162">
        <v>2.1</v>
      </c>
      <c r="F288" s="162">
        <v>7.0000000000000007E-2</v>
      </c>
      <c r="G288" s="162" t="s">
        <v>1288</v>
      </c>
      <c r="H288" s="162">
        <f t="shared" si="21"/>
        <v>0.44</v>
      </c>
      <c r="I288" s="159"/>
    </row>
    <row r="289" spans="1:9" ht="21" customHeight="1">
      <c r="A289" s="160"/>
      <c r="B289" s="161" t="s">
        <v>3392</v>
      </c>
      <c r="C289" s="160">
        <v>1</v>
      </c>
      <c r="D289" s="160">
        <v>1</v>
      </c>
      <c r="E289" s="162">
        <v>3.9</v>
      </c>
      <c r="F289" s="162">
        <v>7.0000000000000007E-2</v>
      </c>
      <c r="G289" s="162" t="s">
        <v>1288</v>
      </c>
      <c r="H289" s="162">
        <f>PRODUCT(C289:G289)</f>
        <v>0.27</v>
      </c>
      <c r="I289" s="159"/>
    </row>
    <row r="290" spans="1:9" ht="21" customHeight="1">
      <c r="A290" s="160"/>
      <c r="B290" s="161" t="s">
        <v>3303</v>
      </c>
      <c r="C290" s="160">
        <v>2</v>
      </c>
      <c r="D290" s="160">
        <v>2</v>
      </c>
      <c r="E290" s="162">
        <v>0.9</v>
      </c>
      <c r="F290" s="162">
        <v>7.0000000000000007E-2</v>
      </c>
      <c r="G290" s="162" t="s">
        <v>1288</v>
      </c>
      <c r="H290" s="162">
        <f t="shared" si="21"/>
        <v>0.25</v>
      </c>
      <c r="I290" s="159"/>
    </row>
    <row r="291" spans="1:9" ht="21" customHeight="1">
      <c r="A291" s="160"/>
      <c r="B291" s="161" t="s">
        <v>3304</v>
      </c>
      <c r="C291" s="160">
        <v>1</v>
      </c>
      <c r="D291" s="160">
        <v>2</v>
      </c>
      <c r="E291" s="162">
        <v>3.75</v>
      </c>
      <c r="F291" s="162">
        <v>7.0000000000000007E-2</v>
      </c>
      <c r="G291" s="162" t="s">
        <v>1288</v>
      </c>
      <c r="H291" s="162">
        <f t="shared" si="21"/>
        <v>0.53</v>
      </c>
      <c r="I291" s="159"/>
    </row>
    <row r="292" spans="1:9" ht="21" customHeight="1">
      <c r="A292" s="160"/>
      <c r="B292" s="161" t="s">
        <v>3393</v>
      </c>
      <c r="C292" s="160">
        <v>1</v>
      </c>
      <c r="D292" s="160">
        <v>1</v>
      </c>
      <c r="E292" s="162">
        <v>5.2</v>
      </c>
      <c r="F292" s="162">
        <v>0.23</v>
      </c>
      <c r="G292" s="162" t="s">
        <v>1288</v>
      </c>
      <c r="H292" s="162">
        <f t="shared" si="21"/>
        <v>1.2</v>
      </c>
      <c r="I292" s="159"/>
    </row>
    <row r="293" spans="1:9" ht="21" customHeight="1">
      <c r="A293" s="160"/>
      <c r="B293" s="161" t="s">
        <v>3345</v>
      </c>
      <c r="C293" s="160">
        <v>1</v>
      </c>
      <c r="D293" s="160">
        <v>1</v>
      </c>
      <c r="E293" s="162">
        <v>5.2</v>
      </c>
      <c r="F293" s="162">
        <v>0.18</v>
      </c>
      <c r="G293" s="162" t="s">
        <v>1288</v>
      </c>
      <c r="H293" s="162">
        <f t="shared" si="21"/>
        <v>0.94</v>
      </c>
      <c r="I293" s="159"/>
    </row>
    <row r="294" spans="1:9" ht="21" customHeight="1">
      <c r="A294" s="160"/>
      <c r="B294" s="161" t="s">
        <v>3394</v>
      </c>
      <c r="C294" s="160">
        <v>1</v>
      </c>
      <c r="D294" s="160">
        <v>1</v>
      </c>
      <c r="E294" s="162">
        <v>10.5</v>
      </c>
      <c r="F294" s="162">
        <v>0.12</v>
      </c>
      <c r="G294" s="162" t="s">
        <v>1288</v>
      </c>
      <c r="H294" s="162">
        <f t="shared" si="21"/>
        <v>1.26</v>
      </c>
      <c r="I294" s="159"/>
    </row>
    <row r="295" spans="1:9" ht="21" customHeight="1">
      <c r="A295" s="160"/>
      <c r="B295" s="161" t="s">
        <v>3395</v>
      </c>
      <c r="C295" s="160">
        <v>1</v>
      </c>
      <c r="D295" s="160">
        <v>1</v>
      </c>
      <c r="E295" s="162">
        <v>10.199999999999999</v>
      </c>
      <c r="F295" s="162">
        <v>0.23</v>
      </c>
      <c r="G295" s="162" t="s">
        <v>1288</v>
      </c>
      <c r="H295" s="162">
        <f t="shared" si="21"/>
        <v>2.35</v>
      </c>
      <c r="I295" s="159"/>
    </row>
    <row r="296" spans="1:9" ht="21" customHeight="1">
      <c r="A296" s="160"/>
      <c r="B296" s="161" t="s">
        <v>3396</v>
      </c>
      <c r="C296" s="160">
        <v>1</v>
      </c>
      <c r="D296" s="160">
        <v>2</v>
      </c>
      <c r="E296" s="162">
        <v>5.4</v>
      </c>
      <c r="F296" s="162">
        <v>0.18</v>
      </c>
      <c r="G296" s="162" t="s">
        <v>1288</v>
      </c>
      <c r="H296" s="162">
        <f t="shared" si="21"/>
        <v>1.94</v>
      </c>
      <c r="I296" s="159"/>
    </row>
    <row r="297" spans="1:9" ht="21" customHeight="1">
      <c r="A297" s="160"/>
      <c r="B297" s="161" t="s">
        <v>3320</v>
      </c>
      <c r="C297" s="160">
        <v>1</v>
      </c>
      <c r="D297" s="160">
        <v>12</v>
      </c>
      <c r="E297" s="162">
        <v>5.4</v>
      </c>
      <c r="F297" s="162">
        <v>0.09</v>
      </c>
      <c r="G297" s="162" t="s">
        <v>1288</v>
      </c>
      <c r="H297" s="162">
        <f t="shared" si="21"/>
        <v>5.83</v>
      </c>
      <c r="I297" s="159"/>
    </row>
    <row r="298" spans="1:9" ht="21" customHeight="1">
      <c r="A298" s="160"/>
      <c r="B298" s="161" t="s">
        <v>3397</v>
      </c>
      <c r="C298" s="160">
        <v>1</v>
      </c>
      <c r="D298" s="160">
        <v>1</v>
      </c>
      <c r="E298" s="162">
        <v>5.7</v>
      </c>
      <c r="F298" s="162">
        <v>0.18</v>
      </c>
      <c r="G298" s="162" t="s">
        <v>1288</v>
      </c>
      <c r="H298" s="162">
        <f t="shared" si="21"/>
        <v>1.03</v>
      </c>
      <c r="I298" s="159"/>
    </row>
    <row r="299" spans="1:9" ht="21" customHeight="1">
      <c r="A299" s="160"/>
      <c r="B299" s="161" t="s">
        <v>3321</v>
      </c>
      <c r="C299" s="160">
        <v>1</v>
      </c>
      <c r="D299" s="160">
        <v>2</v>
      </c>
      <c r="E299" s="162">
        <v>3</v>
      </c>
      <c r="F299" s="162">
        <v>0.09</v>
      </c>
      <c r="G299" s="162" t="s">
        <v>1288</v>
      </c>
      <c r="H299" s="162">
        <f t="shared" si="21"/>
        <v>0.54</v>
      </c>
      <c r="I299" s="159"/>
    </row>
    <row r="300" spans="1:9" ht="21" customHeight="1">
      <c r="A300" s="160"/>
      <c r="B300" s="161" t="s">
        <v>3398</v>
      </c>
      <c r="C300" s="160">
        <v>1</v>
      </c>
      <c r="D300" s="160">
        <v>2</v>
      </c>
      <c r="E300" s="162">
        <v>3.9</v>
      </c>
      <c r="F300" s="162">
        <v>0.09</v>
      </c>
      <c r="G300" s="162" t="s">
        <v>1288</v>
      </c>
      <c r="H300" s="162">
        <f t="shared" si="21"/>
        <v>0.7</v>
      </c>
      <c r="I300" s="159"/>
    </row>
    <row r="301" spans="1:9" ht="21" customHeight="1">
      <c r="A301" s="160"/>
      <c r="B301" s="161" t="s">
        <v>3322</v>
      </c>
      <c r="C301" s="160">
        <v>1</v>
      </c>
      <c r="D301" s="160">
        <v>3</v>
      </c>
      <c r="E301" s="162">
        <v>3</v>
      </c>
      <c r="F301" s="162">
        <v>0.09</v>
      </c>
      <c r="G301" s="162" t="s">
        <v>1288</v>
      </c>
      <c r="H301" s="162">
        <f t="shared" si="21"/>
        <v>0.81</v>
      </c>
      <c r="I301" s="159"/>
    </row>
    <row r="302" spans="1:9" ht="21" customHeight="1">
      <c r="A302" s="160"/>
      <c r="B302" s="161" t="s">
        <v>3399</v>
      </c>
      <c r="C302" s="160">
        <v>1</v>
      </c>
      <c r="D302" s="160">
        <v>1</v>
      </c>
      <c r="E302" s="162">
        <v>2.4</v>
      </c>
      <c r="F302" s="162">
        <v>0.09</v>
      </c>
      <c r="G302" s="162" t="s">
        <v>1288</v>
      </c>
      <c r="H302" s="162">
        <f t="shared" si="21"/>
        <v>0.22</v>
      </c>
      <c r="I302" s="159"/>
    </row>
    <row r="303" spans="1:9" ht="21" customHeight="1">
      <c r="A303" s="160"/>
      <c r="B303" s="161" t="s">
        <v>3400</v>
      </c>
      <c r="C303" s="160">
        <v>1</v>
      </c>
      <c r="D303" s="160">
        <v>1</v>
      </c>
      <c r="E303" s="162">
        <v>2.4</v>
      </c>
      <c r="F303" s="162">
        <v>0.09</v>
      </c>
      <c r="G303" s="162" t="s">
        <v>1288</v>
      </c>
      <c r="H303" s="162">
        <f>PRODUCT(C303:G303)</f>
        <v>0.22</v>
      </c>
      <c r="I303" s="159"/>
    </row>
    <row r="304" spans="1:9" ht="21" customHeight="1">
      <c r="A304" s="160"/>
      <c r="B304" s="161" t="s">
        <v>3401</v>
      </c>
      <c r="C304" s="160">
        <v>1</v>
      </c>
      <c r="D304" s="160">
        <v>1</v>
      </c>
      <c r="E304" s="162">
        <v>8</v>
      </c>
      <c r="F304" s="162">
        <v>0.04</v>
      </c>
      <c r="G304" s="162" t="s">
        <v>1288</v>
      </c>
      <c r="H304" s="162">
        <f t="shared" si="21"/>
        <v>0.32</v>
      </c>
      <c r="I304" s="159"/>
    </row>
    <row r="305" spans="1:9" ht="21" customHeight="1">
      <c r="A305" s="160"/>
      <c r="B305" s="161" t="s">
        <v>3402</v>
      </c>
      <c r="C305" s="160">
        <v>1</v>
      </c>
      <c r="D305" s="160">
        <v>1</v>
      </c>
      <c r="E305" s="162">
        <v>6.9</v>
      </c>
      <c r="F305" s="162">
        <v>0.04</v>
      </c>
      <c r="G305" s="162" t="s">
        <v>1288</v>
      </c>
      <c r="H305" s="162">
        <f t="shared" si="21"/>
        <v>0.28000000000000003</v>
      </c>
      <c r="I305" s="159"/>
    </row>
    <row r="306" spans="1:9" ht="21" customHeight="1">
      <c r="A306" s="160"/>
      <c r="B306" s="161" t="s">
        <v>3403</v>
      </c>
      <c r="C306" s="160">
        <v>1</v>
      </c>
      <c r="D306" s="160">
        <v>2</v>
      </c>
      <c r="E306" s="162">
        <v>4.7</v>
      </c>
      <c r="F306" s="162" t="s">
        <v>1288</v>
      </c>
      <c r="G306" s="162">
        <v>0.33</v>
      </c>
      <c r="H306" s="162">
        <f t="shared" si="21"/>
        <v>3.1</v>
      </c>
      <c r="I306" s="159"/>
    </row>
    <row r="307" spans="1:9" ht="21" customHeight="1">
      <c r="A307" s="160"/>
      <c r="B307" s="161" t="s">
        <v>3404</v>
      </c>
      <c r="C307" s="160">
        <v>1</v>
      </c>
      <c r="D307" s="160">
        <v>2</v>
      </c>
      <c r="E307" s="162">
        <v>2.4</v>
      </c>
      <c r="F307" s="162" t="s">
        <v>1288</v>
      </c>
      <c r="G307" s="162">
        <v>0.18</v>
      </c>
      <c r="H307" s="162">
        <f t="shared" si="21"/>
        <v>0.86</v>
      </c>
      <c r="I307" s="159"/>
    </row>
    <row r="308" spans="1:9" ht="21" customHeight="1">
      <c r="A308" s="160"/>
      <c r="B308" s="163" t="s">
        <v>3391</v>
      </c>
      <c r="C308" s="160"/>
      <c r="D308" s="160"/>
      <c r="E308" s="162"/>
      <c r="F308" s="162"/>
      <c r="G308" s="162"/>
      <c r="H308" s="162"/>
      <c r="I308" s="159"/>
    </row>
    <row r="309" spans="1:9" ht="21" customHeight="1">
      <c r="A309" s="160"/>
      <c r="B309" s="161" t="s">
        <v>3405</v>
      </c>
      <c r="C309" s="160">
        <v>1</v>
      </c>
      <c r="D309" s="160">
        <v>1</v>
      </c>
      <c r="E309" s="162">
        <v>5.0999999999999996</v>
      </c>
      <c r="F309" s="162">
        <v>0.18</v>
      </c>
      <c r="G309" s="162" t="s">
        <v>1288</v>
      </c>
      <c r="H309" s="162">
        <f>PRODUCT(C309:G309)</f>
        <v>0.92</v>
      </c>
      <c r="I309" s="159"/>
    </row>
    <row r="310" spans="1:9" ht="21" customHeight="1">
      <c r="A310" s="160"/>
      <c r="B310" s="161" t="s">
        <v>3320</v>
      </c>
      <c r="C310" s="160">
        <v>1</v>
      </c>
      <c r="D310" s="160">
        <v>1</v>
      </c>
      <c r="E310" s="162">
        <v>4.5</v>
      </c>
      <c r="F310" s="162">
        <v>0.09</v>
      </c>
      <c r="G310" s="162" t="s">
        <v>1288</v>
      </c>
      <c r="H310" s="162">
        <f>PRODUCT(C310:G310)</f>
        <v>0.41</v>
      </c>
      <c r="I310" s="159"/>
    </row>
    <row r="311" spans="1:9" ht="21" customHeight="1">
      <c r="A311" s="160"/>
      <c r="B311" s="163" t="s">
        <v>3305</v>
      </c>
      <c r="C311" s="160"/>
      <c r="D311" s="160"/>
      <c r="E311" s="162"/>
      <c r="F311" s="162"/>
      <c r="G311" s="162"/>
      <c r="H311" s="162"/>
      <c r="I311" s="159"/>
    </row>
    <row r="312" spans="1:9" ht="21" customHeight="1">
      <c r="A312" s="160"/>
      <c r="B312" s="161" t="s">
        <v>3324</v>
      </c>
      <c r="C312" s="160">
        <v>-2</v>
      </c>
      <c r="D312" s="160">
        <v>1</v>
      </c>
      <c r="E312" s="162">
        <v>1.5</v>
      </c>
      <c r="F312" s="162" t="s">
        <v>1288</v>
      </c>
      <c r="G312" s="162">
        <v>2</v>
      </c>
      <c r="H312" s="162">
        <f t="shared" ref="H312:H334" si="22">PRODUCT(C312:G312)</f>
        <v>-6</v>
      </c>
      <c r="I312" s="159"/>
    </row>
    <row r="313" spans="1:9" ht="21" customHeight="1">
      <c r="A313" s="160"/>
      <c r="B313" s="161" t="s">
        <v>3301</v>
      </c>
      <c r="C313" s="160">
        <v>-2</v>
      </c>
      <c r="D313" s="160">
        <v>9</v>
      </c>
      <c r="E313" s="162">
        <v>1</v>
      </c>
      <c r="F313" s="162" t="s">
        <v>1288</v>
      </c>
      <c r="G313" s="162">
        <v>2</v>
      </c>
      <c r="H313" s="162">
        <f t="shared" si="22"/>
        <v>-36</v>
      </c>
      <c r="I313" s="159"/>
    </row>
    <row r="314" spans="1:9" ht="21" customHeight="1">
      <c r="A314" s="160"/>
      <c r="B314" s="161" t="s">
        <v>3302</v>
      </c>
      <c r="C314" s="160">
        <v>-1</v>
      </c>
      <c r="D314" s="160">
        <v>2</v>
      </c>
      <c r="E314" s="162">
        <v>1</v>
      </c>
      <c r="F314" s="162" t="s">
        <v>1288</v>
      </c>
      <c r="G314" s="162">
        <v>2</v>
      </c>
      <c r="H314" s="162">
        <f t="shared" si="22"/>
        <v>-4</v>
      </c>
      <c r="I314" s="159"/>
    </row>
    <row r="315" spans="1:9" ht="21" customHeight="1">
      <c r="A315" s="160"/>
      <c r="B315" s="161" t="s">
        <v>3302</v>
      </c>
      <c r="C315" s="160">
        <v>-1</v>
      </c>
      <c r="D315" s="160">
        <v>2</v>
      </c>
      <c r="E315" s="162">
        <v>1</v>
      </c>
      <c r="F315" s="162" t="s">
        <v>1288</v>
      </c>
      <c r="G315" s="162">
        <v>2.1</v>
      </c>
      <c r="H315" s="162">
        <f>PRODUCT(C315:G315)</f>
        <v>-4.2</v>
      </c>
      <c r="I315" s="159"/>
    </row>
    <row r="316" spans="1:9" ht="21" customHeight="1">
      <c r="A316" s="160"/>
      <c r="B316" s="161" t="s">
        <v>3392</v>
      </c>
      <c r="C316" s="160">
        <v>-1</v>
      </c>
      <c r="D316" s="160">
        <v>3</v>
      </c>
      <c r="E316" s="162">
        <v>0.9</v>
      </c>
      <c r="F316" s="162" t="s">
        <v>1288</v>
      </c>
      <c r="G316" s="162">
        <v>2</v>
      </c>
      <c r="H316" s="162">
        <f t="shared" si="22"/>
        <v>-5.4</v>
      </c>
      <c r="I316" s="159"/>
    </row>
    <row r="317" spans="1:9" ht="21" customHeight="1">
      <c r="A317" s="160"/>
      <c r="B317" s="161" t="s">
        <v>3392</v>
      </c>
      <c r="C317" s="160">
        <v>-1</v>
      </c>
      <c r="D317" s="160">
        <v>3</v>
      </c>
      <c r="E317" s="162">
        <v>0.9</v>
      </c>
      <c r="F317" s="162" t="s">
        <v>1288</v>
      </c>
      <c r="G317" s="162">
        <v>0.6</v>
      </c>
      <c r="H317" s="162">
        <f t="shared" si="22"/>
        <v>-1.62</v>
      </c>
      <c r="I317" s="159"/>
    </row>
    <row r="318" spans="1:9" ht="21" customHeight="1">
      <c r="A318" s="160"/>
      <c r="B318" s="161" t="s">
        <v>3392</v>
      </c>
      <c r="C318" s="160">
        <v>-1</v>
      </c>
      <c r="D318" s="160">
        <v>1</v>
      </c>
      <c r="E318" s="162">
        <v>0.9</v>
      </c>
      <c r="F318" s="162" t="s">
        <v>1288</v>
      </c>
      <c r="G318" s="162">
        <v>1.5</v>
      </c>
      <c r="H318" s="162">
        <f t="shared" si="22"/>
        <v>-1.35</v>
      </c>
      <c r="I318" s="159"/>
    </row>
    <row r="319" spans="1:9" ht="21" customHeight="1">
      <c r="A319" s="160"/>
      <c r="B319" s="161" t="s">
        <v>3303</v>
      </c>
      <c r="C319" s="160">
        <v>-2</v>
      </c>
      <c r="D319" s="160">
        <v>2</v>
      </c>
      <c r="E319" s="162">
        <v>0.75</v>
      </c>
      <c r="F319" s="162" t="s">
        <v>1288</v>
      </c>
      <c r="G319" s="162">
        <v>0.9</v>
      </c>
      <c r="H319" s="162">
        <f t="shared" si="22"/>
        <v>-2.7</v>
      </c>
      <c r="I319" s="159"/>
    </row>
    <row r="320" spans="1:9" ht="21" customHeight="1">
      <c r="A320" s="160"/>
      <c r="B320" s="161" t="s">
        <v>3304</v>
      </c>
      <c r="C320" s="160">
        <v>-1</v>
      </c>
      <c r="D320" s="160">
        <v>2</v>
      </c>
      <c r="E320" s="162">
        <v>0.75</v>
      </c>
      <c r="F320" s="162" t="s">
        <v>1288</v>
      </c>
      <c r="G320" s="162">
        <v>1.5</v>
      </c>
      <c r="H320" s="162">
        <f t="shared" si="22"/>
        <v>-2.25</v>
      </c>
      <c r="I320" s="159"/>
    </row>
    <row r="321" spans="1:9" ht="21" customHeight="1">
      <c r="A321" s="160"/>
      <c r="B321" s="161" t="s">
        <v>3304</v>
      </c>
      <c r="C321" s="160">
        <v>-1</v>
      </c>
      <c r="D321" s="160">
        <v>2</v>
      </c>
      <c r="E321" s="162">
        <v>0.75</v>
      </c>
      <c r="F321" s="162" t="s">
        <v>1288</v>
      </c>
      <c r="G321" s="162">
        <v>0.6</v>
      </c>
      <c r="H321" s="162">
        <f>PRODUCT(C321:G321)</f>
        <v>-0.9</v>
      </c>
      <c r="I321" s="159"/>
    </row>
    <row r="322" spans="1:9" ht="21" customHeight="1">
      <c r="A322" s="160"/>
      <c r="B322" s="161" t="s">
        <v>3345</v>
      </c>
      <c r="C322" s="160">
        <v>-1</v>
      </c>
      <c r="D322" s="160">
        <v>1</v>
      </c>
      <c r="E322" s="162">
        <v>1</v>
      </c>
      <c r="F322" s="162" t="s">
        <v>1288</v>
      </c>
      <c r="G322" s="162">
        <v>2.1</v>
      </c>
      <c r="H322" s="162">
        <f t="shared" si="22"/>
        <v>-2.1</v>
      </c>
      <c r="I322" s="159"/>
    </row>
    <row r="323" spans="1:9" ht="21" customHeight="1">
      <c r="A323" s="160"/>
      <c r="B323" s="161" t="s">
        <v>3394</v>
      </c>
      <c r="C323" s="160">
        <v>-1</v>
      </c>
      <c r="D323" s="160">
        <v>1</v>
      </c>
      <c r="E323" s="162">
        <v>3.9</v>
      </c>
      <c r="F323" s="162" t="s">
        <v>1288</v>
      </c>
      <c r="G323" s="162">
        <v>1.35</v>
      </c>
      <c r="H323" s="162">
        <f t="shared" si="22"/>
        <v>-5.27</v>
      </c>
      <c r="I323" s="159"/>
    </row>
    <row r="324" spans="1:9" ht="21" customHeight="1">
      <c r="A324" s="160"/>
      <c r="B324" s="161" t="s">
        <v>3395</v>
      </c>
      <c r="C324" s="160">
        <v>-1</v>
      </c>
      <c r="D324" s="160">
        <v>1</v>
      </c>
      <c r="E324" s="162">
        <v>3.9</v>
      </c>
      <c r="F324" s="162" t="s">
        <v>1288</v>
      </c>
      <c r="G324" s="162">
        <v>2.4</v>
      </c>
      <c r="H324" s="162">
        <f t="shared" si="22"/>
        <v>-9.36</v>
      </c>
      <c r="I324" s="159"/>
    </row>
    <row r="325" spans="1:9" ht="21" customHeight="1">
      <c r="A325" s="160"/>
      <c r="B325" s="161" t="s">
        <v>3396</v>
      </c>
      <c r="C325" s="160">
        <v>-1</v>
      </c>
      <c r="D325" s="160">
        <v>2</v>
      </c>
      <c r="E325" s="162">
        <v>0.9</v>
      </c>
      <c r="F325" s="162" t="s">
        <v>1288</v>
      </c>
      <c r="G325" s="162">
        <v>1.8</v>
      </c>
      <c r="H325" s="162">
        <f t="shared" si="22"/>
        <v>-3.24</v>
      </c>
      <c r="I325" s="159"/>
    </row>
    <row r="326" spans="1:9" ht="21" customHeight="1">
      <c r="A326" s="160"/>
      <c r="B326" s="161" t="s">
        <v>3320</v>
      </c>
      <c r="C326" s="160">
        <v>-1</v>
      </c>
      <c r="D326" s="160">
        <v>12</v>
      </c>
      <c r="E326" s="162">
        <v>1.35</v>
      </c>
      <c r="F326" s="162" t="s">
        <v>1288</v>
      </c>
      <c r="G326" s="162">
        <v>1.35</v>
      </c>
      <c r="H326" s="162">
        <f t="shared" si="22"/>
        <v>-21.87</v>
      </c>
      <c r="I326" s="159"/>
    </row>
    <row r="327" spans="1:9" ht="21" customHeight="1">
      <c r="A327" s="160"/>
      <c r="B327" s="161" t="s">
        <v>3397</v>
      </c>
      <c r="C327" s="160">
        <v>-2</v>
      </c>
      <c r="D327" s="160">
        <v>1</v>
      </c>
      <c r="E327" s="162">
        <v>1.5</v>
      </c>
      <c r="F327" s="162" t="s">
        <v>1288</v>
      </c>
      <c r="G327" s="162">
        <v>1.35</v>
      </c>
      <c r="H327" s="162">
        <f t="shared" si="22"/>
        <v>-4.05</v>
      </c>
      <c r="I327" s="159"/>
    </row>
    <row r="328" spans="1:9" ht="21" customHeight="1">
      <c r="A328" s="160"/>
      <c r="B328" s="161" t="s">
        <v>3321</v>
      </c>
      <c r="C328" s="160">
        <v>-1</v>
      </c>
      <c r="D328" s="160">
        <v>2</v>
      </c>
      <c r="E328" s="162">
        <v>0.9</v>
      </c>
      <c r="F328" s="162" t="s">
        <v>1288</v>
      </c>
      <c r="G328" s="162">
        <v>0.6</v>
      </c>
      <c r="H328" s="162">
        <f t="shared" si="22"/>
        <v>-1.08</v>
      </c>
      <c r="I328" s="159"/>
    </row>
    <row r="329" spans="1:9" ht="21" customHeight="1">
      <c r="A329" s="160"/>
      <c r="B329" s="161" t="s">
        <v>3398</v>
      </c>
      <c r="C329" s="160">
        <v>-1</v>
      </c>
      <c r="D329" s="160">
        <v>2</v>
      </c>
      <c r="E329" s="162">
        <v>1.35</v>
      </c>
      <c r="F329" s="162" t="s">
        <v>1288</v>
      </c>
      <c r="G329" s="162">
        <v>0.6</v>
      </c>
      <c r="H329" s="162">
        <f t="shared" si="22"/>
        <v>-1.62</v>
      </c>
      <c r="I329" s="159"/>
    </row>
    <row r="330" spans="1:9" ht="21" customHeight="1">
      <c r="A330" s="160"/>
      <c r="B330" s="161" t="s">
        <v>3322</v>
      </c>
      <c r="C330" s="160">
        <v>-1</v>
      </c>
      <c r="D330" s="160">
        <v>3</v>
      </c>
      <c r="E330" s="162">
        <v>0.9</v>
      </c>
      <c r="F330" s="162" t="s">
        <v>1288</v>
      </c>
      <c r="G330" s="162">
        <v>0.6</v>
      </c>
      <c r="H330" s="162">
        <f t="shared" si="22"/>
        <v>-1.62</v>
      </c>
      <c r="I330" s="159"/>
    </row>
    <row r="331" spans="1:9" ht="21" customHeight="1">
      <c r="A331" s="160"/>
      <c r="B331" s="161" t="s">
        <v>3399</v>
      </c>
      <c r="C331" s="160">
        <v>-1</v>
      </c>
      <c r="D331" s="160">
        <v>1</v>
      </c>
      <c r="E331" s="162">
        <v>0.6</v>
      </c>
      <c r="F331" s="162" t="s">
        <v>1288</v>
      </c>
      <c r="G331" s="162">
        <v>0.6</v>
      </c>
      <c r="H331" s="162">
        <f t="shared" si="22"/>
        <v>-0.36</v>
      </c>
      <c r="I331" s="159"/>
    </row>
    <row r="332" spans="1:9" ht="21" customHeight="1">
      <c r="A332" s="160"/>
      <c r="B332" s="161" t="s">
        <v>3400</v>
      </c>
      <c r="C332" s="160">
        <v>-1</v>
      </c>
      <c r="D332" s="160">
        <v>1</v>
      </c>
      <c r="E332" s="162">
        <v>0.6</v>
      </c>
      <c r="F332" s="162" t="s">
        <v>1288</v>
      </c>
      <c r="G332" s="162">
        <v>0.6</v>
      </c>
      <c r="H332" s="162">
        <f t="shared" si="22"/>
        <v>-0.36</v>
      </c>
      <c r="I332" s="159"/>
    </row>
    <row r="333" spans="1:9" ht="21" customHeight="1">
      <c r="A333" s="160"/>
      <c r="B333" s="161" t="s">
        <v>3393</v>
      </c>
      <c r="C333" s="160">
        <v>-2</v>
      </c>
      <c r="D333" s="160">
        <v>1</v>
      </c>
      <c r="E333" s="162">
        <v>1</v>
      </c>
      <c r="F333" s="162" t="s">
        <v>1288</v>
      </c>
      <c r="G333" s="162">
        <v>2</v>
      </c>
      <c r="H333" s="162">
        <f t="shared" si="22"/>
        <v>-4</v>
      </c>
      <c r="I333" s="159"/>
    </row>
    <row r="334" spans="1:9" ht="21" customHeight="1">
      <c r="A334" s="160"/>
      <c r="B334" s="161" t="s">
        <v>3406</v>
      </c>
      <c r="C334" s="160">
        <v>-1</v>
      </c>
      <c r="D334" s="160">
        <v>2</v>
      </c>
      <c r="E334" s="162">
        <v>2.4</v>
      </c>
      <c r="F334" s="162" t="s">
        <v>1288</v>
      </c>
      <c r="G334" s="162">
        <v>3.08</v>
      </c>
      <c r="H334" s="162">
        <f t="shared" si="22"/>
        <v>-14.78</v>
      </c>
      <c r="I334" s="159"/>
    </row>
    <row r="335" spans="1:9" ht="21" customHeight="1">
      <c r="A335" s="160"/>
      <c r="B335" s="163" t="s">
        <v>3391</v>
      </c>
      <c r="C335" s="160"/>
      <c r="D335" s="160"/>
      <c r="E335" s="162"/>
      <c r="F335" s="162"/>
      <c r="G335" s="162"/>
      <c r="H335" s="162"/>
      <c r="I335" s="159"/>
    </row>
    <row r="336" spans="1:9" ht="21" customHeight="1">
      <c r="A336" s="160"/>
      <c r="B336" s="161" t="s">
        <v>3405</v>
      </c>
      <c r="C336" s="160">
        <v>-1</v>
      </c>
      <c r="D336" s="160">
        <v>1</v>
      </c>
      <c r="E336" s="162">
        <v>0.9</v>
      </c>
      <c r="F336" s="162" t="s">
        <v>1288</v>
      </c>
      <c r="G336" s="162">
        <v>2.1</v>
      </c>
      <c r="H336" s="162">
        <f>PRODUCT(C336:G336)</f>
        <v>-1.89</v>
      </c>
      <c r="I336" s="159"/>
    </row>
    <row r="337" spans="1:9" ht="21" customHeight="1">
      <c r="A337" s="160"/>
      <c r="B337" s="161" t="s">
        <v>3320</v>
      </c>
      <c r="C337" s="160">
        <v>-1</v>
      </c>
      <c r="D337" s="160">
        <v>1</v>
      </c>
      <c r="E337" s="162">
        <v>0.9</v>
      </c>
      <c r="F337" s="162" t="s">
        <v>1288</v>
      </c>
      <c r="G337" s="162">
        <v>1.35</v>
      </c>
      <c r="H337" s="162">
        <f>PRODUCT(C337:G337)</f>
        <v>-1.22</v>
      </c>
      <c r="I337" s="159"/>
    </row>
    <row r="338" spans="1:9" ht="21" customHeight="1">
      <c r="A338" s="160"/>
      <c r="B338" s="161" t="s">
        <v>3343</v>
      </c>
      <c r="C338" s="160">
        <v>-1</v>
      </c>
      <c r="D338" s="160">
        <v>1</v>
      </c>
      <c r="E338" s="162">
        <f>H215</f>
        <v>41.1</v>
      </c>
      <c r="F338" s="162" t="s">
        <v>1288</v>
      </c>
      <c r="G338" s="162" t="s">
        <v>1288</v>
      </c>
      <c r="H338" s="162">
        <f>PRODUCT(C338:G338)</f>
        <v>-41.1</v>
      </c>
      <c r="I338" s="159"/>
    </row>
    <row r="339" spans="1:9" ht="21" customHeight="1">
      <c r="A339" s="160"/>
      <c r="B339" s="161"/>
      <c r="C339" s="160"/>
      <c r="D339" s="160"/>
      <c r="E339" s="162"/>
      <c r="F339" s="162"/>
      <c r="G339" s="159" t="s">
        <v>1827</v>
      </c>
      <c r="H339" s="159">
        <f>SUM(H237:H338)</f>
        <v>766.11</v>
      </c>
      <c r="I339" s="159"/>
    </row>
    <row r="340" spans="1:9" ht="21" customHeight="1">
      <c r="A340" s="160"/>
      <c r="B340" s="161"/>
      <c r="C340" s="160"/>
      <c r="D340" s="160"/>
      <c r="E340" s="162"/>
      <c r="F340" s="162"/>
      <c r="G340" s="159" t="s">
        <v>2560</v>
      </c>
      <c r="H340" s="159">
        <f>ROUNDUP(H339,1)</f>
        <v>766.2</v>
      </c>
      <c r="I340" s="159" t="s">
        <v>488</v>
      </c>
    </row>
    <row r="341" spans="1:9" ht="36">
      <c r="A341" s="160">
        <f>A236+1</f>
        <v>18</v>
      </c>
      <c r="B341" s="161" t="str">
        <f>'[11]Building (2)'!B1006</f>
        <v>White washing one coat for old wall</v>
      </c>
      <c r="C341" s="160"/>
      <c r="D341" s="160"/>
      <c r="E341" s="162"/>
      <c r="F341" s="162"/>
      <c r="G341" s="162"/>
      <c r="H341" s="162"/>
      <c r="I341" s="159"/>
    </row>
    <row r="342" spans="1:9" ht="21" customHeight="1">
      <c r="A342" s="160"/>
      <c r="B342" s="163" t="s">
        <v>3312</v>
      </c>
      <c r="C342" s="160"/>
      <c r="D342" s="160"/>
      <c r="E342" s="162"/>
      <c r="F342" s="162"/>
      <c r="G342" s="162"/>
      <c r="H342" s="162"/>
      <c r="I342" s="159"/>
    </row>
    <row r="343" spans="1:9" ht="21" customHeight="1">
      <c r="A343" s="160"/>
      <c r="B343" s="161" t="s">
        <v>3295</v>
      </c>
      <c r="C343" s="160">
        <v>1</v>
      </c>
      <c r="D343" s="160">
        <v>1</v>
      </c>
      <c r="E343" s="162">
        <v>3.8</v>
      </c>
      <c r="F343" s="162">
        <v>3.93</v>
      </c>
      <c r="G343" s="162" t="s">
        <v>1288</v>
      </c>
      <c r="H343" s="162">
        <f t="shared" ref="H343:H374" si="23">PRODUCT(C343:G343)</f>
        <v>14.93</v>
      </c>
      <c r="I343" s="159"/>
    </row>
    <row r="344" spans="1:9" ht="21" customHeight="1">
      <c r="A344" s="160"/>
      <c r="B344" s="161" t="s">
        <v>3298</v>
      </c>
      <c r="C344" s="160">
        <v>1</v>
      </c>
      <c r="D344" s="160">
        <v>1</v>
      </c>
      <c r="E344" s="162">
        <v>4.7</v>
      </c>
      <c r="F344" s="162">
        <v>2.17</v>
      </c>
      <c r="G344" s="162" t="s">
        <v>1288</v>
      </c>
      <c r="H344" s="162">
        <f t="shared" si="23"/>
        <v>10.199999999999999</v>
      </c>
      <c r="I344" s="159"/>
    </row>
    <row r="345" spans="1:9" ht="21" customHeight="1">
      <c r="A345" s="160"/>
      <c r="B345" s="161" t="s">
        <v>3383</v>
      </c>
      <c r="C345" s="160">
        <v>1</v>
      </c>
      <c r="D345" s="160">
        <v>1</v>
      </c>
      <c r="E345" s="162">
        <v>2.4</v>
      </c>
      <c r="F345" s="162">
        <v>2.77</v>
      </c>
      <c r="G345" s="162" t="s">
        <v>1288</v>
      </c>
      <c r="H345" s="162">
        <f t="shared" si="23"/>
        <v>6.65</v>
      </c>
      <c r="I345" s="159"/>
    </row>
    <row r="346" spans="1:9" ht="21" customHeight="1">
      <c r="A346" s="160"/>
      <c r="B346" s="161" t="s">
        <v>3344</v>
      </c>
      <c r="C346" s="160">
        <v>1</v>
      </c>
      <c r="D346" s="160">
        <v>1</v>
      </c>
      <c r="E346" s="162">
        <v>2.4</v>
      </c>
      <c r="F346" s="162">
        <v>2.77</v>
      </c>
      <c r="G346" s="162" t="s">
        <v>1288</v>
      </c>
      <c r="H346" s="162">
        <f t="shared" si="23"/>
        <v>6.65</v>
      </c>
      <c r="I346" s="159"/>
    </row>
    <row r="347" spans="1:9" ht="21" customHeight="1">
      <c r="A347" s="160"/>
      <c r="B347" s="161" t="s">
        <v>3375</v>
      </c>
      <c r="C347" s="160">
        <v>1</v>
      </c>
      <c r="D347" s="160">
        <v>1</v>
      </c>
      <c r="E347" s="162">
        <v>2.4</v>
      </c>
      <c r="F347" s="162">
        <v>3</v>
      </c>
      <c r="G347" s="162" t="s">
        <v>1288</v>
      </c>
      <c r="H347" s="162">
        <f t="shared" si="23"/>
        <v>7.2</v>
      </c>
      <c r="I347" s="159"/>
    </row>
    <row r="348" spans="1:9" ht="21" customHeight="1">
      <c r="A348" s="160"/>
      <c r="B348" s="161" t="s">
        <v>3315</v>
      </c>
      <c r="C348" s="160">
        <v>1</v>
      </c>
      <c r="D348" s="160">
        <v>1</v>
      </c>
      <c r="E348" s="162">
        <v>2.16</v>
      </c>
      <c r="F348" s="162">
        <v>1.89</v>
      </c>
      <c r="G348" s="162" t="s">
        <v>1288</v>
      </c>
      <c r="H348" s="162">
        <f t="shared" si="23"/>
        <v>4.08</v>
      </c>
      <c r="I348" s="159"/>
    </row>
    <row r="349" spans="1:9" ht="21" customHeight="1">
      <c r="A349" s="160"/>
      <c r="B349" s="161" t="s">
        <v>3384</v>
      </c>
      <c r="C349" s="160">
        <v>1</v>
      </c>
      <c r="D349" s="160">
        <v>1</v>
      </c>
      <c r="E349" s="162">
        <v>1.2</v>
      </c>
      <c r="F349" s="162">
        <v>1.89</v>
      </c>
      <c r="G349" s="162" t="s">
        <v>1288</v>
      </c>
      <c r="H349" s="162">
        <f t="shared" si="23"/>
        <v>2.27</v>
      </c>
      <c r="I349" s="159"/>
    </row>
    <row r="350" spans="1:9" ht="21" customHeight="1">
      <c r="A350" s="160"/>
      <c r="B350" s="161" t="s">
        <v>3385</v>
      </c>
      <c r="C350" s="160">
        <v>1</v>
      </c>
      <c r="D350" s="160">
        <v>1</v>
      </c>
      <c r="E350" s="162">
        <v>2.4</v>
      </c>
      <c r="F350" s="162">
        <v>3</v>
      </c>
      <c r="G350" s="162" t="s">
        <v>1288</v>
      </c>
      <c r="H350" s="162">
        <f t="shared" si="23"/>
        <v>7.2</v>
      </c>
      <c r="I350" s="159"/>
    </row>
    <row r="351" spans="1:9" ht="21" customHeight="1">
      <c r="A351" s="160"/>
      <c r="B351" s="161" t="s">
        <v>3316</v>
      </c>
      <c r="C351" s="160">
        <v>1</v>
      </c>
      <c r="D351" s="160">
        <v>1</v>
      </c>
      <c r="E351" s="162">
        <v>4.7</v>
      </c>
      <c r="F351" s="162">
        <v>4.34</v>
      </c>
      <c r="G351" s="162" t="s">
        <v>1288</v>
      </c>
      <c r="H351" s="162">
        <f t="shared" si="23"/>
        <v>20.399999999999999</v>
      </c>
      <c r="I351" s="159"/>
    </row>
    <row r="352" spans="1:9" ht="21" customHeight="1">
      <c r="A352" s="160"/>
      <c r="B352" s="161" t="s">
        <v>3316</v>
      </c>
      <c r="C352" s="160">
        <v>1</v>
      </c>
      <c r="D352" s="160">
        <v>1</v>
      </c>
      <c r="E352" s="162">
        <v>3.47</v>
      </c>
      <c r="F352" s="162">
        <v>1.23</v>
      </c>
      <c r="G352" s="162" t="s">
        <v>1288</v>
      </c>
      <c r="H352" s="162">
        <f t="shared" si="23"/>
        <v>4.2699999999999996</v>
      </c>
      <c r="I352" s="159"/>
    </row>
    <row r="353" spans="1:9" ht="21" customHeight="1">
      <c r="A353" s="160"/>
      <c r="B353" s="161" t="s">
        <v>3374</v>
      </c>
      <c r="C353" s="160">
        <v>1</v>
      </c>
      <c r="D353" s="160">
        <v>1</v>
      </c>
      <c r="E353" s="162">
        <v>4.03</v>
      </c>
      <c r="F353" s="162">
        <v>1.39</v>
      </c>
      <c r="G353" s="162" t="s">
        <v>1288</v>
      </c>
      <c r="H353" s="162">
        <f t="shared" si="23"/>
        <v>5.6</v>
      </c>
      <c r="I353" s="159"/>
    </row>
    <row r="354" spans="1:9" ht="21" customHeight="1">
      <c r="A354" s="160"/>
      <c r="B354" s="161" t="s">
        <v>3296</v>
      </c>
      <c r="C354" s="160">
        <v>1</v>
      </c>
      <c r="D354" s="160">
        <v>1</v>
      </c>
      <c r="E354" s="162">
        <v>2.4</v>
      </c>
      <c r="F354" s="162">
        <v>3</v>
      </c>
      <c r="G354" s="162" t="s">
        <v>1288</v>
      </c>
      <c r="H354" s="162">
        <f t="shared" si="23"/>
        <v>7.2</v>
      </c>
      <c r="I354" s="159"/>
    </row>
    <row r="355" spans="1:9" ht="21" customHeight="1">
      <c r="A355" s="160"/>
      <c r="B355" s="163" t="s">
        <v>3323</v>
      </c>
      <c r="C355" s="160"/>
      <c r="D355" s="160"/>
      <c r="E355" s="162"/>
      <c r="F355" s="162"/>
      <c r="G355" s="162"/>
      <c r="H355" s="162"/>
      <c r="I355" s="159"/>
    </row>
    <row r="356" spans="1:9" ht="21" customHeight="1">
      <c r="A356" s="160"/>
      <c r="B356" s="161" t="s">
        <v>3295</v>
      </c>
      <c r="C356" s="160">
        <v>1</v>
      </c>
      <c r="D356" s="160">
        <v>1</v>
      </c>
      <c r="E356" s="162">
        <v>3.93</v>
      </c>
      <c r="F356" s="162">
        <v>0.6</v>
      </c>
      <c r="G356" s="162" t="s">
        <v>1288</v>
      </c>
      <c r="H356" s="162">
        <f t="shared" si="23"/>
        <v>2.36</v>
      </c>
      <c r="I356" s="159"/>
    </row>
    <row r="357" spans="1:9" ht="21" customHeight="1">
      <c r="A357" s="160"/>
      <c r="B357" s="161" t="s">
        <v>3383</v>
      </c>
      <c r="C357" s="160">
        <v>1</v>
      </c>
      <c r="D357" s="160">
        <v>1</v>
      </c>
      <c r="E357" s="162">
        <v>2.77</v>
      </c>
      <c r="F357" s="162">
        <v>0.6</v>
      </c>
      <c r="G357" s="162" t="s">
        <v>1288</v>
      </c>
      <c r="H357" s="162">
        <f t="shared" si="23"/>
        <v>1.66</v>
      </c>
      <c r="I357" s="159"/>
    </row>
    <row r="358" spans="1:9" ht="21" customHeight="1">
      <c r="A358" s="160"/>
      <c r="B358" s="161" t="s">
        <v>3344</v>
      </c>
      <c r="C358" s="160">
        <v>1</v>
      </c>
      <c r="D358" s="160">
        <v>1</v>
      </c>
      <c r="E358" s="162">
        <v>2.77</v>
      </c>
      <c r="F358" s="162">
        <v>0.6</v>
      </c>
      <c r="G358" s="162" t="s">
        <v>1288</v>
      </c>
      <c r="H358" s="162">
        <f t="shared" si="23"/>
        <v>1.66</v>
      </c>
      <c r="I358" s="159"/>
    </row>
    <row r="359" spans="1:9" ht="21" customHeight="1">
      <c r="A359" s="160"/>
      <c r="B359" s="161" t="s">
        <v>3375</v>
      </c>
      <c r="C359" s="160">
        <v>1</v>
      </c>
      <c r="D359" s="160">
        <v>1</v>
      </c>
      <c r="E359" s="162">
        <v>3</v>
      </c>
      <c r="F359" s="162">
        <v>0.6</v>
      </c>
      <c r="G359" s="162" t="s">
        <v>1288</v>
      </c>
      <c r="H359" s="162">
        <f t="shared" si="23"/>
        <v>1.8</v>
      </c>
      <c r="I359" s="159"/>
    </row>
    <row r="360" spans="1:9" ht="21" customHeight="1">
      <c r="A360" s="160"/>
      <c r="B360" s="161" t="s">
        <v>3315</v>
      </c>
      <c r="C360" s="160">
        <v>1</v>
      </c>
      <c r="D360" s="160">
        <v>1</v>
      </c>
      <c r="E360" s="162">
        <v>1.89</v>
      </c>
      <c r="F360" s="162">
        <v>0.6</v>
      </c>
      <c r="G360" s="162" t="s">
        <v>1288</v>
      </c>
      <c r="H360" s="162">
        <f t="shared" si="23"/>
        <v>1.1299999999999999</v>
      </c>
      <c r="I360" s="159"/>
    </row>
    <row r="361" spans="1:9" ht="21" customHeight="1">
      <c r="A361" s="160"/>
      <c r="B361" s="163" t="s">
        <v>3306</v>
      </c>
      <c r="C361" s="160"/>
      <c r="D361" s="160"/>
      <c r="E361" s="162"/>
      <c r="F361" s="162"/>
      <c r="G361" s="162"/>
      <c r="H361" s="162"/>
      <c r="I361" s="159"/>
    </row>
    <row r="362" spans="1:9" ht="21" customHeight="1">
      <c r="A362" s="160"/>
      <c r="B362" s="161" t="s">
        <v>3387</v>
      </c>
      <c r="C362" s="160">
        <v>1</v>
      </c>
      <c r="D362" s="160">
        <v>1</v>
      </c>
      <c r="E362" s="162">
        <v>3.8</v>
      </c>
      <c r="F362" s="162">
        <v>3.93</v>
      </c>
      <c r="G362" s="162" t="s">
        <v>1288</v>
      </c>
      <c r="H362" s="162">
        <f t="shared" si="23"/>
        <v>14.93</v>
      </c>
      <c r="I362" s="159"/>
    </row>
    <row r="363" spans="1:9" ht="21" customHeight="1">
      <c r="A363" s="160"/>
      <c r="B363" s="161" t="s">
        <v>3373</v>
      </c>
      <c r="C363" s="160">
        <v>1</v>
      </c>
      <c r="D363" s="160">
        <v>1</v>
      </c>
      <c r="E363" s="162">
        <v>3.59</v>
      </c>
      <c r="F363" s="162">
        <v>2.73</v>
      </c>
      <c r="G363" s="162" t="s">
        <v>1288</v>
      </c>
      <c r="H363" s="162">
        <f t="shared" si="23"/>
        <v>9.8000000000000007</v>
      </c>
      <c r="I363" s="159"/>
    </row>
    <row r="364" spans="1:9" ht="21" customHeight="1">
      <c r="A364" s="160"/>
      <c r="B364" s="161" t="s">
        <v>3371</v>
      </c>
      <c r="C364" s="160">
        <v>1</v>
      </c>
      <c r="D364" s="160">
        <v>1</v>
      </c>
      <c r="E364" s="162">
        <v>2.4</v>
      </c>
      <c r="F364" s="162">
        <v>3.93</v>
      </c>
      <c r="G364" s="162" t="s">
        <v>1288</v>
      </c>
      <c r="H364" s="162">
        <f t="shared" si="23"/>
        <v>9.43</v>
      </c>
      <c r="I364" s="159"/>
    </row>
    <row r="365" spans="1:9" ht="21" customHeight="1">
      <c r="A365" s="160"/>
      <c r="B365" s="161" t="s">
        <v>3374</v>
      </c>
      <c r="C365" s="160">
        <v>1</v>
      </c>
      <c r="D365" s="160">
        <v>1</v>
      </c>
      <c r="E365" s="162">
        <v>11.36</v>
      </c>
      <c r="F365" s="162">
        <v>1.5</v>
      </c>
      <c r="G365" s="162" t="s">
        <v>1288</v>
      </c>
      <c r="H365" s="162">
        <f t="shared" si="23"/>
        <v>17.04</v>
      </c>
      <c r="I365" s="159"/>
    </row>
    <row r="366" spans="1:9" ht="21" customHeight="1">
      <c r="A366" s="160"/>
      <c r="B366" s="161" t="s">
        <v>3374</v>
      </c>
      <c r="C366" s="160">
        <v>1</v>
      </c>
      <c r="D366" s="160">
        <v>1</v>
      </c>
      <c r="E366" s="162">
        <v>1</v>
      </c>
      <c r="F366" s="162">
        <v>3.19</v>
      </c>
      <c r="G366" s="162" t="s">
        <v>1288</v>
      </c>
      <c r="H366" s="162">
        <f t="shared" si="23"/>
        <v>3.19</v>
      </c>
      <c r="I366" s="159"/>
    </row>
    <row r="367" spans="1:9" ht="21" customHeight="1">
      <c r="A367" s="160"/>
      <c r="B367" s="161" t="s">
        <v>3298</v>
      </c>
      <c r="C367" s="160">
        <v>1</v>
      </c>
      <c r="D367" s="160">
        <v>1</v>
      </c>
      <c r="E367" s="162">
        <v>4.7</v>
      </c>
      <c r="F367" s="162">
        <v>2.4700000000000002</v>
      </c>
      <c r="G367" s="162" t="s">
        <v>1288</v>
      </c>
      <c r="H367" s="162">
        <f t="shared" si="23"/>
        <v>11.61</v>
      </c>
      <c r="I367" s="159"/>
    </row>
    <row r="368" spans="1:9" ht="21" customHeight="1">
      <c r="A368" s="160"/>
      <c r="B368" s="161" t="s">
        <v>3379</v>
      </c>
      <c r="C368" s="160">
        <v>1</v>
      </c>
      <c r="D368" s="160">
        <v>1</v>
      </c>
      <c r="E368" s="162">
        <v>2.4</v>
      </c>
      <c r="F368" s="162">
        <v>2.89</v>
      </c>
      <c r="G368" s="162" t="s">
        <v>1288</v>
      </c>
      <c r="H368" s="162">
        <f t="shared" si="23"/>
        <v>6.94</v>
      </c>
      <c r="I368" s="159"/>
    </row>
    <row r="369" spans="1:9" ht="21" customHeight="1">
      <c r="A369" s="160"/>
      <c r="B369" s="161" t="s">
        <v>3369</v>
      </c>
      <c r="C369" s="160">
        <v>1</v>
      </c>
      <c r="D369" s="160">
        <v>1</v>
      </c>
      <c r="E369" s="162">
        <v>3.47</v>
      </c>
      <c r="F369" s="162">
        <v>3</v>
      </c>
      <c r="G369" s="162" t="s">
        <v>1288</v>
      </c>
      <c r="H369" s="162">
        <f t="shared" si="23"/>
        <v>10.41</v>
      </c>
      <c r="I369" s="159"/>
    </row>
    <row r="370" spans="1:9" ht="21" customHeight="1">
      <c r="A370" s="160"/>
      <c r="B370" s="161" t="s">
        <v>3299</v>
      </c>
      <c r="C370" s="160">
        <v>1</v>
      </c>
      <c r="D370" s="160">
        <v>1</v>
      </c>
      <c r="E370" s="162">
        <v>1.1399999999999999</v>
      </c>
      <c r="F370" s="162">
        <v>1.69</v>
      </c>
      <c r="G370" s="162" t="s">
        <v>1288</v>
      </c>
      <c r="H370" s="162">
        <f t="shared" si="23"/>
        <v>1.93</v>
      </c>
      <c r="I370" s="159"/>
    </row>
    <row r="371" spans="1:9" ht="21" customHeight="1">
      <c r="A371" s="160"/>
      <c r="B371" s="161" t="s">
        <v>3388</v>
      </c>
      <c r="C371" s="160">
        <v>1</v>
      </c>
      <c r="D371" s="160">
        <v>1</v>
      </c>
      <c r="E371" s="162">
        <v>1.1399999999999999</v>
      </c>
      <c r="F371" s="162">
        <v>1.2</v>
      </c>
      <c r="G371" s="162" t="s">
        <v>1288</v>
      </c>
      <c r="H371" s="162">
        <f t="shared" si="23"/>
        <v>1.37</v>
      </c>
      <c r="I371" s="159"/>
    </row>
    <row r="372" spans="1:9" ht="21" customHeight="1">
      <c r="A372" s="160"/>
      <c r="B372" s="161" t="s">
        <v>3389</v>
      </c>
      <c r="C372" s="160">
        <v>1</v>
      </c>
      <c r="D372" s="160">
        <v>1</v>
      </c>
      <c r="E372" s="162">
        <v>1.1399999999999999</v>
      </c>
      <c r="F372" s="162">
        <v>1.69</v>
      </c>
      <c r="G372" s="162" t="s">
        <v>1288</v>
      </c>
      <c r="H372" s="162">
        <f t="shared" si="23"/>
        <v>1.93</v>
      </c>
      <c r="I372" s="159"/>
    </row>
    <row r="373" spans="1:9" ht="21" customHeight="1">
      <c r="A373" s="160"/>
      <c r="B373" s="161" t="s">
        <v>3362</v>
      </c>
      <c r="C373" s="160">
        <v>1</v>
      </c>
      <c r="D373" s="160">
        <v>1</v>
      </c>
      <c r="E373" s="162">
        <v>1.1399999999999999</v>
      </c>
      <c r="F373" s="162">
        <v>1.2</v>
      </c>
      <c r="G373" s="162" t="s">
        <v>1288</v>
      </c>
      <c r="H373" s="162">
        <f t="shared" si="23"/>
        <v>1.37</v>
      </c>
      <c r="I373" s="159"/>
    </row>
    <row r="374" spans="1:9" ht="21" customHeight="1">
      <c r="A374" s="160"/>
      <c r="B374" s="161" t="s">
        <v>3296</v>
      </c>
      <c r="C374" s="160">
        <v>1</v>
      </c>
      <c r="D374" s="160">
        <v>1</v>
      </c>
      <c r="E374" s="162">
        <v>2.4</v>
      </c>
      <c r="F374" s="162">
        <v>4.43</v>
      </c>
      <c r="G374" s="162" t="s">
        <v>1288</v>
      </c>
      <c r="H374" s="162">
        <f t="shared" si="23"/>
        <v>10.63</v>
      </c>
      <c r="I374" s="159"/>
    </row>
    <row r="375" spans="1:9" ht="21" customHeight="1">
      <c r="A375" s="160"/>
      <c r="B375" s="163" t="s">
        <v>3323</v>
      </c>
      <c r="C375" s="160"/>
      <c r="D375" s="160"/>
      <c r="E375" s="162"/>
      <c r="F375" s="162"/>
      <c r="G375" s="162"/>
      <c r="H375" s="162"/>
      <c r="I375" s="159"/>
    </row>
    <row r="376" spans="1:9" ht="21" customHeight="1">
      <c r="A376" s="160"/>
      <c r="B376" s="161" t="s">
        <v>3387</v>
      </c>
      <c r="C376" s="160">
        <v>1</v>
      </c>
      <c r="D376" s="160">
        <v>1</v>
      </c>
      <c r="E376" s="162">
        <v>3.93</v>
      </c>
      <c r="F376" s="162">
        <v>0.6</v>
      </c>
      <c r="G376" s="162" t="s">
        <v>1288</v>
      </c>
      <c r="H376" s="162">
        <f>PRODUCT(C376:G376)</f>
        <v>2.36</v>
      </c>
      <c r="I376" s="159"/>
    </row>
    <row r="377" spans="1:9" ht="21" customHeight="1">
      <c r="A377" s="160"/>
      <c r="B377" s="161" t="s">
        <v>3373</v>
      </c>
      <c r="C377" s="160">
        <v>1</v>
      </c>
      <c r="D377" s="160">
        <v>1</v>
      </c>
      <c r="E377" s="162">
        <v>3.59</v>
      </c>
      <c r="F377" s="162">
        <v>0.6</v>
      </c>
      <c r="G377" s="162" t="s">
        <v>1288</v>
      </c>
      <c r="H377" s="162">
        <f>PRODUCT(C377:G377)</f>
        <v>2.15</v>
      </c>
      <c r="I377" s="159"/>
    </row>
    <row r="378" spans="1:9" ht="21" customHeight="1">
      <c r="A378" s="160"/>
      <c r="B378" s="161" t="s">
        <v>3371</v>
      </c>
      <c r="C378" s="160">
        <v>1</v>
      </c>
      <c r="D378" s="160">
        <v>1</v>
      </c>
      <c r="E378" s="162">
        <v>2.4</v>
      </c>
      <c r="F378" s="162">
        <v>0.6</v>
      </c>
      <c r="G378" s="162" t="s">
        <v>1288</v>
      </c>
      <c r="H378" s="162">
        <f>PRODUCT(C378:G378)</f>
        <v>1.44</v>
      </c>
      <c r="I378" s="159"/>
    </row>
    <row r="379" spans="1:9" ht="21" customHeight="1">
      <c r="A379" s="160"/>
      <c r="B379" s="161" t="s">
        <v>3369</v>
      </c>
      <c r="C379" s="160">
        <v>1</v>
      </c>
      <c r="D379" s="160">
        <v>1</v>
      </c>
      <c r="E379" s="162">
        <v>3</v>
      </c>
      <c r="F379" s="162">
        <v>0.6</v>
      </c>
      <c r="G379" s="162" t="s">
        <v>1288</v>
      </c>
      <c r="H379" s="162">
        <f>PRODUCT(C379:G379)</f>
        <v>1.8</v>
      </c>
      <c r="I379" s="159"/>
    </row>
    <row r="380" spans="1:9" ht="21" customHeight="1">
      <c r="A380" s="160"/>
      <c r="B380" s="163" t="s">
        <v>3317</v>
      </c>
      <c r="C380" s="160"/>
      <c r="D380" s="160"/>
      <c r="E380" s="162"/>
      <c r="F380" s="162"/>
      <c r="G380" s="162"/>
      <c r="H380" s="162"/>
      <c r="I380" s="159"/>
    </row>
    <row r="381" spans="1:9" ht="21" customHeight="1">
      <c r="A381" s="160"/>
      <c r="B381" s="161" t="s">
        <v>3317</v>
      </c>
      <c r="C381" s="160">
        <v>1</v>
      </c>
      <c r="D381" s="160">
        <v>1</v>
      </c>
      <c r="E381" s="162">
        <v>2.4</v>
      </c>
      <c r="F381" s="162">
        <v>4.45</v>
      </c>
      <c r="G381" s="162" t="s">
        <v>1288</v>
      </c>
      <c r="H381" s="162">
        <f>PRODUCT(C381:G381)</f>
        <v>10.68</v>
      </c>
      <c r="I381" s="159"/>
    </row>
    <row r="382" spans="1:9" ht="21" customHeight="1">
      <c r="A382" s="160"/>
      <c r="B382" s="161" t="s">
        <v>3407</v>
      </c>
      <c r="C382" s="160">
        <v>-1</v>
      </c>
      <c r="D382" s="160">
        <v>1</v>
      </c>
      <c r="E382" s="162">
        <f>H190</f>
        <v>33.6</v>
      </c>
      <c r="F382" s="162" t="s">
        <v>1288</v>
      </c>
      <c r="G382" s="162" t="s">
        <v>1288</v>
      </c>
      <c r="H382" s="162">
        <f>PRODUCT(C382:G382)</f>
        <v>-33.6</v>
      </c>
      <c r="I382" s="159"/>
    </row>
    <row r="383" spans="1:9" ht="21" customHeight="1">
      <c r="A383" s="160"/>
      <c r="B383" s="161"/>
      <c r="C383" s="160"/>
      <c r="D383" s="160"/>
      <c r="E383" s="162"/>
      <c r="F383" s="162"/>
      <c r="G383" s="159" t="s">
        <v>1827</v>
      </c>
      <c r="H383" s="159">
        <f>SUM(H343:H382)</f>
        <v>190.67</v>
      </c>
      <c r="I383" s="159"/>
    </row>
    <row r="384" spans="1:9" ht="21" customHeight="1">
      <c r="A384" s="160"/>
      <c r="B384" s="161"/>
      <c r="C384" s="160"/>
      <c r="D384" s="160"/>
      <c r="E384" s="162"/>
      <c r="F384" s="162"/>
      <c r="G384" s="159" t="s">
        <v>2560</v>
      </c>
      <c r="H384" s="159">
        <f>ROUNDUP(H383,1)</f>
        <v>190.7</v>
      </c>
      <c r="I384" s="159" t="s">
        <v>488</v>
      </c>
    </row>
    <row r="385" spans="1:9" ht="36">
      <c r="A385" s="160">
        <f>A341+1</f>
        <v>19</v>
      </c>
      <c r="B385" s="161" t="str">
        <f>'[11]Building (2)'!B1013</f>
        <v>Painting one coat for old iron work</v>
      </c>
      <c r="C385" s="160"/>
      <c r="D385" s="160"/>
      <c r="E385" s="162"/>
      <c r="F385" s="162"/>
      <c r="G385" s="162"/>
      <c r="H385" s="162"/>
      <c r="I385" s="159"/>
    </row>
    <row r="386" spans="1:9" ht="21" customHeight="1">
      <c r="A386" s="160"/>
      <c r="B386" s="161" t="s">
        <v>3396</v>
      </c>
      <c r="C386" s="160">
        <v>1</v>
      </c>
      <c r="D386" s="160">
        <v>2</v>
      </c>
      <c r="E386" s="162">
        <v>0.9</v>
      </c>
      <c r="F386" s="162">
        <v>1</v>
      </c>
      <c r="G386" s="162">
        <v>1.8</v>
      </c>
      <c r="H386" s="162">
        <f t="shared" ref="H386:H391" si="24">PRODUCT(C386:G386)</f>
        <v>3.24</v>
      </c>
      <c r="I386" s="159"/>
    </row>
    <row r="387" spans="1:9" ht="21" customHeight="1">
      <c r="A387" s="160"/>
      <c r="B387" s="161" t="s">
        <v>3320</v>
      </c>
      <c r="C387" s="160">
        <v>1</v>
      </c>
      <c r="D387" s="160">
        <v>11</v>
      </c>
      <c r="E387" s="162">
        <v>1.35</v>
      </c>
      <c r="F387" s="162">
        <v>1</v>
      </c>
      <c r="G387" s="162">
        <v>1.35</v>
      </c>
      <c r="H387" s="162">
        <f t="shared" si="24"/>
        <v>20.05</v>
      </c>
      <c r="I387" s="159"/>
    </row>
    <row r="388" spans="1:9" ht="21" customHeight="1">
      <c r="A388" s="160"/>
      <c r="B388" s="161" t="s">
        <v>3397</v>
      </c>
      <c r="C388" s="160">
        <v>1</v>
      </c>
      <c r="D388" s="160">
        <v>1</v>
      </c>
      <c r="E388" s="162">
        <v>1.5</v>
      </c>
      <c r="F388" s="162">
        <v>1</v>
      </c>
      <c r="G388" s="162">
        <v>1.35</v>
      </c>
      <c r="H388" s="162">
        <f t="shared" si="24"/>
        <v>2.0299999999999998</v>
      </c>
      <c r="I388" s="159"/>
    </row>
    <row r="389" spans="1:9" ht="21" customHeight="1">
      <c r="A389" s="160"/>
      <c r="B389" s="161" t="s">
        <v>3398</v>
      </c>
      <c r="C389" s="160">
        <v>1</v>
      </c>
      <c r="D389" s="160">
        <v>2</v>
      </c>
      <c r="E389" s="162">
        <v>1.35</v>
      </c>
      <c r="F389" s="162">
        <v>1</v>
      </c>
      <c r="G389" s="162">
        <v>0.6</v>
      </c>
      <c r="H389" s="162">
        <f t="shared" si="24"/>
        <v>1.62</v>
      </c>
      <c r="I389" s="159"/>
    </row>
    <row r="390" spans="1:9" ht="21" customHeight="1">
      <c r="A390" s="160"/>
      <c r="B390" s="161" t="s">
        <v>3399</v>
      </c>
      <c r="C390" s="160">
        <v>1</v>
      </c>
      <c r="D390" s="160">
        <v>1</v>
      </c>
      <c r="E390" s="162">
        <v>0.6</v>
      </c>
      <c r="F390" s="162">
        <v>1</v>
      </c>
      <c r="G390" s="162">
        <v>0.6</v>
      </c>
      <c r="H390" s="162">
        <f>PRODUCT(C390:G390)</f>
        <v>0.36</v>
      </c>
      <c r="I390" s="159"/>
    </row>
    <row r="391" spans="1:9" ht="21" customHeight="1">
      <c r="A391" s="160"/>
      <c r="B391" s="161" t="s">
        <v>3302</v>
      </c>
      <c r="C391" s="160">
        <v>1</v>
      </c>
      <c r="D391" s="160">
        <v>2</v>
      </c>
      <c r="E391" s="162">
        <v>1</v>
      </c>
      <c r="F391" s="162">
        <v>1</v>
      </c>
      <c r="G391" s="162">
        <v>2.1</v>
      </c>
      <c r="H391" s="162">
        <f t="shared" si="24"/>
        <v>4.2</v>
      </c>
      <c r="I391" s="159"/>
    </row>
    <row r="392" spans="1:9" ht="21" customHeight="1">
      <c r="A392" s="160"/>
      <c r="B392" s="161" t="s">
        <v>3345</v>
      </c>
      <c r="C392" s="160">
        <v>1</v>
      </c>
      <c r="D392" s="160">
        <v>1</v>
      </c>
      <c r="E392" s="162">
        <v>1</v>
      </c>
      <c r="F392" s="162">
        <v>1</v>
      </c>
      <c r="G392" s="162">
        <v>2.1</v>
      </c>
      <c r="H392" s="162">
        <f>PRODUCT(C392:G392)</f>
        <v>2.1</v>
      </c>
      <c r="I392" s="159"/>
    </row>
    <row r="393" spans="1:9" ht="21" customHeight="1">
      <c r="A393" s="160"/>
      <c r="B393" s="163" t="s">
        <v>3391</v>
      </c>
      <c r="C393" s="160"/>
      <c r="D393" s="160"/>
      <c r="E393" s="162"/>
      <c r="F393" s="162"/>
      <c r="G393" s="162"/>
      <c r="H393" s="162"/>
      <c r="I393" s="159"/>
    </row>
    <row r="394" spans="1:9" ht="21" customHeight="1">
      <c r="A394" s="160"/>
      <c r="B394" s="161" t="s">
        <v>3405</v>
      </c>
      <c r="C394" s="160">
        <v>1</v>
      </c>
      <c r="D394" s="160">
        <v>1</v>
      </c>
      <c r="E394" s="162">
        <v>0.9</v>
      </c>
      <c r="F394" s="162">
        <v>1</v>
      </c>
      <c r="G394" s="162">
        <v>2.1</v>
      </c>
      <c r="H394" s="162">
        <f>PRODUCT(C394:G394)</f>
        <v>1.89</v>
      </c>
      <c r="I394" s="159"/>
    </row>
    <row r="395" spans="1:9" ht="21" customHeight="1">
      <c r="A395" s="160"/>
      <c r="B395" s="161" t="s">
        <v>3320</v>
      </c>
      <c r="C395" s="160">
        <v>1</v>
      </c>
      <c r="D395" s="160">
        <v>1</v>
      </c>
      <c r="E395" s="162">
        <v>0.9</v>
      </c>
      <c r="F395" s="162">
        <v>1</v>
      </c>
      <c r="G395" s="162">
        <v>1.35</v>
      </c>
      <c r="H395" s="162">
        <f>PRODUCT(C395:G395)</f>
        <v>1.22</v>
      </c>
      <c r="I395" s="159"/>
    </row>
    <row r="396" spans="1:9" ht="21" customHeight="1">
      <c r="A396" s="160"/>
      <c r="B396" s="161"/>
      <c r="C396" s="160"/>
      <c r="D396" s="160"/>
      <c r="E396" s="162"/>
      <c r="F396" s="162"/>
      <c r="G396" s="159" t="s">
        <v>1827</v>
      </c>
      <c r="H396" s="159">
        <f>SUM(H386:H395)</f>
        <v>36.71</v>
      </c>
      <c r="I396" s="159"/>
    </row>
    <row r="397" spans="1:9" ht="21" customHeight="1">
      <c r="A397" s="160"/>
      <c r="B397" s="161"/>
      <c r="C397" s="160"/>
      <c r="D397" s="160"/>
      <c r="E397" s="162"/>
      <c r="F397" s="162"/>
      <c r="G397" s="159" t="s">
        <v>2560</v>
      </c>
      <c r="H397" s="159">
        <f>ROUNDUP(H396,1)</f>
        <v>36.799999999999997</v>
      </c>
      <c r="I397" s="159" t="s">
        <v>488</v>
      </c>
    </row>
    <row r="398" spans="1:9" ht="36">
      <c r="A398" s="160">
        <f>A385+1</f>
        <v>20</v>
      </c>
      <c r="B398" s="161" t="str">
        <f>'[11]Building (2)'!B1015</f>
        <v>Painting one coat for old wood work</v>
      </c>
      <c r="C398" s="160"/>
      <c r="D398" s="160"/>
      <c r="E398" s="162"/>
      <c r="F398" s="162"/>
      <c r="G398" s="162"/>
      <c r="H398" s="162"/>
      <c r="I398" s="159"/>
    </row>
    <row r="399" spans="1:9" ht="21" customHeight="1">
      <c r="A399" s="160"/>
      <c r="B399" s="161" t="s">
        <v>3301</v>
      </c>
      <c r="C399" s="160">
        <v>1</v>
      </c>
      <c r="D399" s="160">
        <v>9</v>
      </c>
      <c r="E399" s="162">
        <v>1</v>
      </c>
      <c r="F399" s="162">
        <v>2.6</v>
      </c>
      <c r="G399" s="162">
        <v>2.1</v>
      </c>
      <c r="H399" s="162">
        <f>PRODUCT(C399:G399)</f>
        <v>49.14</v>
      </c>
      <c r="I399" s="159"/>
    </row>
    <row r="400" spans="1:9" ht="21" customHeight="1">
      <c r="A400" s="160"/>
      <c r="B400" s="161" t="s">
        <v>3324</v>
      </c>
      <c r="C400" s="160">
        <v>1</v>
      </c>
      <c r="D400" s="160">
        <v>1</v>
      </c>
      <c r="E400" s="162">
        <v>1.5</v>
      </c>
      <c r="F400" s="162">
        <v>2.6</v>
      </c>
      <c r="G400" s="162">
        <v>2.1</v>
      </c>
      <c r="H400" s="162">
        <f>PRODUCT(C400:G400)</f>
        <v>8.19</v>
      </c>
      <c r="I400" s="159"/>
    </row>
    <row r="401" spans="1:9" ht="21" customHeight="1">
      <c r="A401" s="160"/>
      <c r="B401" s="161"/>
      <c r="C401" s="160"/>
      <c r="D401" s="160"/>
      <c r="E401" s="162"/>
      <c r="F401" s="162"/>
      <c r="G401" s="159" t="s">
        <v>1827</v>
      </c>
      <c r="H401" s="159">
        <f>SUM(H399:H400)</f>
        <v>57.33</v>
      </c>
      <c r="I401" s="159"/>
    </row>
    <row r="402" spans="1:9" ht="21" customHeight="1">
      <c r="A402" s="160"/>
      <c r="B402" s="161"/>
      <c r="C402" s="160"/>
      <c r="D402" s="160"/>
      <c r="E402" s="162"/>
      <c r="F402" s="162"/>
      <c r="G402" s="159" t="s">
        <v>2560</v>
      </c>
      <c r="H402" s="159">
        <f>ROUNDUP(H401,1)</f>
        <v>57.4</v>
      </c>
      <c r="I402" s="159" t="s">
        <v>488</v>
      </c>
    </row>
    <row r="403" spans="1:9" ht="36">
      <c r="A403" s="160">
        <f>A398+1</f>
        <v>21</v>
      </c>
      <c r="B403" s="161" t="str">
        <f>'[11]Building (2)'!B1019</f>
        <v>Plastic Emulsion PAINT two coat for old wall</v>
      </c>
      <c r="C403" s="160"/>
      <c r="D403" s="160"/>
      <c r="E403" s="162"/>
      <c r="F403" s="162"/>
      <c r="G403" s="162"/>
      <c r="H403" s="162"/>
      <c r="I403" s="159"/>
    </row>
    <row r="404" spans="1:9" ht="21" customHeight="1">
      <c r="A404" s="160"/>
      <c r="B404" s="161" t="s">
        <v>3408</v>
      </c>
      <c r="C404" s="160">
        <v>1</v>
      </c>
      <c r="D404" s="160">
        <v>1</v>
      </c>
      <c r="E404" s="162">
        <v>44.5</v>
      </c>
      <c r="F404" s="162" t="s">
        <v>1288</v>
      </c>
      <c r="G404" s="162">
        <v>8.1999999999999993</v>
      </c>
      <c r="H404" s="162">
        <f t="shared" ref="H404:H414" si="25">PRODUCT(C404:G404)</f>
        <v>364.9</v>
      </c>
      <c r="I404" s="159"/>
    </row>
    <row r="405" spans="1:9" ht="21" customHeight="1">
      <c r="A405" s="160"/>
      <c r="B405" s="161" t="s">
        <v>3353</v>
      </c>
      <c r="C405" s="160">
        <v>1</v>
      </c>
      <c r="D405" s="160">
        <v>1</v>
      </c>
      <c r="E405" s="162">
        <v>43.81</v>
      </c>
      <c r="F405" s="162" t="s">
        <v>1288</v>
      </c>
      <c r="G405" s="162">
        <v>1.1200000000000001</v>
      </c>
      <c r="H405" s="162">
        <f t="shared" si="25"/>
        <v>49.07</v>
      </c>
      <c r="I405" s="159"/>
    </row>
    <row r="406" spans="1:9" ht="21" customHeight="1">
      <c r="A406" s="160"/>
      <c r="B406" s="161" t="s">
        <v>3354</v>
      </c>
      <c r="C406" s="160">
        <v>2</v>
      </c>
      <c r="D406" s="160">
        <v>10</v>
      </c>
      <c r="E406" s="162">
        <v>0.12</v>
      </c>
      <c r="F406" s="162" t="s">
        <v>1288</v>
      </c>
      <c r="G406" s="162">
        <v>1.1200000000000001</v>
      </c>
      <c r="H406" s="162">
        <f t="shared" si="25"/>
        <v>2.69</v>
      </c>
      <c r="I406" s="159"/>
    </row>
    <row r="407" spans="1:9" ht="21" customHeight="1">
      <c r="A407" s="160"/>
      <c r="B407" s="161" t="s">
        <v>3355</v>
      </c>
      <c r="C407" s="160">
        <v>1</v>
      </c>
      <c r="D407" s="160">
        <v>1</v>
      </c>
      <c r="E407" s="162">
        <v>4.2300000000000004</v>
      </c>
      <c r="F407" s="162" t="s">
        <v>1288</v>
      </c>
      <c r="G407" s="162">
        <v>0.85</v>
      </c>
      <c r="H407" s="162">
        <f t="shared" si="25"/>
        <v>3.6</v>
      </c>
      <c r="I407" s="159"/>
    </row>
    <row r="408" spans="1:9" ht="21" customHeight="1">
      <c r="A408" s="160"/>
      <c r="B408" s="161" t="s">
        <v>3409</v>
      </c>
      <c r="C408" s="160">
        <v>1</v>
      </c>
      <c r="D408" s="160">
        <v>1</v>
      </c>
      <c r="E408" s="162">
        <v>8</v>
      </c>
      <c r="F408" s="162" t="s">
        <v>1288</v>
      </c>
      <c r="G408" s="162">
        <v>0.15</v>
      </c>
      <c r="H408" s="162">
        <f t="shared" si="25"/>
        <v>1.2</v>
      </c>
      <c r="I408" s="159"/>
    </row>
    <row r="409" spans="1:9" ht="21" customHeight="1">
      <c r="A409" s="160"/>
      <c r="B409" s="161" t="s">
        <v>3356</v>
      </c>
      <c r="C409" s="160">
        <v>1</v>
      </c>
      <c r="D409" s="160">
        <v>1</v>
      </c>
      <c r="E409" s="162">
        <v>5.76</v>
      </c>
      <c r="F409" s="162" t="s">
        <v>1288</v>
      </c>
      <c r="G409" s="162">
        <v>1.85</v>
      </c>
      <c r="H409" s="162">
        <f t="shared" si="25"/>
        <v>10.66</v>
      </c>
      <c r="I409" s="159"/>
    </row>
    <row r="410" spans="1:9" ht="21" customHeight="1">
      <c r="A410" s="160"/>
      <c r="B410" s="161" t="s">
        <v>3357</v>
      </c>
      <c r="C410" s="160">
        <v>2</v>
      </c>
      <c r="D410" s="169">
        <v>0.5</v>
      </c>
      <c r="E410" s="162">
        <v>2</v>
      </c>
      <c r="F410" s="162" t="s">
        <v>1288</v>
      </c>
      <c r="G410" s="162">
        <v>1.85</v>
      </c>
      <c r="H410" s="162">
        <f t="shared" si="25"/>
        <v>3.7</v>
      </c>
      <c r="I410" s="159"/>
    </row>
    <row r="411" spans="1:9" ht="21" customHeight="1">
      <c r="A411" s="160"/>
      <c r="B411" s="161" t="s">
        <v>3410</v>
      </c>
      <c r="C411" s="160">
        <v>1</v>
      </c>
      <c r="D411" s="160">
        <v>1</v>
      </c>
      <c r="E411" s="162">
        <v>14.62</v>
      </c>
      <c r="F411" s="162" t="s">
        <v>1288</v>
      </c>
      <c r="G411" s="162">
        <v>0.42</v>
      </c>
      <c r="H411" s="162">
        <f t="shared" si="25"/>
        <v>6.14</v>
      </c>
      <c r="I411" s="159"/>
    </row>
    <row r="412" spans="1:9" ht="21" customHeight="1">
      <c r="A412" s="160"/>
      <c r="B412" s="161" t="s">
        <v>3318</v>
      </c>
      <c r="C412" s="160">
        <v>1</v>
      </c>
      <c r="D412" s="160">
        <v>1</v>
      </c>
      <c r="E412" s="162">
        <v>2.04</v>
      </c>
      <c r="F412" s="162">
        <v>1.5</v>
      </c>
      <c r="G412" s="162" t="s">
        <v>1288</v>
      </c>
      <c r="H412" s="162">
        <f t="shared" si="25"/>
        <v>3.06</v>
      </c>
      <c r="I412" s="159"/>
    </row>
    <row r="413" spans="1:9" ht="21" customHeight="1">
      <c r="A413" s="160"/>
      <c r="B413" s="161" t="s">
        <v>3391</v>
      </c>
      <c r="C413" s="160">
        <v>1</v>
      </c>
      <c r="D413" s="160">
        <v>1</v>
      </c>
      <c r="E413" s="162">
        <v>9.64</v>
      </c>
      <c r="F413" s="162" t="s">
        <v>1288</v>
      </c>
      <c r="G413" s="162">
        <v>2.52</v>
      </c>
      <c r="H413" s="162">
        <f t="shared" si="25"/>
        <v>24.29</v>
      </c>
      <c r="I413" s="159"/>
    </row>
    <row r="414" spans="1:9" ht="21" customHeight="1">
      <c r="A414" s="160"/>
      <c r="B414" s="161" t="s">
        <v>3411</v>
      </c>
      <c r="C414" s="160">
        <v>1</v>
      </c>
      <c r="D414" s="160">
        <v>1</v>
      </c>
      <c r="E414" s="162">
        <v>4.7</v>
      </c>
      <c r="F414" s="162">
        <v>0.6</v>
      </c>
      <c r="G414" s="162" t="s">
        <v>1288</v>
      </c>
      <c r="H414" s="162">
        <f t="shared" si="25"/>
        <v>2.82</v>
      </c>
      <c r="I414" s="159"/>
    </row>
    <row r="415" spans="1:9" ht="21" customHeight="1">
      <c r="A415" s="160"/>
      <c r="B415" s="163" t="s">
        <v>3412</v>
      </c>
      <c r="C415" s="160"/>
      <c r="D415" s="160"/>
      <c r="E415" s="162"/>
      <c r="F415" s="162"/>
      <c r="G415" s="162"/>
      <c r="H415" s="162"/>
      <c r="I415" s="159"/>
    </row>
    <row r="416" spans="1:9" ht="21" customHeight="1">
      <c r="A416" s="160"/>
      <c r="B416" s="161" t="s">
        <v>3320</v>
      </c>
      <c r="C416" s="160">
        <v>2</v>
      </c>
      <c r="D416" s="160">
        <v>7</v>
      </c>
      <c r="E416" s="162">
        <v>1.81</v>
      </c>
      <c r="F416" s="162">
        <v>0.6</v>
      </c>
      <c r="G416" s="162" t="s">
        <v>1288</v>
      </c>
      <c r="H416" s="162">
        <f t="shared" ref="H416:H426" si="26">PRODUCT(C416:G416)</f>
        <v>15.2</v>
      </c>
      <c r="I416" s="159"/>
    </row>
    <row r="417" spans="1:9" ht="21" customHeight="1">
      <c r="A417" s="160"/>
      <c r="B417" s="161" t="s">
        <v>3320</v>
      </c>
      <c r="C417" s="160">
        <v>2</v>
      </c>
      <c r="D417" s="160">
        <v>2</v>
      </c>
      <c r="E417" s="162">
        <v>3.76</v>
      </c>
      <c r="F417" s="162">
        <v>0.6</v>
      </c>
      <c r="G417" s="162" t="s">
        <v>1288</v>
      </c>
      <c r="H417" s="162">
        <f t="shared" si="26"/>
        <v>9.02</v>
      </c>
      <c r="I417" s="159"/>
    </row>
    <row r="418" spans="1:9" ht="21" customHeight="1">
      <c r="A418" s="160"/>
      <c r="B418" s="161" t="s">
        <v>3321</v>
      </c>
      <c r="C418" s="160">
        <v>2</v>
      </c>
      <c r="D418" s="160">
        <v>1</v>
      </c>
      <c r="E418" s="162">
        <v>1.36</v>
      </c>
      <c r="F418" s="162">
        <v>0.6</v>
      </c>
      <c r="G418" s="162" t="s">
        <v>1288</v>
      </c>
      <c r="H418" s="162">
        <f t="shared" si="26"/>
        <v>1.63</v>
      </c>
      <c r="I418" s="159"/>
    </row>
    <row r="419" spans="1:9" ht="21" customHeight="1">
      <c r="A419" s="160"/>
      <c r="B419" s="161" t="s">
        <v>3398</v>
      </c>
      <c r="C419" s="160">
        <v>2</v>
      </c>
      <c r="D419" s="160">
        <v>2</v>
      </c>
      <c r="E419" s="162">
        <v>1.81</v>
      </c>
      <c r="F419" s="162">
        <v>0.6</v>
      </c>
      <c r="G419" s="162" t="s">
        <v>1288</v>
      </c>
      <c r="H419" s="162">
        <f t="shared" si="26"/>
        <v>4.34</v>
      </c>
      <c r="I419" s="159"/>
    </row>
    <row r="420" spans="1:9" ht="21" customHeight="1">
      <c r="A420" s="160"/>
      <c r="B420" s="161" t="s">
        <v>3413</v>
      </c>
      <c r="C420" s="160">
        <v>2</v>
      </c>
      <c r="D420" s="160">
        <v>1</v>
      </c>
      <c r="E420" s="162">
        <v>2.4</v>
      </c>
      <c r="F420" s="162">
        <v>0.6</v>
      </c>
      <c r="G420" s="162" t="s">
        <v>1288</v>
      </c>
      <c r="H420" s="162">
        <f t="shared" si="26"/>
        <v>2.88</v>
      </c>
      <c r="I420" s="159"/>
    </row>
    <row r="421" spans="1:9" ht="21" customHeight="1">
      <c r="A421" s="160"/>
      <c r="B421" s="161" t="s">
        <v>3322</v>
      </c>
      <c r="C421" s="160">
        <v>2</v>
      </c>
      <c r="D421" s="160">
        <v>1</v>
      </c>
      <c r="E421" s="162">
        <v>1.36</v>
      </c>
      <c r="F421" s="162">
        <v>0.6</v>
      </c>
      <c r="G421" s="162" t="s">
        <v>1288</v>
      </c>
      <c r="H421" s="162">
        <f t="shared" si="26"/>
        <v>1.63</v>
      </c>
      <c r="I421" s="159"/>
    </row>
    <row r="422" spans="1:9" ht="21" customHeight="1">
      <c r="A422" s="160"/>
      <c r="B422" s="161" t="s">
        <v>3322</v>
      </c>
      <c r="C422" s="160">
        <v>2</v>
      </c>
      <c r="D422" s="160">
        <v>1</v>
      </c>
      <c r="E422" s="162">
        <v>2.42</v>
      </c>
      <c r="F422" s="162">
        <v>0.6</v>
      </c>
      <c r="G422" s="162" t="s">
        <v>1288</v>
      </c>
      <c r="H422" s="162">
        <f t="shared" si="26"/>
        <v>2.9</v>
      </c>
      <c r="I422" s="159"/>
    </row>
    <row r="423" spans="1:9" ht="21" customHeight="1">
      <c r="A423" s="160"/>
      <c r="B423" s="161" t="s">
        <v>3414</v>
      </c>
      <c r="C423" s="160">
        <v>2</v>
      </c>
      <c r="D423" s="160">
        <v>1</v>
      </c>
      <c r="E423" s="162">
        <v>2.5299999999999998</v>
      </c>
      <c r="F423" s="162">
        <v>0.6</v>
      </c>
      <c r="G423" s="162" t="s">
        <v>1288</v>
      </c>
      <c r="H423" s="162">
        <f t="shared" si="26"/>
        <v>3.04</v>
      </c>
      <c r="I423" s="159"/>
    </row>
    <row r="424" spans="1:9" ht="21" customHeight="1">
      <c r="A424" s="160"/>
      <c r="B424" s="161" t="s">
        <v>3345</v>
      </c>
      <c r="C424" s="160">
        <v>2</v>
      </c>
      <c r="D424" s="160">
        <v>1</v>
      </c>
      <c r="E424" s="162">
        <v>1.46</v>
      </c>
      <c r="F424" s="162">
        <v>0.6</v>
      </c>
      <c r="G424" s="162" t="s">
        <v>1288</v>
      </c>
      <c r="H424" s="162">
        <f t="shared" si="26"/>
        <v>1.75</v>
      </c>
      <c r="I424" s="159"/>
    </row>
    <row r="425" spans="1:9" ht="21" customHeight="1">
      <c r="A425" s="160"/>
      <c r="B425" s="161" t="s">
        <v>3415</v>
      </c>
      <c r="C425" s="160">
        <v>2</v>
      </c>
      <c r="D425" s="160">
        <v>1</v>
      </c>
      <c r="E425" s="162">
        <v>1.36</v>
      </c>
      <c r="F425" s="162">
        <v>0.6</v>
      </c>
      <c r="G425" s="162" t="s">
        <v>1288</v>
      </c>
      <c r="H425" s="162">
        <f t="shared" si="26"/>
        <v>1.63</v>
      </c>
      <c r="I425" s="159"/>
    </row>
    <row r="426" spans="1:9" ht="21" customHeight="1">
      <c r="A426" s="160"/>
      <c r="B426" s="161" t="s">
        <v>3416</v>
      </c>
      <c r="C426" s="160">
        <v>2</v>
      </c>
      <c r="D426" s="160">
        <v>1</v>
      </c>
      <c r="E426" s="162">
        <v>1.36</v>
      </c>
      <c r="F426" s="162">
        <v>0.6</v>
      </c>
      <c r="G426" s="162" t="s">
        <v>1288</v>
      </c>
      <c r="H426" s="162">
        <f t="shared" si="26"/>
        <v>1.63</v>
      </c>
      <c r="I426" s="159"/>
    </row>
    <row r="427" spans="1:9" ht="21" customHeight="1">
      <c r="A427" s="160"/>
      <c r="B427" s="163" t="s">
        <v>3300</v>
      </c>
      <c r="C427" s="160"/>
      <c r="D427" s="160"/>
      <c r="E427" s="162"/>
      <c r="F427" s="162"/>
      <c r="G427" s="162"/>
      <c r="H427" s="162"/>
      <c r="I427" s="159"/>
    </row>
    <row r="428" spans="1:9" ht="21" customHeight="1">
      <c r="A428" s="160"/>
      <c r="B428" s="161" t="s">
        <v>3320</v>
      </c>
      <c r="C428" s="160">
        <v>1</v>
      </c>
      <c r="D428" s="160">
        <v>12</v>
      </c>
      <c r="E428" s="162">
        <v>5.4</v>
      </c>
      <c r="F428" s="162">
        <v>0.09</v>
      </c>
      <c r="G428" s="162" t="s">
        <v>1288</v>
      </c>
      <c r="H428" s="162">
        <f t="shared" ref="H428:H435" si="27">PRODUCT(C428:G428)</f>
        <v>5.83</v>
      </c>
      <c r="I428" s="159"/>
    </row>
    <row r="429" spans="1:9" ht="21" customHeight="1">
      <c r="A429" s="160"/>
      <c r="B429" s="161" t="s">
        <v>3321</v>
      </c>
      <c r="C429" s="160">
        <v>1</v>
      </c>
      <c r="D429" s="160">
        <v>2</v>
      </c>
      <c r="E429" s="162">
        <v>3</v>
      </c>
      <c r="F429" s="162">
        <v>0.09</v>
      </c>
      <c r="G429" s="162" t="s">
        <v>1288</v>
      </c>
      <c r="H429" s="162">
        <f t="shared" si="27"/>
        <v>0.54</v>
      </c>
      <c r="I429" s="159"/>
    </row>
    <row r="430" spans="1:9" ht="21" customHeight="1">
      <c r="A430" s="160"/>
      <c r="B430" s="161" t="s">
        <v>3398</v>
      </c>
      <c r="C430" s="160">
        <v>1</v>
      </c>
      <c r="D430" s="160">
        <v>2</v>
      </c>
      <c r="E430" s="162">
        <v>3.9</v>
      </c>
      <c r="F430" s="162">
        <v>0.09</v>
      </c>
      <c r="G430" s="162" t="s">
        <v>1288</v>
      </c>
      <c r="H430" s="162">
        <f t="shared" si="27"/>
        <v>0.7</v>
      </c>
      <c r="I430" s="159"/>
    </row>
    <row r="431" spans="1:9" ht="21" customHeight="1">
      <c r="A431" s="160"/>
      <c r="B431" s="161" t="s">
        <v>3322</v>
      </c>
      <c r="C431" s="160">
        <v>1</v>
      </c>
      <c r="D431" s="160">
        <v>3</v>
      </c>
      <c r="E431" s="162">
        <v>3</v>
      </c>
      <c r="F431" s="162">
        <v>0.09</v>
      </c>
      <c r="G431" s="162" t="s">
        <v>1288</v>
      </c>
      <c r="H431" s="162">
        <f t="shared" si="27"/>
        <v>0.81</v>
      </c>
      <c r="I431" s="159"/>
    </row>
    <row r="432" spans="1:9" ht="21" customHeight="1">
      <c r="A432" s="160"/>
      <c r="B432" s="161" t="s">
        <v>3399</v>
      </c>
      <c r="C432" s="160">
        <v>1</v>
      </c>
      <c r="D432" s="160">
        <v>1</v>
      </c>
      <c r="E432" s="162">
        <v>2.4</v>
      </c>
      <c r="F432" s="162">
        <v>0.09</v>
      </c>
      <c r="G432" s="162" t="s">
        <v>1288</v>
      </c>
      <c r="H432" s="162">
        <f t="shared" si="27"/>
        <v>0.22</v>
      </c>
      <c r="I432" s="159"/>
    </row>
    <row r="433" spans="1:9" ht="21" customHeight="1">
      <c r="A433" s="160"/>
      <c r="B433" s="161" t="s">
        <v>3400</v>
      </c>
      <c r="C433" s="160">
        <v>1</v>
      </c>
      <c r="D433" s="160">
        <v>1</v>
      </c>
      <c r="E433" s="162">
        <v>2.4</v>
      </c>
      <c r="F433" s="162">
        <v>0.09</v>
      </c>
      <c r="G433" s="162" t="s">
        <v>1288</v>
      </c>
      <c r="H433" s="162">
        <f t="shared" si="27"/>
        <v>0.22</v>
      </c>
      <c r="I433" s="159"/>
    </row>
    <row r="434" spans="1:9" ht="21" customHeight="1">
      <c r="A434" s="160"/>
      <c r="B434" s="161" t="s">
        <v>3401</v>
      </c>
      <c r="C434" s="160">
        <v>1</v>
      </c>
      <c r="D434" s="160">
        <v>1</v>
      </c>
      <c r="E434" s="162">
        <v>8</v>
      </c>
      <c r="F434" s="162">
        <v>0.04</v>
      </c>
      <c r="G434" s="162" t="s">
        <v>1288</v>
      </c>
      <c r="H434" s="162">
        <f t="shared" si="27"/>
        <v>0.32</v>
      </c>
      <c r="I434" s="159"/>
    </row>
    <row r="435" spans="1:9" ht="21" customHeight="1">
      <c r="A435" s="160"/>
      <c r="B435" s="161" t="s">
        <v>3402</v>
      </c>
      <c r="C435" s="160">
        <v>1</v>
      </c>
      <c r="D435" s="160">
        <v>1</v>
      </c>
      <c r="E435" s="162">
        <v>6.9</v>
      </c>
      <c r="F435" s="162">
        <v>0.04</v>
      </c>
      <c r="G435" s="162" t="s">
        <v>1288</v>
      </c>
      <c r="H435" s="162">
        <f t="shared" si="27"/>
        <v>0.28000000000000003</v>
      </c>
      <c r="I435" s="159"/>
    </row>
    <row r="436" spans="1:9" ht="21" customHeight="1">
      <c r="A436" s="160"/>
      <c r="B436" s="163" t="s">
        <v>3391</v>
      </c>
      <c r="C436" s="160"/>
      <c r="D436" s="160"/>
      <c r="E436" s="162"/>
      <c r="F436" s="162"/>
      <c r="G436" s="162"/>
      <c r="H436" s="162"/>
      <c r="I436" s="159"/>
    </row>
    <row r="437" spans="1:9" ht="21" customHeight="1">
      <c r="A437" s="160"/>
      <c r="B437" s="161" t="s">
        <v>3320</v>
      </c>
      <c r="C437" s="160">
        <v>1</v>
      </c>
      <c r="D437" s="160">
        <v>1</v>
      </c>
      <c r="E437" s="162">
        <v>4.5</v>
      </c>
      <c r="F437" s="162">
        <v>0.09</v>
      </c>
      <c r="G437" s="162" t="s">
        <v>1288</v>
      </c>
      <c r="H437" s="162">
        <f>PRODUCT(C437:G437)</f>
        <v>0.41</v>
      </c>
      <c r="I437" s="159"/>
    </row>
    <row r="438" spans="1:9" ht="21" customHeight="1">
      <c r="A438" s="160"/>
      <c r="B438" s="163" t="s">
        <v>3305</v>
      </c>
      <c r="C438" s="160"/>
      <c r="D438" s="160"/>
      <c r="E438" s="162"/>
      <c r="F438" s="162"/>
      <c r="G438" s="162"/>
      <c r="H438" s="162"/>
      <c r="I438" s="159"/>
    </row>
    <row r="439" spans="1:9" ht="21" customHeight="1">
      <c r="A439" s="160"/>
      <c r="B439" s="161" t="s">
        <v>3345</v>
      </c>
      <c r="C439" s="160">
        <v>-1</v>
      </c>
      <c r="D439" s="160">
        <v>1</v>
      </c>
      <c r="E439" s="162">
        <v>1</v>
      </c>
      <c r="F439" s="162" t="s">
        <v>1288</v>
      </c>
      <c r="G439" s="162">
        <v>2.1</v>
      </c>
      <c r="H439" s="162">
        <f t="shared" ref="H439:H447" si="28">PRODUCT(C439:G439)</f>
        <v>-2.1</v>
      </c>
      <c r="I439" s="159"/>
    </row>
    <row r="440" spans="1:9" ht="21" customHeight="1">
      <c r="A440" s="160"/>
      <c r="B440" s="161" t="s">
        <v>3394</v>
      </c>
      <c r="C440" s="160">
        <v>-1</v>
      </c>
      <c r="D440" s="160">
        <v>1</v>
      </c>
      <c r="E440" s="162">
        <v>3.9</v>
      </c>
      <c r="F440" s="162" t="s">
        <v>1288</v>
      </c>
      <c r="G440" s="162">
        <v>1.35</v>
      </c>
      <c r="H440" s="162">
        <f t="shared" si="28"/>
        <v>-5.27</v>
      </c>
      <c r="I440" s="159"/>
    </row>
    <row r="441" spans="1:9" ht="21" customHeight="1">
      <c r="A441" s="160"/>
      <c r="B441" s="161" t="s">
        <v>3395</v>
      </c>
      <c r="C441" s="160">
        <v>-1</v>
      </c>
      <c r="D441" s="160">
        <v>1</v>
      </c>
      <c r="E441" s="162">
        <v>3.9</v>
      </c>
      <c r="F441" s="162" t="s">
        <v>1288</v>
      </c>
      <c r="G441" s="162">
        <v>2.4</v>
      </c>
      <c r="H441" s="162">
        <f t="shared" si="28"/>
        <v>-9.36</v>
      </c>
      <c r="I441" s="159"/>
    </row>
    <row r="442" spans="1:9" ht="21" customHeight="1">
      <c r="A442" s="160"/>
      <c r="B442" s="161" t="s">
        <v>3320</v>
      </c>
      <c r="C442" s="160">
        <v>-1</v>
      </c>
      <c r="D442" s="160">
        <v>12</v>
      </c>
      <c r="E442" s="162">
        <v>1.35</v>
      </c>
      <c r="F442" s="162" t="s">
        <v>1288</v>
      </c>
      <c r="G442" s="162">
        <v>1.35</v>
      </c>
      <c r="H442" s="162">
        <f t="shared" si="28"/>
        <v>-21.87</v>
      </c>
      <c r="I442" s="159"/>
    </row>
    <row r="443" spans="1:9" ht="21" customHeight="1">
      <c r="A443" s="160"/>
      <c r="B443" s="161" t="s">
        <v>3321</v>
      </c>
      <c r="C443" s="160">
        <v>-1</v>
      </c>
      <c r="D443" s="160">
        <v>2</v>
      </c>
      <c r="E443" s="162">
        <v>0.9</v>
      </c>
      <c r="F443" s="162" t="s">
        <v>1288</v>
      </c>
      <c r="G443" s="162">
        <v>0.6</v>
      </c>
      <c r="H443" s="162">
        <f t="shared" si="28"/>
        <v>-1.08</v>
      </c>
      <c r="I443" s="159"/>
    </row>
    <row r="444" spans="1:9" ht="21" customHeight="1">
      <c r="A444" s="160"/>
      <c r="B444" s="161" t="s">
        <v>3398</v>
      </c>
      <c r="C444" s="160">
        <v>-1</v>
      </c>
      <c r="D444" s="160">
        <v>2</v>
      </c>
      <c r="E444" s="162">
        <v>1.35</v>
      </c>
      <c r="F444" s="162" t="s">
        <v>1288</v>
      </c>
      <c r="G444" s="162">
        <v>0.6</v>
      </c>
      <c r="H444" s="162">
        <f t="shared" si="28"/>
        <v>-1.62</v>
      </c>
      <c r="I444" s="159"/>
    </row>
    <row r="445" spans="1:9" ht="21" customHeight="1">
      <c r="A445" s="160"/>
      <c r="B445" s="161" t="s">
        <v>3322</v>
      </c>
      <c r="C445" s="160">
        <v>-1</v>
      </c>
      <c r="D445" s="160">
        <v>3</v>
      </c>
      <c r="E445" s="162">
        <v>0.9</v>
      </c>
      <c r="F445" s="162" t="s">
        <v>1288</v>
      </c>
      <c r="G445" s="162">
        <v>0.6</v>
      </c>
      <c r="H445" s="162">
        <f t="shared" si="28"/>
        <v>-1.62</v>
      </c>
      <c r="I445" s="159"/>
    </row>
    <row r="446" spans="1:9" ht="21" customHeight="1">
      <c r="A446" s="160"/>
      <c r="B446" s="161" t="s">
        <v>3399</v>
      </c>
      <c r="C446" s="160">
        <v>-1</v>
      </c>
      <c r="D446" s="160">
        <v>1</v>
      </c>
      <c r="E446" s="162">
        <v>0.6</v>
      </c>
      <c r="F446" s="162" t="s">
        <v>1288</v>
      </c>
      <c r="G446" s="162">
        <v>0.6</v>
      </c>
      <c r="H446" s="162">
        <f t="shared" si="28"/>
        <v>-0.36</v>
      </c>
      <c r="I446" s="159"/>
    </row>
    <row r="447" spans="1:9" ht="21" customHeight="1">
      <c r="A447" s="160"/>
      <c r="B447" s="161" t="s">
        <v>3400</v>
      </c>
      <c r="C447" s="160">
        <v>-1</v>
      </c>
      <c r="D447" s="160">
        <v>1</v>
      </c>
      <c r="E447" s="162">
        <v>0.6</v>
      </c>
      <c r="F447" s="162" t="s">
        <v>1288</v>
      </c>
      <c r="G447" s="162">
        <v>0.6</v>
      </c>
      <c r="H447" s="162">
        <f t="shared" si="28"/>
        <v>-0.36</v>
      </c>
      <c r="I447" s="159"/>
    </row>
    <row r="448" spans="1:9" ht="21" customHeight="1">
      <c r="A448" s="160"/>
      <c r="B448" s="163" t="s">
        <v>3391</v>
      </c>
      <c r="C448" s="160"/>
      <c r="D448" s="160"/>
      <c r="E448" s="162"/>
      <c r="F448" s="162"/>
      <c r="G448" s="162"/>
      <c r="H448" s="162"/>
      <c r="I448" s="159"/>
    </row>
    <row r="449" spans="1:9" ht="21" customHeight="1">
      <c r="A449" s="160"/>
      <c r="B449" s="161" t="s">
        <v>3405</v>
      </c>
      <c r="C449" s="160">
        <v>-1</v>
      </c>
      <c r="D449" s="160">
        <v>1</v>
      </c>
      <c r="E449" s="162">
        <v>0.9</v>
      </c>
      <c r="F449" s="162" t="s">
        <v>1288</v>
      </c>
      <c r="G449" s="162">
        <v>2.1</v>
      </c>
      <c r="H449" s="162">
        <f>PRODUCT(C449:G449)</f>
        <v>-1.89</v>
      </c>
      <c r="I449" s="159"/>
    </row>
    <row r="450" spans="1:9" ht="21" customHeight="1">
      <c r="A450" s="160"/>
      <c r="B450" s="161" t="s">
        <v>3320</v>
      </c>
      <c r="C450" s="160">
        <v>-1</v>
      </c>
      <c r="D450" s="160">
        <v>1</v>
      </c>
      <c r="E450" s="162">
        <v>0.9</v>
      </c>
      <c r="F450" s="162" t="s">
        <v>1288</v>
      </c>
      <c r="G450" s="162">
        <v>1.35</v>
      </c>
      <c r="H450" s="162">
        <f>PRODUCT(C450:G450)</f>
        <v>-1.22</v>
      </c>
      <c r="I450" s="159"/>
    </row>
    <row r="451" spans="1:9" ht="21" customHeight="1">
      <c r="A451" s="160"/>
      <c r="B451" s="161" t="s">
        <v>3417</v>
      </c>
      <c r="C451" s="160">
        <v>-1</v>
      </c>
      <c r="D451" s="160">
        <v>1</v>
      </c>
      <c r="E451" s="162">
        <f>H231</f>
        <v>74.2</v>
      </c>
      <c r="F451" s="162" t="s">
        <v>1288</v>
      </c>
      <c r="G451" s="162" t="s">
        <v>1288</v>
      </c>
      <c r="H451" s="162">
        <f>PRODUCT(C451:G451)</f>
        <v>-74.2</v>
      </c>
      <c r="I451" s="159"/>
    </row>
    <row r="452" spans="1:9" ht="21" customHeight="1">
      <c r="A452" s="160"/>
      <c r="B452" s="161"/>
      <c r="C452" s="160"/>
      <c r="D452" s="160"/>
      <c r="E452" s="162"/>
      <c r="F452" s="162"/>
      <c r="G452" s="159" t="s">
        <v>1827</v>
      </c>
      <c r="H452" s="159">
        <f>SUM(H404:H451)</f>
        <v>406.16</v>
      </c>
      <c r="I452" s="159"/>
    </row>
    <row r="453" spans="1:9" ht="21" customHeight="1">
      <c r="A453" s="160"/>
      <c r="B453" s="161"/>
      <c r="C453" s="160"/>
      <c r="D453" s="160"/>
      <c r="E453" s="162"/>
      <c r="F453" s="162"/>
      <c r="G453" s="159" t="s">
        <v>2560</v>
      </c>
      <c r="H453" s="159">
        <f>ROUNDUP(H452,1)</f>
        <v>406.2</v>
      </c>
      <c r="I453" s="159" t="s">
        <v>488</v>
      </c>
    </row>
    <row r="454" spans="1:9" ht="54">
      <c r="A454" s="160">
        <f>A403+1</f>
        <v>22</v>
      </c>
      <c r="B454" s="161" t="str">
        <f>'[11]Building (2)'!B660</f>
        <v>PVC SWR 110 mm dia with ISI mark type- A for Rain water down fall pipe</v>
      </c>
      <c r="C454" s="160"/>
      <c r="D454" s="160"/>
      <c r="E454" s="162"/>
      <c r="F454" s="162"/>
      <c r="G454" s="162"/>
      <c r="H454" s="162"/>
      <c r="I454" s="159"/>
    </row>
    <row r="455" spans="1:9" ht="21" customHeight="1">
      <c r="A455" s="160"/>
      <c r="B455" s="161" t="s">
        <v>3418</v>
      </c>
      <c r="C455" s="160">
        <v>1</v>
      </c>
      <c r="D455" s="160">
        <v>4</v>
      </c>
      <c r="E455" s="162">
        <v>9</v>
      </c>
      <c r="F455" s="162" t="s">
        <v>1288</v>
      </c>
      <c r="G455" s="162" t="s">
        <v>1288</v>
      </c>
      <c r="H455" s="162">
        <f>PRODUCT(C455:G455)</f>
        <v>36</v>
      </c>
      <c r="I455" s="159"/>
    </row>
    <row r="456" spans="1:9" ht="21" customHeight="1">
      <c r="A456" s="160"/>
      <c r="B456" s="161"/>
      <c r="C456" s="160"/>
      <c r="D456" s="160"/>
      <c r="E456" s="162"/>
      <c r="F456" s="162"/>
      <c r="G456" s="159" t="s">
        <v>1827</v>
      </c>
      <c r="H456" s="159">
        <f>SUM(H455:H455)</f>
        <v>36</v>
      </c>
      <c r="I456" s="159"/>
    </row>
    <row r="457" spans="1:9" ht="21" customHeight="1">
      <c r="A457" s="160"/>
      <c r="B457" s="161"/>
      <c r="C457" s="160"/>
      <c r="D457" s="160"/>
      <c r="E457" s="162"/>
      <c r="F457" s="162"/>
      <c r="G457" s="159" t="s">
        <v>2560</v>
      </c>
      <c r="H457" s="159">
        <f>ROUNDUP(H456,1)</f>
        <v>36</v>
      </c>
      <c r="I457" s="159" t="s">
        <v>1443</v>
      </c>
    </row>
    <row r="458" spans="1:9" ht="36">
      <c r="A458" s="160">
        <f>A454+1</f>
        <v>23</v>
      </c>
      <c r="B458" s="161" t="str">
        <f>'[11]Building (2)'!B668</f>
        <v>PVC SWR pipe (Soil line) with ISI mark - type 'B'.</v>
      </c>
      <c r="C458" s="160"/>
      <c r="D458" s="160"/>
      <c r="E458" s="162"/>
      <c r="F458" s="162"/>
      <c r="G458" s="162"/>
      <c r="H458" s="162"/>
      <c r="I458" s="159"/>
    </row>
    <row r="459" spans="1:9" ht="21" customHeight="1">
      <c r="A459" s="160"/>
      <c r="B459" s="161" t="str">
        <f>'[11]Building (2)'!B669</f>
        <v>a. 110 mm dia.</v>
      </c>
      <c r="C459" s="160"/>
      <c r="D459" s="160"/>
      <c r="E459" s="162"/>
      <c r="F459" s="162"/>
      <c r="G459" s="162"/>
      <c r="H459" s="162"/>
      <c r="I459" s="159"/>
    </row>
    <row r="460" spans="1:9" ht="21" customHeight="1">
      <c r="A460" s="160"/>
      <c r="B460" s="161" t="s">
        <v>3419</v>
      </c>
      <c r="C460" s="160">
        <v>1</v>
      </c>
      <c r="D460" s="160">
        <v>2</v>
      </c>
      <c r="E460" s="162">
        <v>5.5</v>
      </c>
      <c r="F460" s="162" t="s">
        <v>1288</v>
      </c>
      <c r="G460" s="162" t="s">
        <v>1288</v>
      </c>
      <c r="H460" s="162">
        <f>PRODUCT(C460:G460)</f>
        <v>11</v>
      </c>
      <c r="I460" s="159"/>
    </row>
    <row r="461" spans="1:9" ht="21" customHeight="1">
      <c r="A461" s="160"/>
      <c r="B461" s="161" t="s">
        <v>3363</v>
      </c>
      <c r="C461" s="160">
        <v>1</v>
      </c>
      <c r="D461" s="160">
        <v>1</v>
      </c>
      <c r="E461" s="162">
        <v>5.5</v>
      </c>
      <c r="F461" s="162" t="s">
        <v>1288</v>
      </c>
      <c r="G461" s="162" t="s">
        <v>1288</v>
      </c>
      <c r="H461" s="162">
        <f>PRODUCT(C461:G461)</f>
        <v>5.5</v>
      </c>
      <c r="I461" s="159"/>
    </row>
    <row r="462" spans="1:9" ht="21" customHeight="1">
      <c r="A462" s="160"/>
      <c r="B462" s="161" t="s">
        <v>3364</v>
      </c>
      <c r="C462" s="160">
        <v>1</v>
      </c>
      <c r="D462" s="160">
        <v>1</v>
      </c>
      <c r="E462" s="162">
        <v>3</v>
      </c>
      <c r="F462" s="162" t="s">
        <v>1288</v>
      </c>
      <c r="G462" s="162" t="s">
        <v>1288</v>
      </c>
      <c r="H462" s="162">
        <f>PRODUCT(C462:G462)</f>
        <v>3</v>
      </c>
      <c r="I462" s="159"/>
    </row>
    <row r="463" spans="1:9" ht="21" customHeight="1">
      <c r="A463" s="160"/>
      <c r="B463" s="161" t="s">
        <v>3297</v>
      </c>
      <c r="C463" s="160">
        <v>1</v>
      </c>
      <c r="D463" s="160">
        <v>1</v>
      </c>
      <c r="E463" s="162">
        <v>3</v>
      </c>
      <c r="F463" s="162" t="s">
        <v>1288</v>
      </c>
      <c r="G463" s="162" t="s">
        <v>1288</v>
      </c>
      <c r="H463" s="162">
        <f>PRODUCT(C463:G463)</f>
        <v>3</v>
      </c>
      <c r="I463" s="159"/>
    </row>
    <row r="464" spans="1:9" ht="21" customHeight="1">
      <c r="A464" s="160"/>
      <c r="B464" s="161"/>
      <c r="C464" s="160"/>
      <c r="D464" s="160"/>
      <c r="E464" s="162"/>
      <c r="F464" s="162"/>
      <c r="G464" s="159" t="s">
        <v>1827</v>
      </c>
      <c r="H464" s="159">
        <f>SUM(H460:H463)</f>
        <v>22.5</v>
      </c>
      <c r="I464" s="159"/>
    </row>
    <row r="465" spans="1:9" ht="21" customHeight="1">
      <c r="A465" s="160"/>
      <c r="B465" s="161"/>
      <c r="C465" s="160"/>
      <c r="D465" s="160"/>
      <c r="E465" s="162"/>
      <c r="F465" s="162"/>
      <c r="G465" s="159" t="s">
        <v>2560</v>
      </c>
      <c r="H465" s="159">
        <f>ROUNDUP(H464,1)</f>
        <v>22.5</v>
      </c>
      <c r="I465" s="159" t="s">
        <v>1443</v>
      </c>
    </row>
    <row r="466" spans="1:9" ht="21" customHeight="1">
      <c r="A466" s="160"/>
      <c r="B466" s="161" t="str">
        <f>'[11]Building (2)'!B670</f>
        <v>b. 75 mm dia.</v>
      </c>
      <c r="C466" s="160"/>
      <c r="D466" s="160"/>
      <c r="E466" s="162"/>
      <c r="F466" s="162"/>
      <c r="G466" s="162"/>
      <c r="H466" s="162"/>
      <c r="I466" s="159"/>
    </row>
    <row r="467" spans="1:9" ht="21" customHeight="1">
      <c r="A467" s="160"/>
      <c r="B467" s="161" t="s">
        <v>3419</v>
      </c>
      <c r="C467" s="160">
        <v>1</v>
      </c>
      <c r="D467" s="160">
        <v>2</v>
      </c>
      <c r="E467" s="162">
        <v>6.2</v>
      </c>
      <c r="F467" s="162" t="s">
        <v>1288</v>
      </c>
      <c r="G467" s="162" t="s">
        <v>1288</v>
      </c>
      <c r="H467" s="162">
        <f>PRODUCT(C467:G467)</f>
        <v>12.4</v>
      </c>
      <c r="I467" s="159"/>
    </row>
    <row r="468" spans="1:9" ht="21" customHeight="1">
      <c r="A468" s="160"/>
      <c r="B468" s="161" t="s">
        <v>3363</v>
      </c>
      <c r="C468" s="160">
        <v>1</v>
      </c>
      <c r="D468" s="160">
        <v>1</v>
      </c>
      <c r="E468" s="162">
        <v>6.2</v>
      </c>
      <c r="F468" s="162" t="s">
        <v>1288</v>
      </c>
      <c r="G468" s="162" t="s">
        <v>1288</v>
      </c>
      <c r="H468" s="162">
        <f>PRODUCT(C468:G468)</f>
        <v>6.2</v>
      </c>
      <c r="I468" s="159"/>
    </row>
    <row r="469" spans="1:9" ht="21" customHeight="1">
      <c r="A469" s="160"/>
      <c r="B469" s="161" t="s">
        <v>3364</v>
      </c>
      <c r="C469" s="160">
        <v>1</v>
      </c>
      <c r="D469" s="160">
        <v>1</v>
      </c>
      <c r="E469" s="162">
        <v>3</v>
      </c>
      <c r="F469" s="162" t="s">
        <v>1288</v>
      </c>
      <c r="G469" s="162" t="s">
        <v>1288</v>
      </c>
      <c r="H469" s="162">
        <f>PRODUCT(C469:G469)</f>
        <v>3</v>
      </c>
      <c r="I469" s="159"/>
    </row>
    <row r="470" spans="1:9" ht="21" customHeight="1">
      <c r="A470" s="160"/>
      <c r="B470" s="161" t="s">
        <v>3297</v>
      </c>
      <c r="C470" s="160">
        <v>1</v>
      </c>
      <c r="D470" s="160">
        <v>1</v>
      </c>
      <c r="E470" s="162">
        <v>3</v>
      </c>
      <c r="F470" s="162" t="s">
        <v>1288</v>
      </c>
      <c r="G470" s="162" t="s">
        <v>1288</v>
      </c>
      <c r="H470" s="162">
        <f>PRODUCT(C470:G470)</f>
        <v>3</v>
      </c>
      <c r="I470" s="159"/>
    </row>
    <row r="471" spans="1:9" ht="21" customHeight="1">
      <c r="A471" s="160"/>
      <c r="B471" s="161"/>
      <c r="C471" s="160"/>
      <c r="D471" s="160"/>
      <c r="E471" s="162"/>
      <c r="F471" s="162"/>
      <c r="G471" s="159" t="s">
        <v>1827</v>
      </c>
      <c r="H471" s="159">
        <f>SUM(H467:H470)</f>
        <v>24.6</v>
      </c>
      <c r="I471" s="159"/>
    </row>
    <row r="472" spans="1:9" ht="21" customHeight="1">
      <c r="A472" s="160"/>
      <c r="B472" s="161"/>
      <c r="C472" s="160"/>
      <c r="D472" s="160"/>
      <c r="E472" s="162"/>
      <c r="F472" s="162"/>
      <c r="G472" s="159" t="s">
        <v>2560</v>
      </c>
      <c r="H472" s="159">
        <f>ROUNDUP(H471,1)</f>
        <v>24.6</v>
      </c>
      <c r="I472" s="159" t="s">
        <v>1443</v>
      </c>
    </row>
    <row r="473" spans="1:9" ht="21" customHeight="1">
      <c r="A473" s="160">
        <f>A458+1</f>
        <v>24</v>
      </c>
      <c r="B473" s="161" t="str">
        <f>'[11]Building (2)'!B374</f>
        <v>PVC Water supply (ASTM)</v>
      </c>
      <c r="C473" s="160"/>
      <c r="D473" s="160"/>
      <c r="E473" s="162"/>
      <c r="F473" s="162"/>
      <c r="G473" s="162"/>
      <c r="H473" s="162"/>
      <c r="I473" s="159"/>
    </row>
    <row r="474" spans="1:9" ht="21" customHeight="1">
      <c r="A474" s="160"/>
      <c r="B474" s="161" t="str">
        <f>'[11]Building (2)'!B375</f>
        <v xml:space="preserve">a. 32 mm dia </v>
      </c>
      <c r="C474" s="160"/>
      <c r="D474" s="160"/>
      <c r="E474" s="162"/>
      <c r="F474" s="162"/>
      <c r="G474" s="162"/>
      <c r="H474" s="162"/>
      <c r="I474" s="159"/>
    </row>
    <row r="475" spans="1:9" ht="21" customHeight="1">
      <c r="A475" s="160"/>
      <c r="B475" s="161" t="s">
        <v>3420</v>
      </c>
      <c r="C475" s="160">
        <v>1</v>
      </c>
      <c r="D475" s="160">
        <v>1</v>
      </c>
      <c r="E475" s="162">
        <v>15</v>
      </c>
      <c r="F475" s="162" t="s">
        <v>1288</v>
      </c>
      <c r="G475" s="162" t="s">
        <v>1288</v>
      </c>
      <c r="H475" s="162">
        <f>PRODUCT(C475:G475)</f>
        <v>15</v>
      </c>
      <c r="I475" s="159"/>
    </row>
    <row r="476" spans="1:9" ht="21" customHeight="1">
      <c r="A476" s="160"/>
      <c r="B476" s="161"/>
      <c r="C476" s="160"/>
      <c r="D476" s="160"/>
      <c r="E476" s="162"/>
      <c r="F476" s="162"/>
      <c r="G476" s="159" t="s">
        <v>1827</v>
      </c>
      <c r="H476" s="159">
        <f>SUM(H475:H475)</f>
        <v>15</v>
      </c>
      <c r="I476" s="159"/>
    </row>
    <row r="477" spans="1:9" ht="21" customHeight="1">
      <c r="A477" s="160"/>
      <c r="B477" s="161"/>
      <c r="C477" s="160"/>
      <c r="D477" s="160"/>
      <c r="E477" s="162"/>
      <c r="F477" s="162"/>
      <c r="G477" s="159" t="s">
        <v>2560</v>
      </c>
      <c r="H477" s="159">
        <f>ROUNDUP(H476,1)</f>
        <v>15</v>
      </c>
      <c r="I477" s="159" t="s">
        <v>1443</v>
      </c>
    </row>
    <row r="478" spans="1:9" ht="21" customHeight="1">
      <c r="A478" s="160"/>
      <c r="B478" s="161" t="str">
        <f>'[11]Building (2)'!B376</f>
        <v xml:space="preserve">b. 25 mm dia </v>
      </c>
      <c r="C478" s="160"/>
      <c r="D478" s="160"/>
      <c r="E478" s="162"/>
      <c r="F478" s="162"/>
      <c r="G478" s="162"/>
      <c r="H478" s="162"/>
      <c r="I478" s="159"/>
    </row>
    <row r="479" spans="1:9" ht="21" customHeight="1">
      <c r="A479" s="160"/>
      <c r="B479" s="161" t="s">
        <v>3421</v>
      </c>
      <c r="C479" s="160">
        <v>1</v>
      </c>
      <c r="D479" s="160">
        <v>1</v>
      </c>
      <c r="E479" s="162">
        <v>50</v>
      </c>
      <c r="F479" s="162" t="s">
        <v>1288</v>
      </c>
      <c r="G479" s="162" t="s">
        <v>1288</v>
      </c>
      <c r="H479" s="162">
        <f>PRODUCT(C479:G479)</f>
        <v>50</v>
      </c>
      <c r="I479" s="159"/>
    </row>
    <row r="480" spans="1:9" ht="21" customHeight="1">
      <c r="A480" s="160"/>
      <c r="B480" s="161"/>
      <c r="C480" s="160"/>
      <c r="D480" s="160"/>
      <c r="E480" s="162"/>
      <c r="F480" s="162"/>
      <c r="G480" s="159" t="s">
        <v>1827</v>
      </c>
      <c r="H480" s="159">
        <f>SUM(H479:H479)</f>
        <v>50</v>
      </c>
      <c r="I480" s="159"/>
    </row>
    <row r="481" spans="1:9" ht="21" customHeight="1">
      <c r="A481" s="160"/>
      <c r="B481" s="161"/>
      <c r="C481" s="160"/>
      <c r="D481" s="160"/>
      <c r="E481" s="162"/>
      <c r="F481" s="162"/>
      <c r="G481" s="159" t="s">
        <v>2560</v>
      </c>
      <c r="H481" s="159">
        <f>ROUNDUP(H480,1)</f>
        <v>50</v>
      </c>
      <c r="I481" s="159" t="s">
        <v>1443</v>
      </c>
    </row>
    <row r="482" spans="1:9" ht="72">
      <c r="A482" s="160">
        <f>A473+1</f>
        <v>25</v>
      </c>
      <c r="B482" s="161" t="s">
        <v>3422</v>
      </c>
      <c r="C482" s="160"/>
      <c r="D482" s="160"/>
      <c r="E482" s="162"/>
      <c r="F482" s="162"/>
      <c r="G482" s="159"/>
      <c r="H482" s="159"/>
      <c r="I482" s="159"/>
    </row>
    <row r="483" spans="1:9" ht="21" customHeight="1">
      <c r="A483" s="160"/>
      <c r="B483" s="161" t="s">
        <v>3321</v>
      </c>
      <c r="C483" s="160">
        <v>1</v>
      </c>
      <c r="D483" s="160">
        <v>1</v>
      </c>
      <c r="E483" s="162">
        <v>0.9</v>
      </c>
      <c r="F483" s="162" t="s">
        <v>1288</v>
      </c>
      <c r="G483" s="162">
        <v>0.6</v>
      </c>
      <c r="H483" s="162">
        <f>PRODUCT(C483:G483)</f>
        <v>0.54</v>
      </c>
      <c r="I483" s="159"/>
    </row>
    <row r="484" spans="1:9" ht="21" customHeight="1">
      <c r="A484" s="160"/>
      <c r="B484" s="161"/>
      <c r="C484" s="160"/>
      <c r="D484" s="160"/>
      <c r="E484" s="162"/>
      <c r="F484" s="162"/>
      <c r="G484" s="159" t="s">
        <v>1827</v>
      </c>
      <c r="H484" s="159">
        <f>SUM(H483:H483)</f>
        <v>0.54</v>
      </c>
      <c r="I484" s="159"/>
    </row>
    <row r="485" spans="1:9" ht="21" customHeight="1">
      <c r="A485" s="160"/>
      <c r="B485" s="161"/>
      <c r="C485" s="160"/>
      <c r="D485" s="160"/>
      <c r="E485" s="162"/>
      <c r="F485" s="162"/>
      <c r="G485" s="159" t="s">
        <v>2560</v>
      </c>
      <c r="H485" s="159">
        <f>ROUNDUP(H484,1)</f>
        <v>0.6</v>
      </c>
      <c r="I485" s="159" t="s">
        <v>488</v>
      </c>
    </row>
    <row r="486" spans="1:9" ht="37.9" customHeight="1">
      <c r="A486" s="160"/>
      <c r="B486" s="161" t="s">
        <v>1548</v>
      </c>
      <c r="C486" s="160"/>
      <c r="D486" s="160"/>
      <c r="E486" s="162"/>
      <c r="F486" s="162"/>
      <c r="G486" s="159"/>
      <c r="H486" s="159"/>
      <c r="I486" s="159"/>
    </row>
    <row r="487" spans="1:9" ht="21" customHeight="1">
      <c r="A487" s="160"/>
      <c r="B487" s="161" t="s">
        <v>3321</v>
      </c>
      <c r="C487" s="160">
        <v>1</v>
      </c>
      <c r="D487" s="160">
        <v>1</v>
      </c>
      <c r="E487" s="162">
        <v>0.6</v>
      </c>
      <c r="F487" s="162" t="s">
        <v>1288</v>
      </c>
      <c r="G487" s="162">
        <v>0.6</v>
      </c>
      <c r="H487" s="162">
        <f>PRODUCT(C487:G487)</f>
        <v>0.36</v>
      </c>
      <c r="I487" s="159"/>
    </row>
    <row r="488" spans="1:9" ht="21" customHeight="1">
      <c r="A488" s="160"/>
      <c r="B488" s="161"/>
      <c r="C488" s="160"/>
      <c r="D488" s="160"/>
      <c r="E488" s="162"/>
      <c r="F488" s="162"/>
      <c r="G488" s="159" t="s">
        <v>1827</v>
      </c>
      <c r="H488" s="159">
        <f>SUM(H487:H487)</f>
        <v>0.36</v>
      </c>
      <c r="I488" s="159"/>
    </row>
    <row r="489" spans="1:9" ht="21" customHeight="1">
      <c r="A489" s="160"/>
      <c r="B489" s="161"/>
      <c r="C489" s="160"/>
      <c r="D489" s="160"/>
      <c r="E489" s="162"/>
      <c r="F489" s="162"/>
      <c r="G489" s="159" t="s">
        <v>2560</v>
      </c>
      <c r="H489" s="159">
        <f>ROUNDUP(H488,1)</f>
        <v>0.4</v>
      </c>
      <c r="I489" s="159" t="s">
        <v>488</v>
      </c>
    </row>
    <row r="490" spans="1:9" ht="37.9" customHeight="1">
      <c r="A490" s="160"/>
      <c r="B490" s="161" t="e">
        <f>#REF!</f>
        <v>#REF!</v>
      </c>
      <c r="C490" s="160"/>
      <c r="D490" s="160"/>
      <c r="E490" s="162"/>
      <c r="F490" s="162"/>
      <c r="G490" s="159"/>
      <c r="H490" s="159"/>
      <c r="I490" s="159"/>
    </row>
    <row r="491" spans="1:9" ht="21" customHeight="1">
      <c r="A491" s="160"/>
      <c r="B491" s="161" t="s">
        <v>3321</v>
      </c>
      <c r="C491" s="160">
        <v>1</v>
      </c>
      <c r="D491" s="160">
        <v>1</v>
      </c>
      <c r="E491" s="162">
        <v>1.35</v>
      </c>
      <c r="F491" s="162" t="s">
        <v>1288</v>
      </c>
      <c r="G491" s="162">
        <v>0.6</v>
      </c>
      <c r="H491" s="162">
        <f>PRODUCT(C491:G491)</f>
        <v>0.81</v>
      </c>
      <c r="I491" s="159"/>
    </row>
    <row r="492" spans="1:9" ht="21" customHeight="1">
      <c r="A492" s="160"/>
      <c r="B492" s="161"/>
      <c r="C492" s="160"/>
      <c r="D492" s="160"/>
      <c r="E492" s="162"/>
      <c r="F492" s="162"/>
      <c r="G492" s="159" t="s">
        <v>1827</v>
      </c>
      <c r="H492" s="159">
        <f>SUM(H491:H491)</f>
        <v>0.81</v>
      </c>
      <c r="I492" s="159"/>
    </row>
    <row r="493" spans="1:9" ht="21" customHeight="1">
      <c r="A493" s="160"/>
      <c r="B493" s="161"/>
      <c r="C493" s="160"/>
      <c r="D493" s="160"/>
      <c r="E493" s="162"/>
      <c r="F493" s="162"/>
      <c r="G493" s="159" t="s">
        <v>2560</v>
      </c>
      <c r="H493" s="159">
        <f>ROUNDUP(H492,1)</f>
        <v>0.9</v>
      </c>
      <c r="I493" s="159" t="s">
        <v>488</v>
      </c>
    </row>
    <row r="494" spans="1:9" ht="39" customHeight="1">
      <c r="A494" s="160">
        <f>A482+1</f>
        <v>26</v>
      </c>
      <c r="B494" s="161" t="s">
        <v>3423</v>
      </c>
      <c r="C494" s="160"/>
      <c r="D494" s="160"/>
      <c r="E494" s="162"/>
      <c r="F494" s="162"/>
      <c r="G494" s="162"/>
      <c r="H494" s="162"/>
      <c r="I494" s="159"/>
    </row>
    <row r="495" spans="1:9" ht="21" customHeight="1">
      <c r="A495" s="160"/>
      <c r="B495" s="161" t="s">
        <v>3391</v>
      </c>
      <c r="C495" s="160">
        <v>1</v>
      </c>
      <c r="D495" s="160">
        <v>1</v>
      </c>
      <c r="E495" s="162" t="s">
        <v>1288</v>
      </c>
      <c r="F495" s="162" t="s">
        <v>1288</v>
      </c>
      <c r="G495" s="162" t="s">
        <v>1288</v>
      </c>
      <c r="H495" s="162">
        <f>PRODUCT(C495:G495)</f>
        <v>1</v>
      </c>
      <c r="I495" s="159"/>
    </row>
    <row r="496" spans="1:9" ht="21" customHeight="1">
      <c r="A496" s="160"/>
      <c r="B496" s="161"/>
      <c r="C496" s="160"/>
      <c r="D496" s="160"/>
      <c r="E496" s="162"/>
      <c r="F496" s="162"/>
      <c r="G496" s="159" t="s">
        <v>1827</v>
      </c>
      <c r="H496" s="159">
        <f>SUM(H495:H495)</f>
        <v>1</v>
      </c>
      <c r="I496" s="159"/>
    </row>
    <row r="497" spans="1:9" ht="21" customHeight="1">
      <c r="A497" s="160"/>
      <c r="B497" s="161"/>
      <c r="C497" s="160"/>
      <c r="D497" s="160"/>
      <c r="E497" s="162"/>
      <c r="F497" s="162"/>
      <c r="G497" s="159" t="s">
        <v>2560</v>
      </c>
      <c r="H497" s="159">
        <f>ROUNDUP(H496,1)</f>
        <v>1</v>
      </c>
      <c r="I497" s="159" t="s">
        <v>1395</v>
      </c>
    </row>
    <row r="498" spans="1:9" ht="57" customHeight="1">
      <c r="A498" s="160">
        <f>A494+1</f>
        <v>27</v>
      </c>
      <c r="B498" s="161" t="s">
        <v>3424</v>
      </c>
      <c r="C498" s="160"/>
      <c r="D498" s="160"/>
      <c r="E498" s="162"/>
      <c r="F498" s="162"/>
      <c r="G498" s="162"/>
      <c r="H498" s="162"/>
      <c r="I498" s="159"/>
    </row>
    <row r="499" spans="1:9" ht="21" customHeight="1">
      <c r="A499" s="160"/>
      <c r="B499" s="161" t="s">
        <v>3391</v>
      </c>
      <c r="C499" s="160">
        <v>1</v>
      </c>
      <c r="D499" s="160">
        <v>1</v>
      </c>
      <c r="E499" s="162" t="s">
        <v>1288</v>
      </c>
      <c r="F499" s="162" t="s">
        <v>1288</v>
      </c>
      <c r="G499" s="162" t="s">
        <v>1288</v>
      </c>
      <c r="H499" s="162">
        <f>PRODUCT(C499:G499)</f>
        <v>1</v>
      </c>
      <c r="I499" s="159"/>
    </row>
    <row r="500" spans="1:9" ht="21" customHeight="1">
      <c r="A500" s="160"/>
      <c r="B500" s="161"/>
      <c r="C500" s="160"/>
      <c r="D500" s="160"/>
      <c r="E500" s="162"/>
      <c r="F500" s="162"/>
      <c r="G500" s="159" t="s">
        <v>1827</v>
      </c>
      <c r="H500" s="159">
        <f>SUM(H499:H499)</f>
        <v>1</v>
      </c>
      <c r="I500" s="159"/>
    </row>
    <row r="501" spans="1:9" ht="21" customHeight="1">
      <c r="A501" s="160"/>
      <c r="B501" s="161"/>
      <c r="C501" s="160"/>
      <c r="D501" s="160"/>
      <c r="E501" s="162"/>
      <c r="F501" s="162"/>
      <c r="G501" s="159" t="s">
        <v>2560</v>
      </c>
      <c r="H501" s="159">
        <f>ROUNDUP(H500,1)</f>
        <v>1</v>
      </c>
      <c r="I501" s="159" t="s">
        <v>1395</v>
      </c>
    </row>
    <row r="502" spans="1:9" ht="76.150000000000006" customHeight="1">
      <c r="A502" s="160">
        <f>A498+1</f>
        <v>28</v>
      </c>
      <c r="B502" s="161" t="s">
        <v>3425</v>
      </c>
      <c r="C502" s="160"/>
      <c r="D502" s="160"/>
      <c r="E502" s="162"/>
      <c r="F502" s="162"/>
      <c r="G502" s="159"/>
      <c r="H502" s="159"/>
      <c r="I502" s="159"/>
    </row>
    <row r="503" spans="1:9" ht="21" customHeight="1">
      <c r="A503" s="160"/>
      <c r="B503" s="161" t="s">
        <v>3391</v>
      </c>
      <c r="C503" s="160">
        <v>1</v>
      </c>
      <c r="D503" s="160">
        <v>1</v>
      </c>
      <c r="E503" s="162" t="s">
        <v>1288</v>
      </c>
      <c r="F503" s="162" t="s">
        <v>1288</v>
      </c>
      <c r="G503" s="162" t="s">
        <v>1288</v>
      </c>
      <c r="H503" s="162">
        <f>PRODUCT(C503:G503)</f>
        <v>1</v>
      </c>
      <c r="I503" s="159"/>
    </row>
    <row r="504" spans="1:9" ht="21" customHeight="1">
      <c r="A504" s="160"/>
      <c r="B504" s="161"/>
      <c r="C504" s="160"/>
      <c r="D504" s="160"/>
      <c r="E504" s="162"/>
      <c r="F504" s="162"/>
      <c r="G504" s="159" t="s">
        <v>1827</v>
      </c>
      <c r="H504" s="159">
        <f>SUM(H503:H503)</f>
        <v>1</v>
      </c>
      <c r="I504" s="159"/>
    </row>
    <row r="505" spans="1:9" ht="21" customHeight="1">
      <c r="A505" s="160"/>
      <c r="B505" s="161"/>
      <c r="C505" s="160"/>
      <c r="D505" s="160"/>
      <c r="E505" s="162"/>
      <c r="F505" s="162"/>
      <c r="G505" s="159" t="s">
        <v>2560</v>
      </c>
      <c r="H505" s="159">
        <f>ROUNDUP(H504,1)</f>
        <v>1</v>
      </c>
      <c r="I505" s="159" t="s">
        <v>1395</v>
      </c>
    </row>
    <row r="506" spans="1:9" ht="39" customHeight="1">
      <c r="A506" s="160">
        <f>A502+1</f>
        <v>29</v>
      </c>
      <c r="B506" s="161" t="e">
        <f>#REF!</f>
        <v>#REF!</v>
      </c>
      <c r="C506" s="160"/>
      <c r="D506" s="160"/>
      <c r="E506" s="162"/>
      <c r="F506" s="162"/>
      <c r="G506" s="159"/>
      <c r="H506" s="159"/>
      <c r="I506" s="159"/>
    </row>
    <row r="507" spans="1:9" ht="21" customHeight="1">
      <c r="A507" s="160"/>
      <c r="B507" s="161" t="s">
        <v>3320</v>
      </c>
      <c r="C507" s="160">
        <v>1</v>
      </c>
      <c r="D507" s="160">
        <v>1</v>
      </c>
      <c r="E507" s="162">
        <v>1.35</v>
      </c>
      <c r="F507" s="162" t="s">
        <v>1288</v>
      </c>
      <c r="G507" s="162">
        <v>1.35</v>
      </c>
      <c r="H507" s="162">
        <f t="shared" ref="H507:H508" si="29">PRODUCT(C507:G507)</f>
        <v>1.82</v>
      </c>
      <c r="I507" s="159"/>
    </row>
    <row r="508" spans="1:9" ht="21" customHeight="1">
      <c r="A508" s="160"/>
      <c r="B508" s="161" t="s">
        <v>3322</v>
      </c>
      <c r="C508" s="160">
        <v>1</v>
      </c>
      <c r="D508" s="160">
        <v>2</v>
      </c>
      <c r="E508" s="162">
        <v>0.9</v>
      </c>
      <c r="F508" s="162" t="s">
        <v>1288</v>
      </c>
      <c r="G508" s="162">
        <v>0.6</v>
      </c>
      <c r="H508" s="162">
        <f t="shared" si="29"/>
        <v>1.08</v>
      </c>
      <c r="I508" s="159"/>
    </row>
    <row r="509" spans="1:9" ht="21" customHeight="1">
      <c r="A509" s="160"/>
      <c r="B509" s="161"/>
      <c r="C509" s="160"/>
      <c r="D509" s="160"/>
      <c r="E509" s="162"/>
      <c r="F509" s="162"/>
      <c r="G509" s="159" t="s">
        <v>1827</v>
      </c>
      <c r="H509" s="159">
        <f>SUM(H507:H508)</f>
        <v>2.9</v>
      </c>
      <c r="I509" s="159"/>
    </row>
    <row r="510" spans="1:9" ht="21" customHeight="1">
      <c r="A510" s="160"/>
      <c r="B510" s="161"/>
      <c r="C510" s="986" t="s">
        <v>3445</v>
      </c>
      <c r="D510" s="987"/>
      <c r="E510" s="987"/>
      <c r="F510" s="988"/>
      <c r="G510" s="159"/>
      <c r="H510" s="159">
        <f>H509*35</f>
        <v>101.5</v>
      </c>
      <c r="I510" s="159"/>
    </row>
    <row r="511" spans="1:9" ht="21" customHeight="1">
      <c r="A511" s="160"/>
      <c r="B511" s="161"/>
      <c r="C511" s="160"/>
      <c r="D511" s="160"/>
      <c r="E511" s="162"/>
      <c r="F511" s="162"/>
      <c r="G511" s="159" t="s">
        <v>2560</v>
      </c>
      <c r="H511" s="159">
        <f>ROUNDUP(H510,1)</f>
        <v>101.5</v>
      </c>
      <c r="I511" s="159" t="s">
        <v>283</v>
      </c>
    </row>
    <row r="512" spans="1:9" ht="21.6" customHeight="1">
      <c r="A512" s="160">
        <f>A506+1</f>
        <v>30</v>
      </c>
      <c r="B512" s="161" t="str">
        <f>'[11]Building (2)'!B354</f>
        <v>Painting - New "iron work"</v>
      </c>
      <c r="C512" s="160"/>
      <c r="D512" s="160"/>
      <c r="E512" s="162"/>
      <c r="F512" s="162"/>
      <c r="G512" s="162"/>
      <c r="H512" s="162"/>
      <c r="I512" s="159"/>
    </row>
    <row r="513" spans="1:9" ht="21" customHeight="1">
      <c r="A513" s="160"/>
      <c r="B513" s="161" t="s">
        <v>3320</v>
      </c>
      <c r="C513" s="160">
        <v>1</v>
      </c>
      <c r="D513" s="160">
        <v>1</v>
      </c>
      <c r="E513" s="162">
        <v>1.35</v>
      </c>
      <c r="F513" s="162">
        <v>1</v>
      </c>
      <c r="G513" s="162">
        <v>1.35</v>
      </c>
      <c r="H513" s="162">
        <f t="shared" ref="H513:H514" si="30">PRODUCT(C513:G513)</f>
        <v>1.82</v>
      </c>
      <c r="I513" s="159"/>
    </row>
    <row r="514" spans="1:9" ht="21" customHeight="1">
      <c r="A514" s="160"/>
      <c r="B514" s="161" t="s">
        <v>3322</v>
      </c>
      <c r="C514" s="160">
        <v>1</v>
      </c>
      <c r="D514" s="160">
        <v>2</v>
      </c>
      <c r="E514" s="162">
        <v>0.9</v>
      </c>
      <c r="F514" s="162">
        <v>1</v>
      </c>
      <c r="G514" s="162">
        <v>0.6</v>
      </c>
      <c r="H514" s="162">
        <f t="shared" si="30"/>
        <v>1.08</v>
      </c>
      <c r="I514" s="159"/>
    </row>
    <row r="515" spans="1:9" ht="21" customHeight="1">
      <c r="A515" s="160"/>
      <c r="B515" s="161" t="s">
        <v>3321</v>
      </c>
      <c r="C515" s="160">
        <v>1</v>
      </c>
      <c r="D515" s="160">
        <v>1</v>
      </c>
      <c r="E515" s="162">
        <v>1.35</v>
      </c>
      <c r="F515" s="162">
        <v>1</v>
      </c>
      <c r="G515" s="162">
        <v>0.6</v>
      </c>
      <c r="H515" s="162">
        <f>PRODUCT(C515:G515)</f>
        <v>0.81</v>
      </c>
      <c r="I515" s="159"/>
    </row>
    <row r="516" spans="1:9" ht="21" customHeight="1">
      <c r="A516" s="160"/>
      <c r="B516" s="161" t="s">
        <v>3321</v>
      </c>
      <c r="C516" s="160">
        <v>1</v>
      </c>
      <c r="D516" s="160">
        <v>1</v>
      </c>
      <c r="E516" s="162">
        <v>0.9</v>
      </c>
      <c r="F516" s="162">
        <v>1</v>
      </c>
      <c r="G516" s="162">
        <v>0.6</v>
      </c>
      <c r="H516" s="162">
        <f>PRODUCT(C516:G516)</f>
        <v>0.54</v>
      </c>
      <c r="I516" s="159"/>
    </row>
    <row r="517" spans="1:9" ht="21" customHeight="1">
      <c r="A517" s="160"/>
      <c r="B517" s="161" t="s">
        <v>3398</v>
      </c>
      <c r="C517" s="160">
        <v>1</v>
      </c>
      <c r="D517" s="160">
        <v>1</v>
      </c>
      <c r="E517" s="162">
        <v>0.6</v>
      </c>
      <c r="F517" s="162">
        <v>1</v>
      </c>
      <c r="G517" s="162">
        <v>0.6</v>
      </c>
      <c r="H517" s="162">
        <f>PRODUCT(C517:G517)</f>
        <v>0.36</v>
      </c>
      <c r="I517" s="159"/>
    </row>
    <row r="518" spans="1:9" ht="21" customHeight="1">
      <c r="A518" s="160"/>
      <c r="B518" s="161"/>
      <c r="C518" s="160"/>
      <c r="D518" s="160"/>
      <c r="E518" s="162"/>
      <c r="F518" s="162"/>
      <c r="G518" s="159" t="s">
        <v>1827</v>
      </c>
      <c r="H518" s="159">
        <f>SUM(H513:H517)</f>
        <v>4.6100000000000003</v>
      </c>
      <c r="I518" s="159"/>
    </row>
    <row r="519" spans="1:9" ht="21" customHeight="1">
      <c r="A519" s="160"/>
      <c r="B519" s="161"/>
      <c r="C519" s="160"/>
      <c r="D519" s="160"/>
      <c r="E519" s="162"/>
      <c r="F519" s="162"/>
      <c r="G519" s="159" t="s">
        <v>2560</v>
      </c>
      <c r="H519" s="159">
        <f>ROUNDUP(H518,1)</f>
        <v>4.7</v>
      </c>
      <c r="I519" s="159" t="s">
        <v>488</v>
      </c>
    </row>
    <row r="520" spans="1:9" ht="38.25" customHeight="1">
      <c r="A520" s="160">
        <f>A512+1</f>
        <v>31</v>
      </c>
      <c r="B520" s="161" t="s">
        <v>3447</v>
      </c>
      <c r="C520" s="160"/>
      <c r="D520" s="160"/>
      <c r="E520" s="162"/>
      <c r="F520" s="162"/>
      <c r="G520" s="162"/>
      <c r="H520" s="162"/>
      <c r="I520" s="159"/>
    </row>
    <row r="521" spans="1:9" ht="21" customHeight="1">
      <c r="A521" s="160"/>
      <c r="B521" s="161" t="s">
        <v>3320</v>
      </c>
      <c r="C521" s="160">
        <v>1</v>
      </c>
      <c r="D521" s="160">
        <v>4</v>
      </c>
      <c r="E521" s="162">
        <v>1.35</v>
      </c>
      <c r="F521" s="162">
        <v>0.86</v>
      </c>
      <c r="G521" s="162">
        <v>1.35</v>
      </c>
      <c r="H521" s="162">
        <f t="shared" ref="H521:H522" si="31">PRODUCT(C521:G521)</f>
        <v>6.27</v>
      </c>
      <c r="I521" s="159"/>
    </row>
    <row r="522" spans="1:9" ht="21" customHeight="1">
      <c r="A522" s="160"/>
      <c r="B522" s="161" t="s">
        <v>3322</v>
      </c>
      <c r="C522" s="160">
        <v>1</v>
      </c>
      <c r="D522" s="160">
        <v>2</v>
      </c>
      <c r="E522" s="162">
        <v>0.9</v>
      </c>
      <c r="F522" s="162">
        <v>0.86</v>
      </c>
      <c r="G522" s="162">
        <v>0.6</v>
      </c>
      <c r="H522" s="162">
        <f t="shared" si="31"/>
        <v>0.93</v>
      </c>
      <c r="I522" s="159"/>
    </row>
    <row r="523" spans="1:9" ht="21" customHeight="1">
      <c r="A523" s="160"/>
      <c r="B523" s="161"/>
      <c r="C523" s="160"/>
      <c r="D523" s="160"/>
      <c r="E523" s="162"/>
      <c r="F523" s="162"/>
      <c r="G523" s="159" t="s">
        <v>1827</v>
      </c>
      <c r="H523" s="159">
        <f>SUM(H521:H522)</f>
        <v>7.2</v>
      </c>
      <c r="I523" s="159"/>
    </row>
    <row r="524" spans="1:9" ht="21" customHeight="1">
      <c r="A524" s="160"/>
      <c r="B524" s="161"/>
      <c r="C524" s="160"/>
      <c r="D524" s="160"/>
      <c r="E524" s="162"/>
      <c r="F524" s="162"/>
      <c r="G524" s="159" t="s">
        <v>2560</v>
      </c>
      <c r="H524" s="159">
        <f>ROUNDUP(H523,1)</f>
        <v>7.2</v>
      </c>
      <c r="I524" s="159" t="s">
        <v>488</v>
      </c>
    </row>
    <row r="525" spans="1:9" ht="108">
      <c r="A525" s="160">
        <f>A520+1</f>
        <v>32</v>
      </c>
      <c r="B525" s="161" t="str">
        <f>'[11]Building (2)'!B891</f>
        <v>Wiring with 1.5 sqmm PVC insulated single core multi strand fire retardant flexible copper cable with ISI mark confirming IS: 694:1990. (Open wiring)</v>
      </c>
      <c r="C525" s="160"/>
      <c r="D525" s="160"/>
      <c r="E525" s="162"/>
      <c r="F525" s="162"/>
      <c r="G525" s="162"/>
      <c r="H525" s="162"/>
      <c r="I525" s="159"/>
    </row>
    <row r="526" spans="1:9" ht="21" customHeight="1">
      <c r="A526" s="160"/>
      <c r="B526" s="161" t="str">
        <f>'[11]Building (2)'!B674</f>
        <v>a. Light point with ceiling rose</v>
      </c>
      <c r="C526" s="160"/>
      <c r="D526" s="160"/>
      <c r="E526" s="162"/>
      <c r="F526" s="162"/>
      <c r="G526" s="162"/>
      <c r="H526" s="162"/>
      <c r="I526" s="159"/>
    </row>
    <row r="527" spans="1:9" ht="21" customHeight="1">
      <c r="A527" s="160"/>
      <c r="B527" s="161" t="s">
        <v>3312</v>
      </c>
      <c r="C527" s="160">
        <v>1</v>
      </c>
      <c r="D527" s="160">
        <v>4</v>
      </c>
      <c r="E527" s="162" t="s">
        <v>1288</v>
      </c>
      <c r="F527" s="162" t="s">
        <v>1288</v>
      </c>
      <c r="G527" s="162" t="s">
        <v>1288</v>
      </c>
      <c r="H527" s="162">
        <f>PRODUCT(C527:G527)</f>
        <v>4</v>
      </c>
      <c r="I527" s="159"/>
    </row>
    <row r="528" spans="1:9" ht="21" customHeight="1">
      <c r="A528" s="160"/>
      <c r="B528" s="161" t="s">
        <v>3306</v>
      </c>
      <c r="C528" s="160">
        <v>1</v>
      </c>
      <c r="D528" s="160">
        <v>4</v>
      </c>
      <c r="E528" s="162" t="s">
        <v>1288</v>
      </c>
      <c r="F528" s="162" t="s">
        <v>1288</v>
      </c>
      <c r="G528" s="162" t="s">
        <v>1288</v>
      </c>
      <c r="H528" s="162">
        <f>PRODUCT(C528:G528)</f>
        <v>4</v>
      </c>
      <c r="I528" s="159"/>
    </row>
    <row r="529" spans="1:9" ht="21" customHeight="1">
      <c r="A529" s="160"/>
      <c r="B529" s="161" t="s">
        <v>3468</v>
      </c>
      <c r="C529" s="160">
        <v>1</v>
      </c>
      <c r="D529" s="160">
        <v>2</v>
      </c>
      <c r="E529" s="162" t="s">
        <v>1288</v>
      </c>
      <c r="F529" s="162" t="s">
        <v>1288</v>
      </c>
      <c r="G529" s="162" t="s">
        <v>1288</v>
      </c>
      <c r="H529" s="162">
        <f>PRODUCT(C529:G529)</f>
        <v>2</v>
      </c>
      <c r="I529" s="159"/>
    </row>
    <row r="530" spans="1:9" ht="21" customHeight="1">
      <c r="A530" s="160"/>
      <c r="B530" s="161" t="s">
        <v>3327</v>
      </c>
      <c r="C530" s="160">
        <v>1</v>
      </c>
      <c r="D530" s="160">
        <v>5</v>
      </c>
      <c r="E530" s="162" t="s">
        <v>1288</v>
      </c>
      <c r="F530" s="162" t="s">
        <v>1288</v>
      </c>
      <c r="G530" s="162" t="s">
        <v>1288</v>
      </c>
      <c r="H530" s="162">
        <f>PRODUCT(C530:G530)</f>
        <v>5</v>
      </c>
      <c r="I530" s="159"/>
    </row>
    <row r="531" spans="1:9" ht="21" customHeight="1">
      <c r="A531" s="160"/>
      <c r="B531" s="161"/>
      <c r="C531" s="160"/>
      <c r="D531" s="160"/>
      <c r="E531" s="162"/>
      <c r="F531" s="162"/>
      <c r="G531" s="159" t="s">
        <v>1827</v>
      </c>
      <c r="H531" s="159">
        <f>SUM(H526:H530)</f>
        <v>15</v>
      </c>
      <c r="I531" s="159"/>
    </row>
    <row r="532" spans="1:9" ht="21" customHeight="1">
      <c r="A532" s="160"/>
      <c r="B532" s="161"/>
      <c r="C532" s="160"/>
      <c r="D532" s="160"/>
      <c r="E532" s="162"/>
      <c r="F532" s="162"/>
      <c r="G532" s="159" t="s">
        <v>2560</v>
      </c>
      <c r="H532" s="159">
        <f>ROUNDUP(H531,1)</f>
        <v>15</v>
      </c>
      <c r="I532" s="159" t="s">
        <v>3328</v>
      </c>
    </row>
    <row r="533" spans="1:9" ht="18">
      <c r="A533" s="160"/>
      <c r="B533" s="161" t="str">
        <f>'[11]Building (2)'!B675</f>
        <v>b. Light point without ceiling rose</v>
      </c>
      <c r="C533" s="160"/>
      <c r="D533" s="160"/>
      <c r="E533" s="162"/>
      <c r="F533" s="162"/>
      <c r="G533" s="162"/>
      <c r="H533" s="162"/>
      <c r="I533" s="159"/>
    </row>
    <row r="534" spans="1:9" ht="21" customHeight="1">
      <c r="A534" s="160"/>
      <c r="B534" s="161" t="s">
        <v>3312</v>
      </c>
      <c r="C534" s="160">
        <v>1</v>
      </c>
      <c r="D534" s="160">
        <v>4</v>
      </c>
      <c r="E534" s="162" t="s">
        <v>1288</v>
      </c>
      <c r="F534" s="162" t="s">
        <v>1288</v>
      </c>
      <c r="G534" s="162" t="s">
        <v>1288</v>
      </c>
      <c r="H534" s="162">
        <f>PRODUCT(C534:G534)</f>
        <v>4</v>
      </c>
      <c r="I534" s="159"/>
    </row>
    <row r="535" spans="1:9" ht="21" customHeight="1">
      <c r="A535" s="160"/>
      <c r="B535" s="161" t="s">
        <v>3306</v>
      </c>
      <c r="C535" s="160">
        <v>1</v>
      </c>
      <c r="D535" s="160">
        <v>4</v>
      </c>
      <c r="E535" s="162" t="s">
        <v>1288</v>
      </c>
      <c r="F535" s="162" t="s">
        <v>1288</v>
      </c>
      <c r="G535" s="162" t="s">
        <v>1288</v>
      </c>
      <c r="H535" s="162">
        <f>PRODUCT(C535:G535)</f>
        <v>4</v>
      </c>
      <c r="I535" s="159"/>
    </row>
    <row r="536" spans="1:9" ht="21" customHeight="1">
      <c r="A536" s="160"/>
      <c r="B536" s="161" t="s">
        <v>3391</v>
      </c>
      <c r="C536" s="160">
        <v>1</v>
      </c>
      <c r="D536" s="160">
        <v>1</v>
      </c>
      <c r="E536" s="162" t="s">
        <v>1288</v>
      </c>
      <c r="F536" s="162" t="s">
        <v>1288</v>
      </c>
      <c r="G536" s="162" t="s">
        <v>1288</v>
      </c>
      <c r="H536" s="162">
        <f>PRODUCT(C536:G536)</f>
        <v>1</v>
      </c>
      <c r="I536" s="159"/>
    </row>
    <row r="537" spans="1:9" ht="21" customHeight="1">
      <c r="A537" s="160"/>
      <c r="B537" s="161"/>
      <c r="C537" s="160"/>
      <c r="D537" s="160"/>
      <c r="E537" s="162"/>
      <c r="F537" s="162"/>
      <c r="G537" s="159" t="s">
        <v>1827</v>
      </c>
      <c r="H537" s="159">
        <f>SUM(H534:H536)</f>
        <v>9</v>
      </c>
      <c r="I537" s="159"/>
    </row>
    <row r="538" spans="1:9" ht="21" customHeight="1">
      <c r="A538" s="160"/>
      <c r="B538" s="161"/>
      <c r="C538" s="160"/>
      <c r="D538" s="160"/>
      <c r="E538" s="162"/>
      <c r="F538" s="162"/>
      <c r="G538" s="159" t="s">
        <v>2560</v>
      </c>
      <c r="H538" s="159">
        <f>ROUNDUP(H537,1)</f>
        <v>9</v>
      </c>
      <c r="I538" s="159" t="s">
        <v>3328</v>
      </c>
    </row>
    <row r="539" spans="1:9" ht="108">
      <c r="A539" s="160">
        <f>A525+1</f>
        <v>33</v>
      </c>
      <c r="B539" s="161" t="str">
        <f>'[11]Building (2)'!B677</f>
        <v>Wiring with 1.5 sqmm PVC insulated single core multi strand fire retardant flexible copper cable with ISI mark confirming IS: 694:1990 for Fan point.</v>
      </c>
      <c r="C539" s="160"/>
      <c r="D539" s="160"/>
      <c r="E539" s="162"/>
      <c r="F539" s="162"/>
      <c r="G539" s="162"/>
      <c r="H539" s="162"/>
      <c r="I539" s="159"/>
    </row>
    <row r="540" spans="1:9" ht="21" customHeight="1">
      <c r="A540" s="160"/>
      <c r="B540" s="161" t="s">
        <v>3312</v>
      </c>
      <c r="C540" s="160">
        <v>1</v>
      </c>
      <c r="D540" s="160">
        <v>3</v>
      </c>
      <c r="E540" s="162" t="s">
        <v>1288</v>
      </c>
      <c r="F540" s="162" t="s">
        <v>1288</v>
      </c>
      <c r="G540" s="162" t="s">
        <v>1288</v>
      </c>
      <c r="H540" s="162">
        <f>PRODUCT(C540:G540)</f>
        <v>3</v>
      </c>
      <c r="I540" s="159"/>
    </row>
    <row r="541" spans="1:9" ht="21" customHeight="1">
      <c r="A541" s="160"/>
      <c r="B541" s="161" t="s">
        <v>3306</v>
      </c>
      <c r="C541" s="160">
        <v>1</v>
      </c>
      <c r="D541" s="160">
        <v>3</v>
      </c>
      <c r="E541" s="162" t="s">
        <v>1288</v>
      </c>
      <c r="F541" s="162" t="s">
        <v>1288</v>
      </c>
      <c r="G541" s="162" t="s">
        <v>1288</v>
      </c>
      <c r="H541" s="162">
        <f>PRODUCT(C541:G541)</f>
        <v>3</v>
      </c>
      <c r="I541" s="159"/>
    </row>
    <row r="542" spans="1:9" ht="21" customHeight="1">
      <c r="A542" s="160"/>
      <c r="B542" s="161"/>
      <c r="C542" s="160"/>
      <c r="D542" s="160"/>
      <c r="E542" s="162"/>
      <c r="F542" s="162"/>
      <c r="G542" s="159" t="s">
        <v>1827</v>
      </c>
      <c r="H542" s="159">
        <f>SUM(H540:H541)</f>
        <v>6</v>
      </c>
      <c r="I542" s="159"/>
    </row>
    <row r="543" spans="1:9" ht="21" customHeight="1">
      <c r="A543" s="160"/>
      <c r="B543" s="161"/>
      <c r="C543" s="160"/>
      <c r="D543" s="160"/>
      <c r="E543" s="162"/>
      <c r="F543" s="162"/>
      <c r="G543" s="159" t="s">
        <v>2560</v>
      </c>
      <c r="H543" s="159">
        <f>ROUNDUP(H542,1)</f>
        <v>6</v>
      </c>
      <c r="I543" s="159" t="s">
        <v>3328</v>
      </c>
    </row>
    <row r="544" spans="1:9" ht="126">
      <c r="A544" s="160">
        <f>A539+1</f>
        <v>34</v>
      </c>
      <c r="B544" s="161" t="str">
        <f>'[11]Building (2)'!B680</f>
        <v>Wiring with 1.5 sqmm PVC insulated single core multi strand fire retardant flexible copper cable with ISI mark confirming IS: 694:1990 for 5 amps 5 pin plug socket point @ Convenient Places.</v>
      </c>
      <c r="C544" s="160"/>
      <c r="D544" s="160"/>
      <c r="E544" s="162"/>
      <c r="F544" s="162"/>
      <c r="G544" s="159"/>
      <c r="H544" s="159"/>
      <c r="I544" s="159"/>
    </row>
    <row r="545" spans="1:9" ht="21" customHeight="1">
      <c r="A545" s="160"/>
      <c r="B545" s="161" t="s">
        <v>3312</v>
      </c>
      <c r="C545" s="160">
        <v>1</v>
      </c>
      <c r="D545" s="160">
        <v>3</v>
      </c>
      <c r="E545" s="162" t="s">
        <v>1288</v>
      </c>
      <c r="F545" s="162" t="s">
        <v>1288</v>
      </c>
      <c r="G545" s="162" t="s">
        <v>1288</v>
      </c>
      <c r="H545" s="162">
        <f>PRODUCT(C545:G545)</f>
        <v>3</v>
      </c>
      <c r="I545" s="159"/>
    </row>
    <row r="546" spans="1:9" ht="21" customHeight="1">
      <c r="A546" s="160"/>
      <c r="B546" s="161" t="s">
        <v>3306</v>
      </c>
      <c r="C546" s="160">
        <v>1</v>
      </c>
      <c r="D546" s="160">
        <v>3</v>
      </c>
      <c r="E546" s="162" t="s">
        <v>1288</v>
      </c>
      <c r="F546" s="162" t="s">
        <v>1288</v>
      </c>
      <c r="G546" s="162" t="s">
        <v>1288</v>
      </c>
      <c r="H546" s="162">
        <f>PRODUCT(C546:G546)</f>
        <v>3</v>
      </c>
      <c r="I546" s="159"/>
    </row>
    <row r="547" spans="1:9" ht="21" customHeight="1">
      <c r="A547" s="160"/>
      <c r="B547" s="161"/>
      <c r="C547" s="160"/>
      <c r="D547" s="160"/>
      <c r="E547" s="162"/>
      <c r="F547" s="162"/>
      <c r="G547" s="159" t="s">
        <v>1827</v>
      </c>
      <c r="H547" s="159">
        <f>SUM(H545:H546)</f>
        <v>6</v>
      </c>
      <c r="I547" s="159"/>
    </row>
    <row r="548" spans="1:9" ht="21" customHeight="1">
      <c r="A548" s="160"/>
      <c r="B548" s="161"/>
      <c r="C548" s="160"/>
      <c r="D548" s="160"/>
      <c r="E548" s="162"/>
      <c r="F548" s="162"/>
      <c r="G548" s="159" t="s">
        <v>2560</v>
      </c>
      <c r="H548" s="159">
        <f>ROUNDUP(H547,1)</f>
        <v>6</v>
      </c>
      <c r="I548" s="159" t="s">
        <v>3328</v>
      </c>
    </row>
    <row r="549" spans="1:9" ht="92.25" customHeight="1">
      <c r="A549" s="160">
        <f>A544+1</f>
        <v>35</v>
      </c>
      <c r="B549" s="161" t="e">
        <f>#REF!</f>
        <v>#REF!</v>
      </c>
      <c r="C549" s="160"/>
      <c r="D549" s="160"/>
      <c r="E549" s="162"/>
      <c r="F549" s="162"/>
      <c r="G549" s="159"/>
      <c r="H549" s="159"/>
      <c r="I549" s="159"/>
    </row>
    <row r="550" spans="1:9" ht="21" customHeight="1">
      <c r="A550" s="160"/>
      <c r="B550" s="161" t="s">
        <v>3312</v>
      </c>
      <c r="C550" s="160">
        <v>1</v>
      </c>
      <c r="D550" s="160">
        <v>1</v>
      </c>
      <c r="E550" s="162">
        <v>20</v>
      </c>
      <c r="F550" s="162" t="s">
        <v>1288</v>
      </c>
      <c r="G550" s="162" t="s">
        <v>1288</v>
      </c>
      <c r="H550" s="162">
        <f>PRODUCT(C550:G550)</f>
        <v>20</v>
      </c>
      <c r="I550" s="159"/>
    </row>
    <row r="551" spans="1:9" ht="21" customHeight="1">
      <c r="A551" s="160"/>
      <c r="B551" s="161" t="s">
        <v>3306</v>
      </c>
      <c r="C551" s="160">
        <v>1</v>
      </c>
      <c r="D551" s="160">
        <v>1</v>
      </c>
      <c r="E551" s="162">
        <v>25</v>
      </c>
      <c r="F551" s="162" t="s">
        <v>1288</v>
      </c>
      <c r="G551" s="162" t="s">
        <v>1288</v>
      </c>
      <c r="H551" s="162">
        <f>PRODUCT(C551:G551)</f>
        <v>25</v>
      </c>
      <c r="I551" s="159"/>
    </row>
    <row r="552" spans="1:9" ht="21" customHeight="1">
      <c r="A552" s="160"/>
      <c r="B552" s="161" t="s">
        <v>3391</v>
      </c>
      <c r="C552" s="160">
        <v>1</v>
      </c>
      <c r="D552" s="160">
        <v>1</v>
      </c>
      <c r="E552" s="162">
        <v>10</v>
      </c>
      <c r="F552" s="162" t="s">
        <v>1288</v>
      </c>
      <c r="G552" s="162" t="s">
        <v>1288</v>
      </c>
      <c r="H552" s="162">
        <f>PRODUCT(C552:G552)</f>
        <v>10</v>
      </c>
      <c r="I552" s="159"/>
    </row>
    <row r="553" spans="1:9" ht="21" customHeight="1">
      <c r="A553" s="160"/>
      <c r="B553" s="161"/>
      <c r="C553" s="160"/>
      <c r="D553" s="160"/>
      <c r="E553" s="162"/>
      <c r="F553" s="162"/>
      <c r="G553" s="159" t="s">
        <v>1827</v>
      </c>
      <c r="H553" s="159">
        <f>SUM(H550:H552)</f>
        <v>55</v>
      </c>
      <c r="I553" s="159"/>
    </row>
    <row r="554" spans="1:9" ht="21" customHeight="1">
      <c r="A554" s="160"/>
      <c r="B554" s="161"/>
      <c r="C554" s="160"/>
      <c r="D554" s="160"/>
      <c r="E554" s="162"/>
      <c r="F554" s="162"/>
      <c r="G554" s="159" t="s">
        <v>2560</v>
      </c>
      <c r="H554" s="159">
        <f>ROUNDUP(H553,1)</f>
        <v>55</v>
      </c>
      <c r="I554" s="159" t="s">
        <v>1443</v>
      </c>
    </row>
    <row r="555" spans="1:9" ht="57" customHeight="1">
      <c r="A555" s="160">
        <f>A549+1</f>
        <v>36</v>
      </c>
      <c r="B555" s="161" t="str">
        <f>'[11]Building (2)'!B832</f>
        <v>S &amp; F of 15mm dia Engineering Polymer Tap (long body ) for coastal area only</v>
      </c>
      <c r="C555" s="160"/>
      <c r="D555" s="160"/>
      <c r="E555" s="162"/>
      <c r="F555" s="162"/>
      <c r="G555" s="159"/>
      <c r="H555" s="159"/>
      <c r="I555" s="159"/>
    </row>
    <row r="556" spans="1:9" ht="21" customHeight="1">
      <c r="A556" s="160"/>
      <c r="B556" s="161" t="s">
        <v>3312</v>
      </c>
      <c r="C556" s="160">
        <v>1</v>
      </c>
      <c r="D556" s="160">
        <v>2</v>
      </c>
      <c r="E556" s="162" t="s">
        <v>1288</v>
      </c>
      <c r="F556" s="162" t="s">
        <v>1288</v>
      </c>
      <c r="G556" s="162" t="s">
        <v>1288</v>
      </c>
      <c r="H556" s="162">
        <f>PRODUCT(C556:G556)</f>
        <v>2</v>
      </c>
      <c r="I556" s="159"/>
    </row>
    <row r="557" spans="1:9" ht="21" customHeight="1">
      <c r="A557" s="160"/>
      <c r="B557" s="161" t="s">
        <v>3306</v>
      </c>
      <c r="C557" s="160">
        <v>1</v>
      </c>
      <c r="D557" s="160">
        <v>2</v>
      </c>
      <c r="E557" s="162" t="s">
        <v>1288</v>
      </c>
      <c r="F557" s="162" t="s">
        <v>1288</v>
      </c>
      <c r="G557" s="162" t="s">
        <v>1288</v>
      </c>
      <c r="H557" s="162">
        <f>PRODUCT(C557:G557)</f>
        <v>2</v>
      </c>
      <c r="I557" s="159"/>
    </row>
    <row r="558" spans="1:9" ht="21" customHeight="1">
      <c r="A558" s="160"/>
      <c r="B558" s="161"/>
      <c r="C558" s="160"/>
      <c r="D558" s="160"/>
      <c r="E558" s="162"/>
      <c r="F558" s="162"/>
      <c r="G558" s="159" t="s">
        <v>1827</v>
      </c>
      <c r="H558" s="159">
        <f>SUM(H556:H557)</f>
        <v>4</v>
      </c>
      <c r="I558" s="159"/>
    </row>
    <row r="559" spans="1:9" ht="21" customHeight="1">
      <c r="A559" s="160"/>
      <c r="B559" s="161"/>
      <c r="C559" s="160"/>
      <c r="D559" s="160"/>
      <c r="E559" s="162"/>
      <c r="F559" s="162"/>
      <c r="G559" s="159" t="s">
        <v>2560</v>
      </c>
      <c r="H559" s="159">
        <f>ROUNDUP(H558,1)</f>
        <v>4</v>
      </c>
      <c r="I559" s="159" t="s">
        <v>1395</v>
      </c>
    </row>
    <row r="560" spans="1:9" ht="57" customHeight="1">
      <c r="A560" s="160">
        <f>A555+1</f>
        <v>37</v>
      </c>
      <c r="B560" s="161" t="str">
        <f>'[11]Building (2)'!B833</f>
        <v>S &amp; F of 15mm dia Engineering Polymer Tap  short body tap for coastal area only</v>
      </c>
      <c r="C560" s="160"/>
      <c r="D560" s="160"/>
      <c r="E560" s="162"/>
      <c r="F560" s="162"/>
      <c r="G560" s="159"/>
      <c r="H560" s="159"/>
      <c r="I560" s="159"/>
    </row>
    <row r="561" spans="1:9" ht="21" customHeight="1">
      <c r="A561" s="160"/>
      <c r="B561" s="161" t="s">
        <v>3312</v>
      </c>
      <c r="C561" s="160">
        <v>1</v>
      </c>
      <c r="D561" s="160">
        <v>2</v>
      </c>
      <c r="E561" s="162" t="s">
        <v>1288</v>
      </c>
      <c r="F561" s="162" t="s">
        <v>1288</v>
      </c>
      <c r="G561" s="162" t="s">
        <v>1288</v>
      </c>
      <c r="H561" s="162">
        <f>PRODUCT(C561:G561)</f>
        <v>2</v>
      </c>
      <c r="I561" s="159"/>
    </row>
    <row r="562" spans="1:9" ht="21" customHeight="1">
      <c r="A562" s="160"/>
      <c r="B562" s="161" t="s">
        <v>3306</v>
      </c>
      <c r="C562" s="160">
        <v>1</v>
      </c>
      <c r="D562" s="160">
        <v>3</v>
      </c>
      <c r="E562" s="162" t="s">
        <v>1288</v>
      </c>
      <c r="F562" s="162" t="s">
        <v>1288</v>
      </c>
      <c r="G562" s="162" t="s">
        <v>1288</v>
      </c>
      <c r="H562" s="162">
        <f>PRODUCT(C562:G562)</f>
        <v>3</v>
      </c>
      <c r="I562" s="159"/>
    </row>
    <row r="563" spans="1:9" ht="21" customHeight="1">
      <c r="A563" s="160"/>
      <c r="B563" s="161"/>
      <c r="C563" s="160"/>
      <c r="D563" s="160"/>
      <c r="E563" s="162"/>
      <c r="F563" s="162"/>
      <c r="G563" s="159" t="s">
        <v>1827</v>
      </c>
      <c r="H563" s="159">
        <f>SUM(H561:H562)</f>
        <v>5</v>
      </c>
      <c r="I563" s="159"/>
    </row>
    <row r="564" spans="1:9" ht="21" customHeight="1">
      <c r="A564" s="160"/>
      <c r="B564" s="161"/>
      <c r="C564" s="160"/>
      <c r="D564" s="160"/>
      <c r="E564" s="162"/>
      <c r="F564" s="162"/>
      <c r="G564" s="159" t="s">
        <v>2560</v>
      </c>
      <c r="H564" s="159">
        <f>ROUNDUP(H563,1)</f>
        <v>5</v>
      </c>
      <c r="I564" s="159" t="s">
        <v>1395</v>
      </c>
    </row>
    <row r="565" spans="1:9" ht="57" customHeight="1">
      <c r="A565" s="160">
        <f>A560+1</f>
        <v>38</v>
      </c>
      <c r="B565" s="161" t="str">
        <f>'[11]Building (2)'!B682</f>
        <v>Supply and delivery of  48" (1200 mm) Fan with ISI mark with Eletronic Dimmer</v>
      </c>
      <c r="C565" s="160"/>
      <c r="D565" s="160"/>
      <c r="E565" s="162"/>
      <c r="F565" s="162"/>
      <c r="G565" s="159"/>
      <c r="H565" s="159"/>
      <c r="I565" s="159"/>
    </row>
    <row r="566" spans="1:9" ht="21" customHeight="1">
      <c r="A566" s="160"/>
      <c r="B566" s="161" t="s">
        <v>3312</v>
      </c>
      <c r="C566" s="160">
        <v>1</v>
      </c>
      <c r="D566" s="160">
        <v>3</v>
      </c>
      <c r="E566" s="162" t="s">
        <v>1288</v>
      </c>
      <c r="F566" s="162" t="s">
        <v>1288</v>
      </c>
      <c r="G566" s="162" t="s">
        <v>1288</v>
      </c>
      <c r="H566" s="162">
        <f>PRODUCT(C566:G566)</f>
        <v>3</v>
      </c>
      <c r="I566" s="159"/>
    </row>
    <row r="567" spans="1:9" ht="21" customHeight="1">
      <c r="A567" s="160"/>
      <c r="B567" s="161" t="s">
        <v>3306</v>
      </c>
      <c r="C567" s="160">
        <v>1</v>
      </c>
      <c r="D567" s="160">
        <v>3</v>
      </c>
      <c r="E567" s="162" t="s">
        <v>1288</v>
      </c>
      <c r="F567" s="162" t="s">
        <v>1288</v>
      </c>
      <c r="G567" s="162" t="s">
        <v>1288</v>
      </c>
      <c r="H567" s="162">
        <f>PRODUCT(C567:G567)</f>
        <v>3</v>
      </c>
      <c r="I567" s="159"/>
    </row>
    <row r="568" spans="1:9" ht="21" customHeight="1">
      <c r="A568" s="160"/>
      <c r="B568" s="161"/>
      <c r="C568" s="160"/>
      <c r="D568" s="160"/>
      <c r="E568" s="162"/>
      <c r="F568" s="162"/>
      <c r="G568" s="159" t="s">
        <v>1827</v>
      </c>
      <c r="H568" s="159">
        <f>SUM(H566:H567)</f>
        <v>6</v>
      </c>
      <c r="I568" s="159"/>
    </row>
    <row r="569" spans="1:9" ht="21" customHeight="1">
      <c r="A569" s="160"/>
      <c r="B569" s="161"/>
      <c r="C569" s="160"/>
      <c r="D569" s="160"/>
      <c r="E569" s="162"/>
      <c r="F569" s="162"/>
      <c r="G569" s="159" t="s">
        <v>2560</v>
      </c>
      <c r="H569" s="159">
        <f>ROUNDUP(H568,1)</f>
        <v>6</v>
      </c>
      <c r="I569" s="159" t="s">
        <v>1395</v>
      </c>
    </row>
    <row r="570" spans="1:9" ht="24" customHeight="1">
      <c r="A570" s="160">
        <f>A565+1</f>
        <v>39</v>
      </c>
      <c r="B570" s="161" t="e">
        <f>#REF!</f>
        <v>#REF!</v>
      </c>
      <c r="C570" s="160"/>
      <c r="D570" s="160"/>
      <c r="E570" s="162"/>
      <c r="F570" s="162"/>
      <c r="G570" s="159"/>
      <c r="H570" s="159"/>
      <c r="I570" s="159"/>
    </row>
    <row r="571" spans="1:9" ht="21" customHeight="1">
      <c r="A571" s="160"/>
      <c r="B571" s="161" t="s">
        <v>3312</v>
      </c>
      <c r="C571" s="160">
        <v>1</v>
      </c>
      <c r="D571" s="160">
        <v>3</v>
      </c>
      <c r="E571" s="162" t="s">
        <v>1288</v>
      </c>
      <c r="F571" s="162" t="s">
        <v>1288</v>
      </c>
      <c r="G571" s="162" t="s">
        <v>1288</v>
      </c>
      <c r="H571" s="162">
        <f>PRODUCT(C571:G571)</f>
        <v>3</v>
      </c>
      <c r="I571" s="159"/>
    </row>
    <row r="572" spans="1:9" ht="21" customHeight="1">
      <c r="A572" s="160"/>
      <c r="B572" s="161" t="s">
        <v>3306</v>
      </c>
      <c r="C572" s="160">
        <v>1</v>
      </c>
      <c r="D572" s="160">
        <v>3</v>
      </c>
      <c r="E572" s="162" t="s">
        <v>1288</v>
      </c>
      <c r="F572" s="162" t="s">
        <v>1288</v>
      </c>
      <c r="G572" s="162" t="s">
        <v>1288</v>
      </c>
      <c r="H572" s="162">
        <f>PRODUCT(C572:G572)</f>
        <v>3</v>
      </c>
      <c r="I572" s="159"/>
    </row>
    <row r="573" spans="1:9" ht="21" customHeight="1">
      <c r="A573" s="160"/>
      <c r="B573" s="161"/>
      <c r="C573" s="160"/>
      <c r="D573" s="160"/>
      <c r="E573" s="162"/>
      <c r="F573" s="162"/>
      <c r="G573" s="159" t="s">
        <v>1827</v>
      </c>
      <c r="H573" s="159">
        <f>SUM(H571:H572)</f>
        <v>6</v>
      </c>
      <c r="I573" s="159"/>
    </row>
    <row r="574" spans="1:9" ht="21" customHeight="1">
      <c r="A574" s="160"/>
      <c r="B574" s="161"/>
      <c r="C574" s="160"/>
      <c r="D574" s="160"/>
      <c r="E574" s="162"/>
      <c r="F574" s="162"/>
      <c r="G574" s="159" t="s">
        <v>2560</v>
      </c>
      <c r="H574" s="159">
        <f>ROUNDUP(H573,1)</f>
        <v>6</v>
      </c>
      <c r="I574" s="159" t="s">
        <v>1395</v>
      </c>
    </row>
    <row r="575" spans="1:9" ht="37.9" customHeight="1">
      <c r="A575" s="160">
        <f>A570+1</f>
        <v>40</v>
      </c>
      <c r="B575" s="161" t="str">
        <f>'[11]Building (2)'!B664</f>
        <v>Wash Hand  Basin of size 550 x 400 mm</v>
      </c>
      <c r="C575" s="160"/>
      <c r="D575" s="160"/>
      <c r="E575" s="162"/>
      <c r="F575" s="162"/>
      <c r="G575" s="159"/>
      <c r="H575" s="159"/>
      <c r="I575" s="159"/>
    </row>
    <row r="576" spans="1:9" ht="21" customHeight="1">
      <c r="A576" s="160"/>
      <c r="B576" s="161" t="s">
        <v>3306</v>
      </c>
      <c r="C576" s="160">
        <v>1</v>
      </c>
      <c r="D576" s="160">
        <v>2</v>
      </c>
      <c r="E576" s="162" t="s">
        <v>1288</v>
      </c>
      <c r="F576" s="162" t="s">
        <v>1288</v>
      </c>
      <c r="G576" s="162" t="s">
        <v>1288</v>
      </c>
      <c r="H576" s="162">
        <f>PRODUCT(C576:G576)</f>
        <v>2</v>
      </c>
      <c r="I576" s="159"/>
    </row>
    <row r="577" spans="1:9" ht="21" customHeight="1">
      <c r="A577" s="160"/>
      <c r="B577" s="161" t="s">
        <v>3327</v>
      </c>
      <c r="C577" s="160">
        <v>1</v>
      </c>
      <c r="D577" s="160">
        <v>1</v>
      </c>
      <c r="E577" s="162" t="s">
        <v>1288</v>
      </c>
      <c r="F577" s="162" t="s">
        <v>1288</v>
      </c>
      <c r="G577" s="162" t="s">
        <v>1288</v>
      </c>
      <c r="H577" s="162">
        <f>PRODUCT(C577:G577)</f>
        <v>1</v>
      </c>
      <c r="I577" s="159"/>
    </row>
    <row r="578" spans="1:9" ht="21" customHeight="1">
      <c r="A578" s="160"/>
      <c r="B578" s="161"/>
      <c r="C578" s="160"/>
      <c r="D578" s="160"/>
      <c r="E578" s="162"/>
      <c r="F578" s="162"/>
      <c r="G578" s="159" t="s">
        <v>1827</v>
      </c>
      <c r="H578" s="159">
        <f>SUM(H576:H577)</f>
        <v>3</v>
      </c>
      <c r="I578" s="159"/>
    </row>
    <row r="579" spans="1:9" ht="21" customHeight="1">
      <c r="A579" s="160"/>
      <c r="B579" s="161"/>
      <c r="C579" s="160"/>
      <c r="D579" s="160"/>
      <c r="E579" s="162"/>
      <c r="F579" s="162"/>
      <c r="G579" s="159" t="s">
        <v>2560</v>
      </c>
      <c r="H579" s="159">
        <f>ROUNDUP(H578,1)</f>
        <v>3</v>
      </c>
      <c r="I579" s="159" t="s">
        <v>1395</v>
      </c>
    </row>
    <row r="580" spans="1:9" ht="19.899999999999999" customHeight="1">
      <c r="A580" s="160">
        <f>A575+1</f>
        <v>41</v>
      </c>
      <c r="B580" s="161" t="str">
        <f>'[11]Building (2)'!B913</f>
        <v>18 watts  LED  Tube Light</v>
      </c>
      <c r="C580" s="160"/>
      <c r="D580" s="160"/>
      <c r="E580" s="162"/>
      <c r="F580" s="162"/>
      <c r="G580" s="159"/>
      <c r="H580" s="159"/>
      <c r="I580" s="159"/>
    </row>
    <row r="581" spans="1:9" ht="21" customHeight="1">
      <c r="A581" s="160"/>
      <c r="B581" s="161" t="s">
        <v>3312</v>
      </c>
      <c r="C581" s="160">
        <v>1</v>
      </c>
      <c r="D581" s="160">
        <v>4</v>
      </c>
      <c r="E581" s="162" t="s">
        <v>1288</v>
      </c>
      <c r="F581" s="162" t="s">
        <v>1288</v>
      </c>
      <c r="G581" s="162" t="s">
        <v>1288</v>
      </c>
      <c r="H581" s="162">
        <f>PRODUCT(C581:G581)</f>
        <v>4</v>
      </c>
      <c r="I581" s="159"/>
    </row>
    <row r="582" spans="1:9" ht="21" customHeight="1">
      <c r="A582" s="160"/>
      <c r="B582" s="161" t="s">
        <v>3306</v>
      </c>
      <c r="C582" s="160">
        <v>1</v>
      </c>
      <c r="D582" s="160">
        <v>4</v>
      </c>
      <c r="E582" s="162" t="s">
        <v>1288</v>
      </c>
      <c r="F582" s="162" t="s">
        <v>1288</v>
      </c>
      <c r="G582" s="162" t="s">
        <v>1288</v>
      </c>
      <c r="H582" s="162">
        <f>PRODUCT(C582:G582)</f>
        <v>4</v>
      </c>
      <c r="I582" s="159"/>
    </row>
    <row r="583" spans="1:9" ht="21" customHeight="1">
      <c r="A583" s="160"/>
      <c r="B583" s="161"/>
      <c r="C583" s="160"/>
      <c r="D583" s="160"/>
      <c r="E583" s="162"/>
      <c r="F583" s="162"/>
      <c r="G583" s="159" t="s">
        <v>1827</v>
      </c>
      <c r="H583" s="159">
        <f>SUM(H581:H582)</f>
        <v>8</v>
      </c>
      <c r="I583" s="159"/>
    </row>
    <row r="584" spans="1:9" ht="21" customHeight="1">
      <c r="A584" s="160"/>
      <c r="B584" s="161"/>
      <c r="C584" s="160"/>
      <c r="D584" s="160"/>
      <c r="E584" s="162"/>
      <c r="F584" s="162"/>
      <c r="G584" s="159" t="s">
        <v>2560</v>
      </c>
      <c r="H584" s="159">
        <f>ROUNDUP(H583,1)</f>
        <v>8</v>
      </c>
      <c r="I584" s="159" t="s">
        <v>1395</v>
      </c>
    </row>
    <row r="585" spans="1:9" ht="19.899999999999999" customHeight="1">
      <c r="A585" s="160">
        <f>A580+1</f>
        <v>42</v>
      </c>
      <c r="B585" s="161" t="str">
        <f>'[11]Building (2)'!B912</f>
        <v>9 watts  LED bulb  qtn</v>
      </c>
      <c r="C585" s="160"/>
      <c r="D585" s="160"/>
      <c r="E585" s="162"/>
      <c r="F585" s="162"/>
      <c r="G585" s="159"/>
      <c r="H585" s="159"/>
      <c r="I585" s="159"/>
    </row>
    <row r="586" spans="1:9" ht="21" customHeight="1">
      <c r="A586" s="160"/>
      <c r="B586" s="161" t="s">
        <v>3312</v>
      </c>
      <c r="C586" s="160">
        <v>1</v>
      </c>
      <c r="D586" s="160">
        <v>4</v>
      </c>
      <c r="E586" s="162" t="s">
        <v>1288</v>
      </c>
      <c r="F586" s="162" t="s">
        <v>1288</v>
      </c>
      <c r="G586" s="162" t="s">
        <v>1288</v>
      </c>
      <c r="H586" s="162">
        <f>PRODUCT(C586:G586)</f>
        <v>4</v>
      </c>
      <c r="I586" s="159"/>
    </row>
    <row r="587" spans="1:9" ht="21" customHeight="1">
      <c r="A587" s="160"/>
      <c r="B587" s="161" t="s">
        <v>3306</v>
      </c>
      <c r="C587" s="160">
        <v>1</v>
      </c>
      <c r="D587" s="160">
        <v>4</v>
      </c>
      <c r="E587" s="162" t="s">
        <v>1288</v>
      </c>
      <c r="F587" s="162" t="s">
        <v>1288</v>
      </c>
      <c r="G587" s="162" t="s">
        <v>1288</v>
      </c>
      <c r="H587" s="162">
        <f>PRODUCT(C587:G587)</f>
        <v>4</v>
      </c>
      <c r="I587" s="159"/>
    </row>
    <row r="588" spans="1:9" ht="21" customHeight="1">
      <c r="A588" s="160"/>
      <c r="B588" s="161" t="s">
        <v>3391</v>
      </c>
      <c r="C588" s="160">
        <v>1</v>
      </c>
      <c r="D588" s="160">
        <v>1</v>
      </c>
      <c r="E588" s="162" t="s">
        <v>1288</v>
      </c>
      <c r="F588" s="162" t="s">
        <v>1288</v>
      </c>
      <c r="G588" s="162" t="s">
        <v>1288</v>
      </c>
      <c r="H588" s="162">
        <f>PRODUCT(C588:G588)</f>
        <v>1</v>
      </c>
      <c r="I588" s="159"/>
    </row>
    <row r="589" spans="1:9" ht="21" customHeight="1">
      <c r="A589" s="160"/>
      <c r="B589" s="161"/>
      <c r="C589" s="160"/>
      <c r="D589" s="160"/>
      <c r="E589" s="162"/>
      <c r="F589" s="162"/>
      <c r="G589" s="159" t="s">
        <v>1827</v>
      </c>
      <c r="H589" s="159">
        <f>SUM(H586:H588)</f>
        <v>9</v>
      </c>
      <c r="I589" s="159"/>
    </row>
    <row r="590" spans="1:9" ht="21" customHeight="1">
      <c r="A590" s="160"/>
      <c r="B590" s="161"/>
      <c r="C590" s="160"/>
      <c r="D590" s="160"/>
      <c r="E590" s="162"/>
      <c r="F590" s="162"/>
      <c r="G590" s="159" t="s">
        <v>2560</v>
      </c>
      <c r="H590" s="159">
        <f>ROUNDUP(H589,1)</f>
        <v>9</v>
      </c>
      <c r="I590" s="159" t="s">
        <v>1395</v>
      </c>
    </row>
    <row r="591" spans="1:9" ht="39.6" customHeight="1">
      <c r="A591" s="160">
        <f>A585+1</f>
        <v>43</v>
      </c>
      <c r="B591" s="161" t="s">
        <v>3427</v>
      </c>
      <c r="C591" s="160"/>
      <c r="D591" s="160"/>
      <c r="E591" s="162"/>
      <c r="F591" s="162"/>
      <c r="G591" s="159"/>
      <c r="H591" s="159"/>
      <c r="I591" s="159"/>
    </row>
    <row r="592" spans="1:9" ht="21" customHeight="1">
      <c r="A592" s="160"/>
      <c r="B592" s="161" t="s">
        <v>3327</v>
      </c>
      <c r="C592" s="160">
        <v>1</v>
      </c>
      <c r="D592" s="160">
        <v>4</v>
      </c>
      <c r="E592" s="162" t="s">
        <v>1288</v>
      </c>
      <c r="F592" s="162" t="s">
        <v>1288</v>
      </c>
      <c r="G592" s="162" t="s">
        <v>1288</v>
      </c>
      <c r="H592" s="162">
        <f>PRODUCT(C592:G592)</f>
        <v>4</v>
      </c>
      <c r="I592" s="159"/>
    </row>
    <row r="593" spans="1:9" ht="21" customHeight="1">
      <c r="A593" s="160"/>
      <c r="B593" s="161"/>
      <c r="C593" s="160"/>
      <c r="D593" s="160"/>
      <c r="E593" s="162"/>
      <c r="F593" s="162"/>
      <c r="G593" s="159" t="s">
        <v>1827</v>
      </c>
      <c r="H593" s="159">
        <f>SUM(H592:H592)</f>
        <v>4</v>
      </c>
      <c r="I593" s="159"/>
    </row>
    <row r="594" spans="1:9" ht="21" customHeight="1">
      <c r="A594" s="160"/>
      <c r="B594" s="161"/>
      <c r="C594" s="160"/>
      <c r="D594" s="160"/>
      <c r="E594" s="162"/>
      <c r="F594" s="162"/>
      <c r="G594" s="159" t="s">
        <v>2560</v>
      </c>
      <c r="H594" s="159">
        <f>ROUNDUP(H593,1)</f>
        <v>4</v>
      </c>
      <c r="I594" s="159" t="s">
        <v>1395</v>
      </c>
    </row>
    <row r="595" spans="1:9" ht="57" customHeight="1">
      <c r="A595" s="160">
        <f>A591+1</f>
        <v>44</v>
      </c>
      <c r="B595" s="161" t="s">
        <v>3428</v>
      </c>
      <c r="C595" s="160"/>
      <c r="D595" s="160"/>
      <c r="E595" s="162"/>
      <c r="F595" s="162"/>
      <c r="G595" s="159"/>
      <c r="H595" s="159"/>
      <c r="I595" s="159"/>
    </row>
    <row r="596" spans="1:9" ht="21" customHeight="1">
      <c r="A596" s="160"/>
      <c r="B596" s="161" t="s">
        <v>3391</v>
      </c>
      <c r="C596" s="160">
        <v>1</v>
      </c>
      <c r="D596" s="160">
        <v>1</v>
      </c>
      <c r="E596" s="162">
        <v>2.5</v>
      </c>
      <c r="F596" s="162" t="s">
        <v>1288</v>
      </c>
      <c r="G596" s="162" t="s">
        <v>1288</v>
      </c>
      <c r="H596" s="162">
        <f>PRODUCT(C596:G596)</f>
        <v>2.5</v>
      </c>
      <c r="I596" s="159"/>
    </row>
    <row r="597" spans="1:9" ht="21" customHeight="1">
      <c r="A597" s="160"/>
      <c r="B597" s="161"/>
      <c r="C597" s="160"/>
      <c r="D597" s="160"/>
      <c r="E597" s="162"/>
      <c r="F597" s="162"/>
      <c r="G597" s="159" t="s">
        <v>1827</v>
      </c>
      <c r="H597" s="159">
        <f>SUM(H596:H596)</f>
        <v>2.5</v>
      </c>
      <c r="I597" s="159"/>
    </row>
    <row r="598" spans="1:9" ht="21" customHeight="1">
      <c r="A598" s="160"/>
      <c r="B598" s="161"/>
      <c r="C598" s="160"/>
      <c r="D598" s="160"/>
      <c r="E598" s="162"/>
      <c r="F598" s="162"/>
      <c r="G598" s="159" t="s">
        <v>2560</v>
      </c>
      <c r="H598" s="159">
        <f>ROUNDUP(H597,1)</f>
        <v>2.5</v>
      </c>
      <c r="I598" s="159" t="s">
        <v>1443</v>
      </c>
    </row>
    <row r="599" spans="1:9" ht="55.9" customHeight="1">
      <c r="A599" s="160">
        <f>A595+1</f>
        <v>45</v>
      </c>
      <c r="B599" s="161" t="e">
        <f>#REF!</f>
        <v>#REF!</v>
      </c>
      <c r="C599" s="160"/>
      <c r="D599" s="160"/>
      <c r="E599" s="162"/>
      <c r="F599" s="162"/>
      <c r="G599" s="162"/>
      <c r="H599" s="162"/>
      <c r="I599" s="159"/>
    </row>
    <row r="600" spans="1:9" ht="21" customHeight="1">
      <c r="A600" s="160"/>
      <c r="B600" s="161" t="str">
        <f>'[11]Building (2)'!B477</f>
        <v>a. In Foundation &amp; basement</v>
      </c>
      <c r="C600" s="160"/>
      <c r="D600" s="160"/>
      <c r="E600" s="162"/>
      <c r="F600" s="162"/>
      <c r="G600" s="162"/>
      <c r="H600" s="162"/>
      <c r="I600" s="159"/>
    </row>
    <row r="601" spans="1:9" ht="21" customHeight="1">
      <c r="A601" s="160"/>
      <c r="B601" s="161" t="s">
        <v>3313</v>
      </c>
      <c r="C601" s="160">
        <v>1</v>
      </c>
      <c r="D601" s="160">
        <v>6</v>
      </c>
      <c r="E601" s="162">
        <v>0.75</v>
      </c>
      <c r="F601" s="162">
        <v>0.75</v>
      </c>
      <c r="G601" s="162" t="s">
        <v>1288</v>
      </c>
      <c r="H601" s="162">
        <f>PRODUCT(C601:G601)</f>
        <v>3.38</v>
      </c>
      <c r="I601" s="159"/>
    </row>
    <row r="602" spans="1:9" ht="21" customHeight="1">
      <c r="A602" s="160"/>
      <c r="B602" s="161" t="s">
        <v>3429</v>
      </c>
      <c r="C602" s="160">
        <v>1</v>
      </c>
      <c r="D602" s="160">
        <v>2</v>
      </c>
      <c r="E602" s="162">
        <v>0.75</v>
      </c>
      <c r="F602" s="162">
        <v>0.75</v>
      </c>
      <c r="G602" s="162" t="s">
        <v>1288</v>
      </c>
      <c r="H602" s="162">
        <f>PRODUCT(C602:G602)</f>
        <v>1.1299999999999999</v>
      </c>
      <c r="I602" s="159"/>
    </row>
    <row r="603" spans="1:9" ht="21" customHeight="1">
      <c r="A603" s="160"/>
      <c r="B603" s="161" t="s">
        <v>3426</v>
      </c>
      <c r="C603" s="160">
        <v>1</v>
      </c>
      <c r="D603" s="160">
        <v>2</v>
      </c>
      <c r="E603" s="162">
        <v>0.75</v>
      </c>
      <c r="F603" s="162">
        <v>0.75</v>
      </c>
      <c r="G603" s="162" t="s">
        <v>1288</v>
      </c>
      <c r="H603" s="162">
        <f>PRODUCT(C603:G603)</f>
        <v>1.1299999999999999</v>
      </c>
      <c r="I603" s="159"/>
    </row>
    <row r="604" spans="1:9" ht="21" customHeight="1">
      <c r="A604" s="160"/>
      <c r="B604" s="161"/>
      <c r="C604" s="160"/>
      <c r="D604" s="160"/>
      <c r="E604" s="162"/>
      <c r="F604" s="162"/>
      <c r="G604" s="159" t="s">
        <v>1827</v>
      </c>
      <c r="H604" s="159">
        <f>SUM(H601:H603)</f>
        <v>5.64</v>
      </c>
      <c r="I604" s="159"/>
    </row>
    <row r="605" spans="1:9" ht="21" customHeight="1">
      <c r="A605" s="160"/>
      <c r="B605" s="161"/>
      <c r="C605" s="160"/>
      <c r="D605" s="160"/>
      <c r="E605" s="162"/>
      <c r="F605" s="162"/>
      <c r="G605" s="159" t="s">
        <v>2560</v>
      </c>
      <c r="H605" s="159">
        <f>ROUNDUP(H604,1)</f>
        <v>5.7</v>
      </c>
      <c r="I605" s="159" t="s">
        <v>488</v>
      </c>
    </row>
    <row r="606" spans="1:9" ht="55.9" customHeight="1">
      <c r="A606" s="160">
        <f>A599+1</f>
        <v>46</v>
      </c>
      <c r="B606" s="161" t="str">
        <f>'[11]Building (2)'!B659</f>
        <v>Fabrication of Mild steel / RTS grills (without cement slurry) for all sizes of rods.</v>
      </c>
      <c r="C606" s="160"/>
      <c r="D606" s="160"/>
      <c r="E606" s="162"/>
      <c r="F606" s="162"/>
      <c r="G606" s="162"/>
      <c r="H606" s="162"/>
      <c r="I606" s="159"/>
    </row>
    <row r="607" spans="1:9" ht="21" customHeight="1">
      <c r="A607" s="160"/>
      <c r="B607" s="161" t="s">
        <v>3438</v>
      </c>
      <c r="C607" s="160">
        <v>1</v>
      </c>
      <c r="D607" s="160">
        <v>1</v>
      </c>
      <c r="E607" s="162">
        <f>H605</f>
        <v>5.7</v>
      </c>
      <c r="F607" s="162" t="s">
        <v>1288</v>
      </c>
      <c r="G607" s="162">
        <v>0.04</v>
      </c>
      <c r="H607" s="162">
        <f>PRODUCT(C607:G607)</f>
        <v>0.23</v>
      </c>
      <c r="I607" s="159"/>
    </row>
    <row r="608" spans="1:9" ht="21" customHeight="1">
      <c r="A608" s="160"/>
      <c r="B608" s="161"/>
      <c r="C608" s="984" t="s">
        <v>3430</v>
      </c>
      <c r="D608" s="984"/>
      <c r="E608" s="984"/>
      <c r="F608" s="984"/>
      <c r="G608" s="159" t="s">
        <v>1827</v>
      </c>
      <c r="H608" s="159">
        <f>H607:H607</f>
        <v>0.23</v>
      </c>
      <c r="I608" s="159"/>
    </row>
    <row r="609" spans="1:9" ht="21" customHeight="1">
      <c r="A609" s="160"/>
      <c r="B609" s="161"/>
      <c r="C609" s="160"/>
      <c r="D609" s="160"/>
      <c r="E609" s="162"/>
      <c r="F609" s="162"/>
      <c r="G609" s="162"/>
      <c r="H609" s="162">
        <f>SUM(H608*100)</f>
        <v>23</v>
      </c>
      <c r="I609" s="159"/>
    </row>
    <row r="610" spans="1:9" ht="21" customHeight="1">
      <c r="A610" s="160"/>
      <c r="B610" s="161"/>
      <c r="C610" s="160"/>
      <c r="D610" s="160"/>
      <c r="E610" s="162"/>
      <c r="F610" s="162"/>
      <c r="G610" s="159" t="s">
        <v>2560</v>
      </c>
      <c r="H610" s="164">
        <f>H609/1000</f>
        <v>2.3E-2</v>
      </c>
      <c r="I610" s="159" t="s">
        <v>427</v>
      </c>
    </row>
    <row r="611" spans="1:9" ht="45.6" customHeight="1">
      <c r="A611" s="160">
        <f>A606+1</f>
        <v>47</v>
      </c>
      <c r="B611" s="161" t="str">
        <f>'[11]Building (2)'!B455</f>
        <v>Anticorrosive treatment for steel grills</v>
      </c>
      <c r="C611" s="160"/>
      <c r="D611" s="160"/>
      <c r="E611" s="162"/>
      <c r="F611" s="162"/>
      <c r="G611" s="162"/>
      <c r="H611" s="162"/>
      <c r="I611" s="159"/>
    </row>
    <row r="612" spans="1:9" ht="21" customHeight="1">
      <c r="A612" s="160"/>
      <c r="B612" s="161" t="s">
        <v>3448</v>
      </c>
      <c r="C612" s="160">
        <v>1</v>
      </c>
      <c r="D612" s="160">
        <v>1</v>
      </c>
      <c r="E612" s="165">
        <f>H610</f>
        <v>2.3E-2</v>
      </c>
      <c r="F612" s="162" t="s">
        <v>1288</v>
      </c>
      <c r="G612" s="162" t="s">
        <v>1288</v>
      </c>
      <c r="H612" s="165">
        <f>PRODUCT(C612:G612)</f>
        <v>2.3E-2</v>
      </c>
      <c r="I612" s="159"/>
    </row>
    <row r="613" spans="1:9" ht="21" customHeight="1">
      <c r="A613" s="160"/>
      <c r="B613" s="161"/>
      <c r="C613" s="170"/>
      <c r="D613" s="170"/>
      <c r="E613" s="170"/>
      <c r="F613" s="170"/>
      <c r="G613" s="159" t="s">
        <v>1827</v>
      </c>
      <c r="H613" s="164">
        <f>H612:H612</f>
        <v>2.3E-2</v>
      </c>
      <c r="I613" s="159"/>
    </row>
    <row r="614" spans="1:9" ht="21" customHeight="1">
      <c r="A614" s="160"/>
      <c r="B614" s="161"/>
      <c r="C614" s="160"/>
      <c r="D614" s="160"/>
      <c r="E614" s="162"/>
      <c r="F614" s="162"/>
      <c r="G614" s="159" t="s">
        <v>2560</v>
      </c>
      <c r="H614" s="164">
        <f>H613</f>
        <v>2.3E-2</v>
      </c>
      <c r="I614" s="159" t="s">
        <v>427</v>
      </c>
    </row>
    <row r="615" spans="1:9" ht="58.5" customHeight="1">
      <c r="A615" s="160">
        <f>A611+1</f>
        <v>48</v>
      </c>
      <c r="B615" s="161" t="str">
        <f>'[11]Building (2)'!B5</f>
        <v>Earth work excavation in all soils (including refilling)a. 0 to 2 mt.</v>
      </c>
      <c r="C615" s="160"/>
      <c r="D615" s="160"/>
      <c r="E615" s="162"/>
      <c r="F615" s="162"/>
      <c r="G615" s="162"/>
      <c r="H615" s="162"/>
      <c r="I615" s="159"/>
    </row>
    <row r="616" spans="1:9" ht="21" customHeight="1">
      <c r="A616" s="160"/>
      <c r="B616" s="161" t="s">
        <v>3313</v>
      </c>
      <c r="C616" s="160">
        <v>1</v>
      </c>
      <c r="D616" s="160">
        <v>2</v>
      </c>
      <c r="E616" s="162">
        <v>1.26</v>
      </c>
      <c r="F616" s="162">
        <v>1.26</v>
      </c>
      <c r="G616" s="162">
        <v>0.45</v>
      </c>
      <c r="H616" s="162">
        <f>PRODUCT(C616:G616)</f>
        <v>1.43</v>
      </c>
      <c r="I616" s="159"/>
    </row>
    <row r="617" spans="1:9" ht="20.25" customHeight="1">
      <c r="A617" s="160"/>
      <c r="B617" s="161"/>
      <c r="C617" s="170"/>
      <c r="D617" s="170"/>
      <c r="E617" s="171"/>
      <c r="F617" s="170"/>
      <c r="G617" s="159" t="s">
        <v>1827</v>
      </c>
      <c r="H617" s="159">
        <f>SUM(H616:H616)</f>
        <v>1.43</v>
      </c>
      <c r="I617" s="159"/>
    </row>
    <row r="618" spans="1:9" ht="21" customHeight="1">
      <c r="A618" s="160"/>
      <c r="B618" s="161"/>
      <c r="C618" s="160"/>
      <c r="D618" s="160"/>
      <c r="E618" s="162"/>
      <c r="F618" s="162"/>
      <c r="G618" s="159" t="s">
        <v>2560</v>
      </c>
      <c r="H618" s="159">
        <f>ROUNDUP(H617,1)</f>
        <v>1.5</v>
      </c>
      <c r="I618" s="159" t="s">
        <v>702</v>
      </c>
    </row>
    <row r="619" spans="1:9" ht="57" customHeight="1">
      <c r="A619" s="160">
        <f>A615+1</f>
        <v>49</v>
      </c>
      <c r="B619" s="161" t="e">
        <f>#REF!</f>
        <v>#REF!</v>
      </c>
      <c r="C619" s="160"/>
      <c r="D619" s="160"/>
      <c r="E619" s="162"/>
      <c r="F619" s="162"/>
      <c r="G619" s="162"/>
      <c r="H619" s="162"/>
      <c r="I619" s="159"/>
    </row>
    <row r="620" spans="1:9" ht="21" customHeight="1">
      <c r="A620" s="160"/>
      <c r="B620" s="161" t="e">
        <f>#REF!</f>
        <v>#REF!</v>
      </c>
      <c r="C620" s="160"/>
      <c r="D620" s="160"/>
      <c r="E620" s="162"/>
      <c r="F620" s="162"/>
      <c r="G620" s="162"/>
      <c r="H620" s="162"/>
      <c r="I620" s="159"/>
    </row>
    <row r="621" spans="1:9" ht="21" customHeight="1">
      <c r="A621" s="160"/>
      <c r="B621" s="161" t="s">
        <v>3449</v>
      </c>
      <c r="C621" s="160">
        <v>1</v>
      </c>
      <c r="D621" s="160">
        <v>1</v>
      </c>
      <c r="E621" s="162">
        <v>20</v>
      </c>
      <c r="F621" s="162">
        <v>0.55000000000000004</v>
      </c>
      <c r="G621" s="162">
        <v>0.45</v>
      </c>
      <c r="H621" s="162">
        <f>PRODUCT(C621:G621)</f>
        <v>4.95</v>
      </c>
      <c r="I621" s="159"/>
    </row>
    <row r="622" spans="1:9" ht="21" customHeight="1">
      <c r="A622" s="160"/>
      <c r="B622" s="161"/>
      <c r="C622" s="170"/>
      <c r="D622" s="170"/>
      <c r="E622" s="170"/>
      <c r="F622" s="170"/>
      <c r="G622" s="159" t="s">
        <v>1827</v>
      </c>
      <c r="H622" s="159">
        <f>SUM(H621:H621)</f>
        <v>4.95</v>
      </c>
      <c r="I622" s="159"/>
    </row>
    <row r="623" spans="1:9" ht="21" customHeight="1">
      <c r="A623" s="160"/>
      <c r="B623" s="161"/>
      <c r="C623" s="160"/>
      <c r="D623" s="160"/>
      <c r="E623" s="162"/>
      <c r="F623" s="162"/>
      <c r="G623" s="159" t="s">
        <v>2560</v>
      </c>
      <c r="H623" s="159">
        <f>ROUNDUP(H622,1)</f>
        <v>5</v>
      </c>
      <c r="I623" s="159" t="s">
        <v>702</v>
      </c>
    </row>
    <row r="624" spans="1:9" ht="37.9" customHeight="1">
      <c r="A624" s="160">
        <f>A615+1</f>
        <v>49</v>
      </c>
      <c r="B624" s="161" t="str">
        <f>'[11]Building (2)'!B45</f>
        <v>C.C.1:5:10 for Foundation &amp; Basement</v>
      </c>
      <c r="C624" s="160"/>
      <c r="D624" s="160"/>
      <c r="E624" s="162"/>
      <c r="F624" s="162"/>
      <c r="G624" s="162"/>
      <c r="H624" s="162"/>
      <c r="I624" s="159"/>
    </row>
    <row r="625" spans="1:9" ht="21" customHeight="1">
      <c r="A625" s="160"/>
      <c r="B625" s="161" t="s">
        <v>3313</v>
      </c>
      <c r="C625" s="160">
        <v>1</v>
      </c>
      <c r="D625" s="160">
        <v>2</v>
      </c>
      <c r="E625" s="162">
        <v>1.26</v>
      </c>
      <c r="F625" s="162">
        <v>1.26</v>
      </c>
      <c r="G625" s="162">
        <v>0.15</v>
      </c>
      <c r="H625" s="162">
        <f>PRODUCT(C625:G625)</f>
        <v>0.48</v>
      </c>
      <c r="I625" s="159"/>
    </row>
    <row r="626" spans="1:9" ht="21" customHeight="1">
      <c r="A626" s="160"/>
      <c r="B626" s="161" t="s">
        <v>3449</v>
      </c>
      <c r="C626" s="160">
        <v>1</v>
      </c>
      <c r="D626" s="160">
        <v>1</v>
      </c>
      <c r="E626" s="162">
        <v>20</v>
      </c>
      <c r="F626" s="162">
        <v>0.55000000000000004</v>
      </c>
      <c r="G626" s="162">
        <v>0.15</v>
      </c>
      <c r="H626" s="162">
        <f>PRODUCT(C626:G626)</f>
        <v>1.65</v>
      </c>
      <c r="I626" s="159"/>
    </row>
    <row r="627" spans="1:9" ht="21" customHeight="1">
      <c r="A627" s="160"/>
      <c r="B627" s="161"/>
      <c r="C627" s="170"/>
      <c r="D627" s="170"/>
      <c r="E627" s="171"/>
      <c r="F627" s="170"/>
      <c r="G627" s="159" t="s">
        <v>1827</v>
      </c>
      <c r="H627" s="159">
        <f>SUM(H625:H626)</f>
        <v>2.13</v>
      </c>
      <c r="I627" s="159"/>
    </row>
    <row r="628" spans="1:9" ht="21" customHeight="1">
      <c r="A628" s="160"/>
      <c r="B628" s="161"/>
      <c r="C628" s="160"/>
      <c r="D628" s="160"/>
      <c r="E628" s="162"/>
      <c r="F628" s="162"/>
      <c r="G628" s="159" t="s">
        <v>2560</v>
      </c>
      <c r="H628" s="159">
        <f>ROUNDUP(H627,1)</f>
        <v>2.2000000000000002</v>
      </c>
      <c r="I628" s="159" t="s">
        <v>702</v>
      </c>
    </row>
    <row r="629" spans="1:9" ht="37.9" customHeight="1">
      <c r="A629" s="160">
        <f>A624+1</f>
        <v>50</v>
      </c>
      <c r="B629" s="161" t="str">
        <f>'[11]Building (2)'!B47</f>
        <v>P.C.C. 1:8:16 using 20 mm broken brick jelly</v>
      </c>
      <c r="C629" s="160"/>
      <c r="D629" s="160"/>
      <c r="E629" s="162"/>
      <c r="F629" s="162"/>
      <c r="G629" s="162"/>
      <c r="H629" s="162"/>
      <c r="I629" s="159"/>
    </row>
    <row r="630" spans="1:9" ht="21" customHeight="1">
      <c r="A630" s="160"/>
      <c r="B630" s="161" t="s">
        <v>3313</v>
      </c>
      <c r="C630" s="160">
        <v>1</v>
      </c>
      <c r="D630" s="160">
        <v>2</v>
      </c>
      <c r="E630" s="162">
        <v>0.6</v>
      </c>
      <c r="F630" s="162">
        <v>0.6</v>
      </c>
      <c r="G630" s="162">
        <v>0.3</v>
      </c>
      <c r="H630" s="162">
        <f>PRODUCT(C630:G630)</f>
        <v>0.22</v>
      </c>
      <c r="I630" s="159"/>
    </row>
    <row r="631" spans="1:9" ht="21" customHeight="1">
      <c r="A631" s="160"/>
      <c r="B631" s="161" t="s">
        <v>3449</v>
      </c>
      <c r="C631" s="160">
        <v>1</v>
      </c>
      <c r="D631" s="160">
        <v>1</v>
      </c>
      <c r="E631" s="162">
        <v>20</v>
      </c>
      <c r="F631" s="162">
        <v>0.55000000000000004</v>
      </c>
      <c r="G631" s="162">
        <v>0.3</v>
      </c>
      <c r="H631" s="162">
        <f>PRODUCT(C631:G631)</f>
        <v>3.3</v>
      </c>
      <c r="I631" s="159"/>
    </row>
    <row r="632" spans="1:9" ht="21" customHeight="1">
      <c r="A632" s="160"/>
      <c r="B632" s="161"/>
      <c r="C632" s="170"/>
      <c r="D632" s="170"/>
      <c r="E632" s="170"/>
      <c r="F632" s="170"/>
      <c r="G632" s="159" t="s">
        <v>1827</v>
      </c>
      <c r="H632" s="159">
        <f>SUM(H630:H631)</f>
        <v>3.52</v>
      </c>
      <c r="I632" s="159"/>
    </row>
    <row r="633" spans="1:9" ht="21" customHeight="1">
      <c r="A633" s="160"/>
      <c r="B633" s="161"/>
      <c r="C633" s="160"/>
      <c r="D633" s="160"/>
      <c r="E633" s="162"/>
      <c r="F633" s="162"/>
      <c r="G633" s="159" t="s">
        <v>2560</v>
      </c>
      <c r="H633" s="159">
        <f>ROUNDUP(H632,1)</f>
        <v>3.6</v>
      </c>
      <c r="I633" s="159" t="s">
        <v>702</v>
      </c>
    </row>
    <row r="634" spans="1:9" ht="73.150000000000006" customHeight="1">
      <c r="A634" s="160">
        <f>A629+1</f>
        <v>51</v>
      </c>
      <c r="B634" s="161" t="str">
        <f>'[11]Building (2)'!B59</f>
        <v>Brick work in C.M. 1:5 (F&amp; B) using Kiln Burnt Country bricks of size 22 x 11 x 7 cm (8 3/4" x 4 1/4" x 2 3/4")</v>
      </c>
      <c r="C634" s="160"/>
      <c r="D634" s="160"/>
      <c r="E634" s="162"/>
      <c r="F634" s="162"/>
      <c r="G634" s="162"/>
      <c r="H634" s="162"/>
      <c r="I634" s="159"/>
    </row>
    <row r="635" spans="1:9" ht="21" customHeight="1">
      <c r="A635" s="160"/>
      <c r="B635" s="161" t="s">
        <v>3313</v>
      </c>
      <c r="C635" s="160">
        <v>1</v>
      </c>
      <c r="D635" s="160">
        <v>2</v>
      </c>
      <c r="E635" s="162">
        <v>3.32</v>
      </c>
      <c r="F635" s="162">
        <v>0.23</v>
      </c>
      <c r="G635" s="162">
        <v>0.75</v>
      </c>
      <c r="H635" s="162">
        <f>PRODUCT(C635:G635)</f>
        <v>1.1499999999999999</v>
      </c>
      <c r="I635" s="159"/>
    </row>
    <row r="636" spans="1:9" ht="21" customHeight="1">
      <c r="A636" s="160"/>
      <c r="B636" s="161" t="s">
        <v>3450</v>
      </c>
      <c r="C636" s="160">
        <v>1</v>
      </c>
      <c r="D636" s="160">
        <v>4</v>
      </c>
      <c r="E636" s="162">
        <v>3.02</v>
      </c>
      <c r="F636" s="162">
        <v>0.23</v>
      </c>
      <c r="G636" s="162">
        <v>0.3</v>
      </c>
      <c r="H636" s="162">
        <f>PRODUCT(C636:G636)</f>
        <v>0.83</v>
      </c>
      <c r="I636" s="159"/>
    </row>
    <row r="637" spans="1:9" ht="21" customHeight="1">
      <c r="A637" s="160"/>
      <c r="B637" s="161" t="s">
        <v>3449</v>
      </c>
      <c r="C637" s="160">
        <v>1</v>
      </c>
      <c r="D637" s="160">
        <v>1</v>
      </c>
      <c r="E637" s="162">
        <v>20</v>
      </c>
      <c r="F637" s="162">
        <v>0.23</v>
      </c>
      <c r="G637" s="162">
        <v>0.3</v>
      </c>
      <c r="H637" s="162">
        <f>PRODUCT(C637:G637)</f>
        <v>1.38</v>
      </c>
      <c r="I637" s="159"/>
    </row>
    <row r="638" spans="1:9" ht="21" customHeight="1">
      <c r="A638" s="160"/>
      <c r="B638" s="161"/>
      <c r="C638" s="170"/>
      <c r="D638" s="170"/>
      <c r="E638" s="170"/>
      <c r="F638" s="170"/>
      <c r="G638" s="159" t="s">
        <v>1827</v>
      </c>
      <c r="H638" s="159">
        <f>SUM(H635:H637)</f>
        <v>3.36</v>
      </c>
      <c r="I638" s="159"/>
    </row>
    <row r="639" spans="1:9" ht="21" customHeight="1">
      <c r="A639" s="160"/>
      <c r="B639" s="161"/>
      <c r="C639" s="160"/>
      <c r="D639" s="160"/>
      <c r="E639" s="162"/>
      <c r="F639" s="162"/>
      <c r="G639" s="159" t="s">
        <v>2560</v>
      </c>
      <c r="H639" s="159">
        <f>ROUNDUP(H638,1)</f>
        <v>3.4</v>
      </c>
      <c r="I639" s="159" t="s">
        <v>702</v>
      </c>
    </row>
    <row r="640" spans="1:9" ht="73.150000000000006" customHeight="1">
      <c r="A640" s="160">
        <f>A634+1</f>
        <v>52</v>
      </c>
      <c r="B640" s="161" t="e">
        <f>#REF!</f>
        <v>#REF!</v>
      </c>
      <c r="C640" s="160"/>
      <c r="D640" s="160"/>
      <c r="E640" s="162"/>
      <c r="F640" s="162"/>
      <c r="G640" s="162"/>
      <c r="H640" s="162"/>
      <c r="I640" s="159"/>
    </row>
    <row r="641" spans="1:9" ht="21" customHeight="1">
      <c r="A641" s="160"/>
      <c r="B641" s="161" t="e">
        <f>#REF!</f>
        <v>#REF!</v>
      </c>
      <c r="C641" s="160"/>
      <c r="D641" s="160"/>
      <c r="E641" s="162"/>
      <c r="F641" s="162"/>
      <c r="G641" s="162"/>
      <c r="H641" s="162"/>
      <c r="I641" s="159"/>
    </row>
    <row r="642" spans="1:9" ht="21" customHeight="1">
      <c r="A642" s="160"/>
      <c r="B642" s="163" t="s">
        <v>3451</v>
      </c>
      <c r="C642" s="160"/>
      <c r="D642" s="160"/>
      <c r="E642" s="162"/>
      <c r="F642" s="162"/>
      <c r="G642" s="162"/>
      <c r="H642" s="162"/>
      <c r="I642" s="159"/>
    </row>
    <row r="643" spans="1:9" ht="21" customHeight="1">
      <c r="A643" s="160"/>
      <c r="B643" s="161" t="s">
        <v>3319</v>
      </c>
      <c r="C643" s="160">
        <v>1</v>
      </c>
      <c r="D643" s="160">
        <v>1</v>
      </c>
      <c r="E643" s="162">
        <v>13.02</v>
      </c>
      <c r="F643" s="162" t="s">
        <v>1288</v>
      </c>
      <c r="G643" s="162">
        <v>0.3</v>
      </c>
      <c r="H643" s="162">
        <f t="shared" ref="H643:H645" si="32">PRODUCT(C643:G643)</f>
        <v>3.91</v>
      </c>
      <c r="I643" s="159"/>
    </row>
    <row r="644" spans="1:9" ht="21" customHeight="1">
      <c r="A644" s="160"/>
      <c r="B644" s="161" t="s">
        <v>3452</v>
      </c>
      <c r="C644" s="160">
        <v>1</v>
      </c>
      <c r="D644" s="160">
        <v>2</v>
      </c>
      <c r="E644" s="162">
        <v>10.73</v>
      </c>
      <c r="F644" s="162" t="s">
        <v>1288</v>
      </c>
      <c r="G644" s="162">
        <v>0.3</v>
      </c>
      <c r="H644" s="162">
        <f t="shared" si="32"/>
        <v>6.44</v>
      </c>
      <c r="I644" s="159"/>
    </row>
    <row r="645" spans="1:9" ht="21" customHeight="1">
      <c r="A645" s="160"/>
      <c r="B645" s="161" t="s">
        <v>3453</v>
      </c>
      <c r="C645" s="160">
        <v>1</v>
      </c>
      <c r="D645" s="160">
        <v>1</v>
      </c>
      <c r="E645" s="162">
        <v>7.86</v>
      </c>
      <c r="F645" s="162" t="s">
        <v>1288</v>
      </c>
      <c r="G645" s="162">
        <v>0.3</v>
      </c>
      <c r="H645" s="162">
        <f t="shared" si="32"/>
        <v>2.36</v>
      </c>
      <c r="I645" s="159"/>
    </row>
    <row r="646" spans="1:9" ht="21" customHeight="1">
      <c r="A646" s="160"/>
      <c r="B646" s="161" t="s">
        <v>3449</v>
      </c>
      <c r="C646" s="160">
        <v>1</v>
      </c>
      <c r="D646" s="160">
        <v>1</v>
      </c>
      <c r="E646" s="162">
        <v>20</v>
      </c>
      <c r="F646" s="162" t="s">
        <v>1288</v>
      </c>
      <c r="G646" s="162">
        <v>0.3</v>
      </c>
      <c r="H646" s="162">
        <f>PRODUCT(C646:G646)</f>
        <v>6</v>
      </c>
      <c r="I646" s="159"/>
    </row>
    <row r="647" spans="1:9" ht="21" customHeight="1">
      <c r="A647" s="160"/>
      <c r="B647" s="163" t="s">
        <v>3305</v>
      </c>
      <c r="C647" s="160"/>
      <c r="D647" s="160"/>
      <c r="E647" s="162"/>
      <c r="F647" s="162"/>
      <c r="G647" s="162"/>
      <c r="H647" s="162"/>
      <c r="I647" s="159"/>
    </row>
    <row r="648" spans="1:9" ht="21" customHeight="1">
      <c r="A648" s="160"/>
      <c r="B648" s="161" t="s">
        <v>3450</v>
      </c>
      <c r="C648" s="160">
        <v>-1</v>
      </c>
      <c r="D648" s="160">
        <v>4</v>
      </c>
      <c r="E648" s="162">
        <v>1.06</v>
      </c>
      <c r="F648" s="162" t="s">
        <v>1288</v>
      </c>
      <c r="G648" s="162">
        <v>0.3</v>
      </c>
      <c r="H648" s="162">
        <f>PRODUCT(C648:G648)</f>
        <v>-1.27</v>
      </c>
      <c r="I648" s="159"/>
    </row>
    <row r="649" spans="1:9" ht="21" customHeight="1">
      <c r="A649" s="160"/>
      <c r="B649" s="161"/>
      <c r="C649" s="170"/>
      <c r="D649" s="170"/>
      <c r="E649" s="170"/>
      <c r="F649" s="170"/>
      <c r="G649" s="159" t="s">
        <v>1827</v>
      </c>
      <c r="H649" s="159">
        <f>SUM(H643:H648)</f>
        <v>17.440000000000001</v>
      </c>
      <c r="I649" s="159"/>
    </row>
    <row r="650" spans="1:9" ht="21" customHeight="1">
      <c r="A650" s="160"/>
      <c r="B650" s="161"/>
      <c r="C650" s="160"/>
      <c r="D650" s="160"/>
      <c r="E650" s="162"/>
      <c r="F650" s="162"/>
      <c r="G650" s="159" t="s">
        <v>2560</v>
      </c>
      <c r="H650" s="159">
        <f>ROUNDUP(H649,1)</f>
        <v>17.5</v>
      </c>
      <c r="I650" s="159" t="s">
        <v>488</v>
      </c>
    </row>
    <row r="651" spans="1:9" ht="36.6" customHeight="1">
      <c r="A651" s="160">
        <f>A640+1</f>
        <v>53</v>
      </c>
      <c r="B651" s="161" t="str">
        <f>'[11]Building (2)'!B330</f>
        <v>Floor plastering in C.M. 1:4, 20 mm tk.</v>
      </c>
      <c r="C651" s="160"/>
      <c r="D651" s="160"/>
      <c r="E651" s="162"/>
      <c r="F651" s="162"/>
      <c r="G651" s="162"/>
      <c r="H651" s="162"/>
      <c r="I651" s="159"/>
    </row>
    <row r="652" spans="1:9" ht="21" customHeight="1">
      <c r="A652" s="160"/>
      <c r="B652" s="161" t="s">
        <v>3313</v>
      </c>
      <c r="C652" s="160">
        <v>1</v>
      </c>
      <c r="D652" s="160">
        <v>2</v>
      </c>
      <c r="E652" s="162">
        <v>0.6</v>
      </c>
      <c r="F652" s="162">
        <v>0.6</v>
      </c>
      <c r="G652" s="162" t="s">
        <v>1288</v>
      </c>
      <c r="H652" s="162">
        <f>PRODUCT(C652:G652)</f>
        <v>0.72</v>
      </c>
      <c r="I652" s="159"/>
    </row>
    <row r="653" spans="1:9" ht="21" customHeight="1">
      <c r="A653" s="160"/>
      <c r="B653" s="161" t="s">
        <v>3315</v>
      </c>
      <c r="C653" s="160">
        <v>1</v>
      </c>
      <c r="D653" s="160">
        <v>1</v>
      </c>
      <c r="E653" s="162">
        <v>2.16</v>
      </c>
      <c r="F653" s="162">
        <v>1.89</v>
      </c>
      <c r="G653" s="162" t="s">
        <v>1288</v>
      </c>
      <c r="H653" s="162">
        <f t="shared" ref="H653:H656" si="33">PRODUCT(C653:G653)</f>
        <v>4.08</v>
      </c>
      <c r="I653" s="159"/>
    </row>
    <row r="654" spans="1:9" ht="21" customHeight="1">
      <c r="A654" s="160"/>
      <c r="B654" s="161" t="s">
        <v>3365</v>
      </c>
      <c r="C654" s="160">
        <v>1</v>
      </c>
      <c r="D654" s="160">
        <v>1</v>
      </c>
      <c r="E654" s="162">
        <v>1.2</v>
      </c>
      <c r="F654" s="162">
        <v>1.2</v>
      </c>
      <c r="G654" s="162" t="s">
        <v>1288</v>
      </c>
      <c r="H654" s="162">
        <f t="shared" si="33"/>
        <v>1.44</v>
      </c>
      <c r="I654" s="159"/>
    </row>
    <row r="655" spans="1:9" ht="21" customHeight="1">
      <c r="A655" s="160"/>
      <c r="B655" s="161" t="s">
        <v>3366</v>
      </c>
      <c r="C655" s="160">
        <v>1</v>
      </c>
      <c r="D655" s="160">
        <v>2</v>
      </c>
      <c r="E655" s="162">
        <v>2.4</v>
      </c>
      <c r="F655" s="162">
        <v>1.2</v>
      </c>
      <c r="G655" s="162" t="s">
        <v>1288</v>
      </c>
      <c r="H655" s="162">
        <f t="shared" si="33"/>
        <v>5.76</v>
      </c>
      <c r="I655" s="159"/>
    </row>
    <row r="656" spans="1:9" ht="21" customHeight="1">
      <c r="A656" s="160"/>
      <c r="B656" s="161" t="s">
        <v>3367</v>
      </c>
      <c r="C656" s="160">
        <v>1</v>
      </c>
      <c r="D656" s="160">
        <v>21</v>
      </c>
      <c r="E656" s="162">
        <v>1.2</v>
      </c>
      <c r="F656" s="162">
        <v>0.3</v>
      </c>
      <c r="G656" s="162" t="s">
        <v>1288</v>
      </c>
      <c r="H656" s="162">
        <f t="shared" si="33"/>
        <v>7.56</v>
      </c>
      <c r="I656" s="159"/>
    </row>
    <row r="657" spans="1:9" ht="21" customHeight="1">
      <c r="A657" s="160"/>
      <c r="B657" s="161" t="s">
        <v>3449</v>
      </c>
      <c r="C657" s="160">
        <v>1</v>
      </c>
      <c r="D657" s="160">
        <v>1</v>
      </c>
      <c r="E657" s="162">
        <v>20</v>
      </c>
      <c r="F657" s="162">
        <v>0.23</v>
      </c>
      <c r="G657" s="162" t="s">
        <v>1288</v>
      </c>
      <c r="H657" s="162">
        <f>PRODUCT(C657:G657)</f>
        <v>4.5999999999999996</v>
      </c>
      <c r="I657" s="159"/>
    </row>
    <row r="658" spans="1:9" ht="21" customHeight="1">
      <c r="A658" s="160"/>
      <c r="B658" s="161"/>
      <c r="C658" s="170"/>
      <c r="D658" s="170"/>
      <c r="E658" s="170"/>
      <c r="F658" s="170"/>
      <c r="G658" s="159" t="s">
        <v>1827</v>
      </c>
      <c r="H658" s="159">
        <f>SUM(H652:H657)</f>
        <v>24.16</v>
      </c>
      <c r="I658" s="159"/>
    </row>
    <row r="659" spans="1:9" ht="21" customHeight="1">
      <c r="A659" s="160"/>
      <c r="B659" s="161"/>
      <c r="C659" s="160"/>
      <c r="D659" s="160"/>
      <c r="E659" s="162"/>
      <c r="F659" s="162"/>
      <c r="G659" s="159" t="s">
        <v>2560</v>
      </c>
      <c r="H659" s="159">
        <f>ROUNDUP(H658,1)</f>
        <v>24.2</v>
      </c>
      <c r="I659" s="159" t="s">
        <v>488</v>
      </c>
    </row>
    <row r="660" spans="1:9" ht="21" customHeight="1">
      <c r="A660" s="160">
        <f>A651+1</f>
        <v>54</v>
      </c>
      <c r="B660" s="161" t="str">
        <f>'[11]Building (2)'!B342</f>
        <v>Plastering in C.M. 1:4, 12 mm tk.</v>
      </c>
      <c r="C660" s="160"/>
      <c r="D660" s="160"/>
      <c r="E660" s="162"/>
      <c r="F660" s="162"/>
      <c r="G660" s="162"/>
      <c r="H660" s="162"/>
      <c r="I660" s="159"/>
    </row>
    <row r="661" spans="1:9" ht="21" customHeight="1">
      <c r="A661" s="160"/>
      <c r="B661" s="161" t="s">
        <v>3313</v>
      </c>
      <c r="C661" s="160">
        <v>1</v>
      </c>
      <c r="D661" s="160">
        <v>2</v>
      </c>
      <c r="E661" s="162">
        <v>2.4</v>
      </c>
      <c r="F661" s="162" t="s">
        <v>1288</v>
      </c>
      <c r="G661" s="162">
        <v>0.45</v>
      </c>
      <c r="H661" s="162">
        <f>PRODUCT(C661:G661)</f>
        <v>2.16</v>
      </c>
      <c r="I661" s="159"/>
    </row>
    <row r="662" spans="1:9" ht="21" customHeight="1">
      <c r="A662" s="160"/>
      <c r="B662" s="161" t="s">
        <v>3450</v>
      </c>
      <c r="C662" s="160">
        <v>1</v>
      </c>
      <c r="D662" s="160">
        <v>4</v>
      </c>
      <c r="E662" s="162">
        <v>2.1</v>
      </c>
      <c r="F662" s="162" t="s">
        <v>1288</v>
      </c>
      <c r="G662" s="162">
        <v>0.3</v>
      </c>
      <c r="H662" s="162">
        <f>PRODUCT(C662:G662)</f>
        <v>2.52</v>
      </c>
      <c r="I662" s="159"/>
    </row>
    <row r="663" spans="1:9" ht="21" customHeight="1">
      <c r="A663" s="160"/>
      <c r="B663" s="161" t="s">
        <v>3449</v>
      </c>
      <c r="C663" s="160">
        <v>1</v>
      </c>
      <c r="D663" s="160">
        <v>2</v>
      </c>
      <c r="E663" s="162">
        <v>20</v>
      </c>
      <c r="F663" s="162" t="s">
        <v>1288</v>
      </c>
      <c r="G663" s="162">
        <v>0.3</v>
      </c>
      <c r="H663" s="162">
        <f>PRODUCT(C663:G663)</f>
        <v>12</v>
      </c>
      <c r="I663" s="159"/>
    </row>
    <row r="664" spans="1:9" ht="21" customHeight="1">
      <c r="A664" s="160"/>
      <c r="B664" s="161"/>
      <c r="C664" s="170"/>
      <c r="D664" s="170"/>
      <c r="E664" s="170"/>
      <c r="F664" s="170"/>
      <c r="G664" s="159" t="s">
        <v>1827</v>
      </c>
      <c r="H664" s="159">
        <f>SUM(H661:H663)</f>
        <v>16.68</v>
      </c>
      <c r="I664" s="159"/>
    </row>
    <row r="665" spans="1:9" ht="21" customHeight="1">
      <c r="A665" s="160"/>
      <c r="B665" s="161"/>
      <c r="C665" s="160"/>
      <c r="D665" s="160"/>
      <c r="E665" s="162"/>
      <c r="F665" s="162"/>
      <c r="G665" s="159" t="s">
        <v>2560</v>
      </c>
      <c r="H665" s="159">
        <f>ROUNDUP(H664,1)</f>
        <v>16.7</v>
      </c>
      <c r="I665" s="159" t="s">
        <v>488</v>
      </c>
    </row>
    <row r="666" spans="1:9" ht="93" customHeight="1">
      <c r="A666" s="160">
        <f>A660+1</f>
        <v>55</v>
      </c>
      <c r="B666" s="161" t="str">
        <f>'[11]Building (2)'!B838</f>
        <v>UPVC Non Pressure  pipe of SN8 SDR 34 ( S 16.5) as per IS 15328/2003a. 110 mm UPVC Non Pressure  pipe</v>
      </c>
      <c r="C666" s="160"/>
      <c r="D666" s="160"/>
      <c r="E666" s="162"/>
      <c r="F666" s="162"/>
      <c r="G666" s="162"/>
      <c r="H666" s="162"/>
      <c r="I666" s="159"/>
    </row>
    <row r="667" spans="1:9" ht="21" customHeight="1">
      <c r="A667" s="160"/>
      <c r="B667" s="161" t="s">
        <v>3431</v>
      </c>
      <c r="C667" s="160">
        <v>1</v>
      </c>
      <c r="D667" s="160">
        <v>1</v>
      </c>
      <c r="E667" s="162">
        <v>20</v>
      </c>
      <c r="F667" s="162" t="s">
        <v>1288</v>
      </c>
      <c r="G667" s="162" t="s">
        <v>1288</v>
      </c>
      <c r="H667" s="162">
        <f>PRODUCT(C667:G667)</f>
        <v>20</v>
      </c>
      <c r="I667" s="159"/>
    </row>
    <row r="668" spans="1:9" ht="21" customHeight="1">
      <c r="A668" s="160"/>
      <c r="B668" s="161"/>
      <c r="C668" s="170"/>
      <c r="D668" s="170"/>
      <c r="E668" s="170"/>
      <c r="F668" s="170"/>
      <c r="G668" s="159" t="s">
        <v>1827</v>
      </c>
      <c r="H668" s="159">
        <f>SUM(H667:H667)</f>
        <v>20</v>
      </c>
      <c r="I668" s="159"/>
    </row>
    <row r="669" spans="1:9" ht="21" customHeight="1">
      <c r="A669" s="160"/>
      <c r="B669" s="161"/>
      <c r="C669" s="160"/>
      <c r="D669" s="160"/>
      <c r="E669" s="162"/>
      <c r="F669" s="162"/>
      <c r="G669" s="159" t="s">
        <v>2560</v>
      </c>
      <c r="H669" s="159">
        <f>ROUNDUP(H668,1)</f>
        <v>20</v>
      </c>
      <c r="I669" s="159" t="s">
        <v>1443</v>
      </c>
    </row>
    <row r="670" spans="1:9" ht="21" customHeight="1">
      <c r="A670" s="160">
        <f>A666+1</f>
        <v>56</v>
      </c>
      <c r="B670" s="161" t="e">
        <f>#REF!</f>
        <v>#REF!</v>
      </c>
      <c r="C670" s="160"/>
      <c r="D670" s="160"/>
      <c r="E670" s="162"/>
      <c r="F670" s="162"/>
      <c r="G670" s="162"/>
      <c r="H670" s="162"/>
      <c r="I670" s="159"/>
    </row>
    <row r="671" spans="1:9" ht="21" customHeight="1">
      <c r="A671" s="160"/>
      <c r="B671" s="161" t="s">
        <v>3319</v>
      </c>
      <c r="C671" s="160">
        <v>1</v>
      </c>
      <c r="D671" s="160">
        <v>1</v>
      </c>
      <c r="E671" s="162">
        <v>13.02</v>
      </c>
      <c r="F671" s="162">
        <v>0.79</v>
      </c>
      <c r="G671" s="162">
        <v>0.08</v>
      </c>
      <c r="H671" s="162">
        <f t="shared" ref="H671:H673" si="34">PRODUCT(C671:G671)</f>
        <v>0.82</v>
      </c>
      <c r="I671" s="159"/>
    </row>
    <row r="672" spans="1:9" ht="21" customHeight="1">
      <c r="A672" s="160"/>
      <c r="B672" s="161" t="s">
        <v>3452</v>
      </c>
      <c r="C672" s="160">
        <v>1</v>
      </c>
      <c r="D672" s="160">
        <v>2</v>
      </c>
      <c r="E672" s="162">
        <v>10.73</v>
      </c>
      <c r="F672" s="162">
        <v>0.49</v>
      </c>
      <c r="G672" s="162">
        <v>0.08</v>
      </c>
      <c r="H672" s="162">
        <f t="shared" si="34"/>
        <v>0.84</v>
      </c>
      <c r="I672" s="159"/>
    </row>
    <row r="673" spans="1:9" ht="21" customHeight="1">
      <c r="A673" s="160"/>
      <c r="B673" s="161" t="s">
        <v>3453</v>
      </c>
      <c r="C673" s="160">
        <v>1</v>
      </c>
      <c r="D673" s="160">
        <v>1</v>
      </c>
      <c r="E673" s="162">
        <v>7.86</v>
      </c>
      <c r="F673" s="162">
        <v>0.49</v>
      </c>
      <c r="G673" s="162">
        <v>0.08</v>
      </c>
      <c r="H673" s="162">
        <f t="shared" si="34"/>
        <v>0.31</v>
      </c>
      <c r="I673" s="159"/>
    </row>
    <row r="674" spans="1:9" ht="21" customHeight="1">
      <c r="A674" s="160"/>
      <c r="B674" s="163" t="s">
        <v>3305</v>
      </c>
      <c r="C674" s="160"/>
      <c r="D674" s="160"/>
      <c r="E674" s="162"/>
      <c r="F674" s="162"/>
      <c r="G674" s="162"/>
      <c r="H674" s="162"/>
      <c r="I674" s="159"/>
    </row>
    <row r="675" spans="1:9" ht="21" customHeight="1">
      <c r="A675" s="160"/>
      <c r="B675" s="161" t="s">
        <v>3450</v>
      </c>
      <c r="C675" s="160">
        <v>-1</v>
      </c>
      <c r="D675" s="160">
        <v>4</v>
      </c>
      <c r="E675" s="162">
        <v>1.06</v>
      </c>
      <c r="F675" s="162">
        <v>0.79</v>
      </c>
      <c r="G675" s="162">
        <v>0.08</v>
      </c>
      <c r="H675" s="162">
        <f>PRODUCT(C675:G675)</f>
        <v>-0.27</v>
      </c>
      <c r="I675" s="159"/>
    </row>
    <row r="676" spans="1:9" ht="21" customHeight="1">
      <c r="A676" s="160"/>
      <c r="B676" s="161"/>
      <c r="C676" s="170"/>
      <c r="D676" s="170"/>
      <c r="E676" s="170"/>
      <c r="F676" s="170"/>
      <c r="G676" s="159" t="s">
        <v>1827</v>
      </c>
      <c r="H676" s="159">
        <f>SUM(H671:H675)</f>
        <v>1.7</v>
      </c>
      <c r="I676" s="159"/>
    </row>
    <row r="677" spans="1:9" ht="21" customHeight="1">
      <c r="A677" s="160"/>
      <c r="B677" s="161"/>
      <c r="C677" s="160"/>
      <c r="D677" s="160"/>
      <c r="E677" s="162"/>
      <c r="F677" s="162"/>
      <c r="G677" s="159" t="s">
        <v>2560</v>
      </c>
      <c r="H677" s="159">
        <f>ROUNDUP(H676,1)</f>
        <v>1.7</v>
      </c>
      <c r="I677" s="159" t="s">
        <v>702</v>
      </c>
    </row>
    <row r="678" spans="1:9" ht="21" customHeight="1">
      <c r="A678" s="160">
        <f>A670+1</f>
        <v>57</v>
      </c>
      <c r="B678" s="161" t="e">
        <f>#REF!</f>
        <v>#REF!</v>
      </c>
      <c r="C678" s="160"/>
      <c r="D678" s="160"/>
      <c r="E678" s="162"/>
      <c r="F678" s="162"/>
      <c r="G678" s="162"/>
      <c r="H678" s="162"/>
      <c r="I678" s="159"/>
    </row>
    <row r="679" spans="1:9" ht="21" customHeight="1">
      <c r="A679" s="160"/>
      <c r="B679" s="161" t="s">
        <v>3319</v>
      </c>
      <c r="C679" s="160">
        <v>1</v>
      </c>
      <c r="D679" s="160">
        <v>1</v>
      </c>
      <c r="E679" s="162">
        <v>13.02</v>
      </c>
      <c r="F679" s="162">
        <v>0.79</v>
      </c>
      <c r="G679" s="162">
        <v>0.23</v>
      </c>
      <c r="H679" s="162">
        <f t="shared" ref="H679:H681" si="35">PRODUCT(C679:G679)</f>
        <v>2.37</v>
      </c>
      <c r="I679" s="159"/>
    </row>
    <row r="680" spans="1:9" ht="21" customHeight="1">
      <c r="A680" s="160"/>
      <c r="B680" s="161" t="s">
        <v>3452</v>
      </c>
      <c r="C680" s="160">
        <v>1</v>
      </c>
      <c r="D680" s="160">
        <v>2</v>
      </c>
      <c r="E680" s="162">
        <v>10.73</v>
      </c>
      <c r="F680" s="162">
        <v>0.49</v>
      </c>
      <c r="G680" s="162">
        <v>0.23</v>
      </c>
      <c r="H680" s="162">
        <f t="shared" si="35"/>
        <v>2.42</v>
      </c>
      <c r="I680" s="159"/>
    </row>
    <row r="681" spans="1:9" ht="21" customHeight="1">
      <c r="A681" s="160"/>
      <c r="B681" s="161" t="s">
        <v>3453</v>
      </c>
      <c r="C681" s="160">
        <v>1</v>
      </c>
      <c r="D681" s="160">
        <v>1</v>
      </c>
      <c r="E681" s="162">
        <v>7.86</v>
      </c>
      <c r="F681" s="162">
        <v>0.49</v>
      </c>
      <c r="G681" s="162">
        <v>0.23</v>
      </c>
      <c r="H681" s="162">
        <f t="shared" si="35"/>
        <v>0.89</v>
      </c>
      <c r="I681" s="159"/>
    </row>
    <row r="682" spans="1:9" ht="21" customHeight="1">
      <c r="A682" s="160"/>
      <c r="B682" s="163" t="s">
        <v>3305</v>
      </c>
      <c r="C682" s="160"/>
      <c r="D682" s="160"/>
      <c r="E682" s="162"/>
      <c r="F682" s="162"/>
      <c r="G682" s="162"/>
      <c r="H682" s="162"/>
      <c r="I682" s="159"/>
    </row>
    <row r="683" spans="1:9" ht="21" customHeight="1">
      <c r="A683" s="160"/>
      <c r="B683" s="161" t="s">
        <v>3450</v>
      </c>
      <c r="C683" s="160">
        <v>-1</v>
      </c>
      <c r="D683" s="160">
        <v>4</v>
      </c>
      <c r="E683" s="162">
        <v>1.06</v>
      </c>
      <c r="F683" s="162">
        <v>0.79</v>
      </c>
      <c r="G683" s="162">
        <v>0.23</v>
      </c>
      <c r="H683" s="162">
        <f>PRODUCT(C683:G683)</f>
        <v>-0.77</v>
      </c>
      <c r="I683" s="159"/>
    </row>
    <row r="684" spans="1:9" ht="21" customHeight="1">
      <c r="A684" s="160"/>
      <c r="B684" s="161"/>
      <c r="C684" s="170"/>
      <c r="D684" s="170"/>
      <c r="E684" s="170"/>
      <c r="F684" s="170"/>
      <c r="G684" s="159" t="s">
        <v>1827</v>
      </c>
      <c r="H684" s="159">
        <f>SUM(H679:H683)</f>
        <v>4.91</v>
      </c>
      <c r="I684" s="159"/>
    </row>
    <row r="685" spans="1:9" ht="21" customHeight="1">
      <c r="A685" s="160"/>
      <c r="B685" s="161"/>
      <c r="C685" s="160"/>
      <c r="D685" s="160"/>
      <c r="E685" s="162"/>
      <c r="F685" s="162"/>
      <c r="G685" s="159" t="s">
        <v>2560</v>
      </c>
      <c r="H685" s="159">
        <f>ROUNDUP(H684,1)</f>
        <v>5</v>
      </c>
      <c r="I685" s="159" t="s">
        <v>702</v>
      </c>
    </row>
    <row r="686" spans="1:9" ht="38.25" customHeight="1">
      <c r="A686" s="160">
        <f>A678+1</f>
        <v>58</v>
      </c>
      <c r="B686" s="161" t="e">
        <f>#REF!</f>
        <v>#REF!</v>
      </c>
      <c r="C686" s="160"/>
      <c r="D686" s="160"/>
      <c r="E686" s="162"/>
      <c r="F686" s="162"/>
      <c r="G686" s="162"/>
      <c r="H686" s="162"/>
      <c r="I686" s="159"/>
    </row>
    <row r="687" spans="1:9" ht="21" customHeight="1">
      <c r="A687" s="160"/>
      <c r="B687" s="161" t="s">
        <v>3443</v>
      </c>
      <c r="C687" s="160">
        <v>1</v>
      </c>
      <c r="D687" s="160">
        <v>1</v>
      </c>
      <c r="E687" s="162">
        <v>10.73</v>
      </c>
      <c r="F687" s="162">
        <v>0.6</v>
      </c>
      <c r="G687" s="162" t="s">
        <v>1288</v>
      </c>
      <c r="H687" s="162">
        <f t="shared" ref="H687" si="36">PRODUCT(C687:G687)</f>
        <v>6.44</v>
      </c>
      <c r="I687" s="159"/>
    </row>
    <row r="688" spans="1:9" ht="21" customHeight="1">
      <c r="A688" s="160"/>
      <c r="B688" s="161"/>
      <c r="C688" s="170"/>
      <c r="D688" s="170"/>
      <c r="E688" s="170"/>
      <c r="F688" s="170"/>
      <c r="G688" s="159" t="s">
        <v>1827</v>
      </c>
      <c r="H688" s="159">
        <f>SUM(H687:H687)</f>
        <v>6.44</v>
      </c>
      <c r="I688" s="159"/>
    </row>
    <row r="689" spans="1:9" ht="21" customHeight="1">
      <c r="A689" s="160"/>
      <c r="B689" s="161"/>
      <c r="C689" s="160"/>
      <c r="D689" s="160"/>
      <c r="E689" s="162"/>
      <c r="F689" s="162"/>
      <c r="G689" s="159" t="s">
        <v>2560</v>
      </c>
      <c r="H689" s="159">
        <f>ROUNDUP(H688,1)</f>
        <v>6.5</v>
      </c>
      <c r="I689" s="159" t="s">
        <v>488</v>
      </c>
    </row>
    <row r="690" spans="1:9" ht="58.5" customHeight="1">
      <c r="A690" s="160">
        <f>A686+1</f>
        <v>59</v>
      </c>
      <c r="B690" s="161" t="s">
        <v>3454</v>
      </c>
      <c r="C690" s="160"/>
      <c r="D690" s="160"/>
      <c r="E690" s="162"/>
      <c r="F690" s="162"/>
      <c r="G690" s="162"/>
      <c r="H690" s="162"/>
      <c r="I690" s="159"/>
    </row>
    <row r="691" spans="1:9" ht="21" customHeight="1">
      <c r="A691" s="160"/>
      <c r="B691" s="161" t="s">
        <v>3320</v>
      </c>
      <c r="C691" s="160">
        <v>1</v>
      </c>
      <c r="D691" s="160">
        <v>1</v>
      </c>
      <c r="E691" s="162">
        <v>1.35</v>
      </c>
      <c r="F691" s="162" t="s">
        <v>1288</v>
      </c>
      <c r="G691" s="162">
        <v>1.35</v>
      </c>
      <c r="H691" s="162">
        <f t="shared" ref="H691:H692" si="37">PRODUCT(C691:G691)</f>
        <v>1.82</v>
      </c>
      <c r="I691" s="159"/>
    </row>
    <row r="692" spans="1:9" ht="21" customHeight="1">
      <c r="A692" s="160"/>
      <c r="B692" s="161" t="s">
        <v>3322</v>
      </c>
      <c r="C692" s="160">
        <v>1</v>
      </c>
      <c r="D692" s="160">
        <v>2</v>
      </c>
      <c r="E692" s="162">
        <v>0.9</v>
      </c>
      <c r="F692" s="162" t="s">
        <v>1288</v>
      </c>
      <c r="G692" s="162">
        <v>0.6</v>
      </c>
      <c r="H692" s="162">
        <f t="shared" si="37"/>
        <v>1.08</v>
      </c>
      <c r="I692" s="159"/>
    </row>
    <row r="693" spans="1:9" ht="21" customHeight="1">
      <c r="A693" s="160"/>
      <c r="B693" s="161" t="s">
        <v>3321</v>
      </c>
      <c r="C693" s="160">
        <v>1</v>
      </c>
      <c r="D693" s="160">
        <v>1</v>
      </c>
      <c r="E693" s="162">
        <v>1.35</v>
      </c>
      <c r="F693" s="162" t="s">
        <v>1288</v>
      </c>
      <c r="G693" s="162">
        <v>0.6</v>
      </c>
      <c r="H693" s="162">
        <f>PRODUCT(C693:G693)</f>
        <v>0.81</v>
      </c>
      <c r="I693" s="159"/>
    </row>
    <row r="694" spans="1:9" ht="21" customHeight="1">
      <c r="A694" s="160"/>
      <c r="B694" s="161" t="s">
        <v>3321</v>
      </c>
      <c r="C694" s="160">
        <v>1</v>
      </c>
      <c r="D694" s="160">
        <v>1</v>
      </c>
      <c r="E694" s="162">
        <v>0.9</v>
      </c>
      <c r="F694" s="162" t="s">
        <v>1288</v>
      </c>
      <c r="G694" s="162">
        <v>0.6</v>
      </c>
      <c r="H694" s="162">
        <f>PRODUCT(C694:G694)</f>
        <v>0.54</v>
      </c>
      <c r="I694" s="159"/>
    </row>
    <row r="695" spans="1:9" ht="21" customHeight="1">
      <c r="A695" s="160"/>
      <c r="B695" s="161" t="s">
        <v>3398</v>
      </c>
      <c r="C695" s="160">
        <v>1</v>
      </c>
      <c r="D695" s="160">
        <v>1</v>
      </c>
      <c r="E695" s="162">
        <v>0.6</v>
      </c>
      <c r="F695" s="162" t="s">
        <v>1288</v>
      </c>
      <c r="G695" s="162">
        <v>0.6</v>
      </c>
      <c r="H695" s="162">
        <f>PRODUCT(C695:G695)</f>
        <v>0.36</v>
      </c>
      <c r="I695" s="159"/>
    </row>
    <row r="696" spans="1:9" ht="21" customHeight="1">
      <c r="A696" s="160"/>
      <c r="B696" s="161"/>
      <c r="C696" s="170"/>
      <c r="D696" s="170"/>
      <c r="E696" s="170"/>
      <c r="F696" s="170"/>
      <c r="G696" s="159" t="s">
        <v>1827</v>
      </c>
      <c r="H696" s="159">
        <f>SUM(H691:H695)</f>
        <v>4.6100000000000003</v>
      </c>
      <c r="I696" s="159"/>
    </row>
    <row r="697" spans="1:9" ht="21" customHeight="1">
      <c r="A697" s="160"/>
      <c r="B697" s="161"/>
      <c r="C697" s="160"/>
      <c r="D697" s="160"/>
      <c r="E697" s="162"/>
      <c r="F697" s="162"/>
      <c r="G697" s="159" t="s">
        <v>2560</v>
      </c>
      <c r="H697" s="159">
        <f>ROUNDUP(H696,1)</f>
        <v>4.7</v>
      </c>
      <c r="I697" s="159" t="s">
        <v>488</v>
      </c>
    </row>
    <row r="698" spans="1:9" ht="75.75" customHeight="1">
      <c r="A698" s="160">
        <f>A690+1</f>
        <v>60</v>
      </c>
      <c r="B698" s="161" t="s">
        <v>3457</v>
      </c>
      <c r="C698" s="160"/>
      <c r="D698" s="160"/>
      <c r="E698" s="162"/>
      <c r="F698" s="162"/>
      <c r="G698" s="162"/>
      <c r="H698" s="162"/>
      <c r="I698" s="159"/>
    </row>
    <row r="699" spans="1:9" ht="21" customHeight="1">
      <c r="A699" s="160"/>
      <c r="B699" s="161" t="s">
        <v>3319</v>
      </c>
      <c r="C699" s="160">
        <v>1</v>
      </c>
      <c r="D699" s="160">
        <v>1</v>
      </c>
      <c r="E699" s="162">
        <v>13.02</v>
      </c>
      <c r="F699" s="162">
        <v>0.9</v>
      </c>
      <c r="G699" s="162" t="s">
        <v>1288</v>
      </c>
      <c r="H699" s="162">
        <f t="shared" ref="H699:H701" si="38">PRODUCT(C699:G699)</f>
        <v>11.72</v>
      </c>
      <c r="I699" s="159"/>
    </row>
    <row r="700" spans="1:9" ht="21" customHeight="1">
      <c r="A700" s="160"/>
      <c r="B700" s="161" t="s">
        <v>3444</v>
      </c>
      <c r="C700" s="160">
        <v>1</v>
      </c>
      <c r="D700" s="160">
        <v>1</v>
      </c>
      <c r="E700" s="162">
        <v>10.73</v>
      </c>
      <c r="F700" s="162">
        <v>0.6</v>
      </c>
      <c r="G700" s="162" t="s">
        <v>1288</v>
      </c>
      <c r="H700" s="162">
        <f t="shared" si="38"/>
        <v>6.44</v>
      </c>
      <c r="I700" s="159"/>
    </row>
    <row r="701" spans="1:9" ht="21" customHeight="1">
      <c r="A701" s="160"/>
      <c r="B701" s="161" t="s">
        <v>3453</v>
      </c>
      <c r="C701" s="160">
        <v>1</v>
      </c>
      <c r="D701" s="160">
        <v>1</v>
      </c>
      <c r="E701" s="162">
        <v>7.86</v>
      </c>
      <c r="F701" s="162">
        <v>0.6</v>
      </c>
      <c r="G701" s="162" t="s">
        <v>1288</v>
      </c>
      <c r="H701" s="162">
        <f t="shared" si="38"/>
        <v>4.72</v>
      </c>
      <c r="I701" s="159"/>
    </row>
    <row r="702" spans="1:9" ht="21" customHeight="1">
      <c r="A702" s="160"/>
      <c r="B702" s="163" t="s">
        <v>3305</v>
      </c>
      <c r="C702" s="160"/>
      <c r="D702" s="160"/>
      <c r="E702" s="162"/>
      <c r="F702" s="162"/>
      <c r="G702" s="162"/>
      <c r="H702" s="162"/>
      <c r="I702" s="159"/>
    </row>
    <row r="703" spans="1:9" ht="21" customHeight="1">
      <c r="A703" s="160"/>
      <c r="B703" s="161" t="s">
        <v>3450</v>
      </c>
      <c r="C703" s="160">
        <v>-1</v>
      </c>
      <c r="D703" s="160">
        <v>4</v>
      </c>
      <c r="E703" s="162">
        <v>0.75</v>
      </c>
      <c r="F703" s="162">
        <v>0.9</v>
      </c>
      <c r="G703" s="162" t="s">
        <v>1288</v>
      </c>
      <c r="H703" s="162">
        <f>PRODUCT(C703:G703)</f>
        <v>-2.7</v>
      </c>
      <c r="I703" s="159"/>
    </row>
    <row r="704" spans="1:9" ht="21" customHeight="1">
      <c r="A704" s="160"/>
      <c r="B704" s="161"/>
      <c r="C704" s="170"/>
      <c r="D704" s="170"/>
      <c r="E704" s="170"/>
      <c r="F704" s="170"/>
      <c r="G704" s="159" t="s">
        <v>1827</v>
      </c>
      <c r="H704" s="159">
        <f>SUM(H699:H703)</f>
        <v>20.18</v>
      </c>
      <c r="I704" s="159"/>
    </row>
    <row r="705" spans="1:9" ht="21" customHeight="1">
      <c r="A705" s="160"/>
      <c r="B705" s="161"/>
      <c r="C705" s="160"/>
      <c r="D705" s="160"/>
      <c r="E705" s="162"/>
      <c r="F705" s="162"/>
      <c r="G705" s="159" t="s">
        <v>2560</v>
      </c>
      <c r="H705" s="159">
        <f>ROUNDUP(H704,1)</f>
        <v>20.2</v>
      </c>
      <c r="I705" s="159" t="s">
        <v>702</v>
      </c>
    </row>
    <row r="706" spans="1:9" ht="73.5" customHeight="1">
      <c r="A706" s="160">
        <f>A698+1</f>
        <v>61</v>
      </c>
      <c r="B706" s="161" t="s">
        <v>3463</v>
      </c>
      <c r="C706" s="160"/>
      <c r="D706" s="160"/>
      <c r="E706" s="162"/>
      <c r="F706" s="162"/>
      <c r="G706" s="162"/>
      <c r="H706" s="162"/>
      <c r="I706" s="159"/>
    </row>
    <row r="707" spans="1:9" ht="21" customHeight="1">
      <c r="A707" s="160"/>
      <c r="B707" s="161" t="s">
        <v>3443</v>
      </c>
      <c r="C707" s="160">
        <v>1</v>
      </c>
      <c r="D707" s="160">
        <v>1</v>
      </c>
      <c r="E707" s="162">
        <v>10.73</v>
      </c>
      <c r="F707" s="162">
        <v>0.6</v>
      </c>
      <c r="G707" s="162" t="s">
        <v>1288</v>
      </c>
      <c r="H707" s="162">
        <f t="shared" ref="H707" si="39">PRODUCT(C707:G707)</f>
        <v>6.44</v>
      </c>
      <c r="I707" s="159"/>
    </row>
    <row r="708" spans="1:9" ht="21" customHeight="1">
      <c r="A708" s="160"/>
      <c r="B708" s="161"/>
      <c r="C708" s="170"/>
      <c r="D708" s="170"/>
      <c r="E708" s="170"/>
      <c r="F708" s="170"/>
      <c r="G708" s="159" t="s">
        <v>1827</v>
      </c>
      <c r="H708" s="159">
        <f>SUM(H707:H707)</f>
        <v>6.44</v>
      </c>
      <c r="I708" s="159"/>
    </row>
    <row r="709" spans="1:9" ht="21" customHeight="1">
      <c r="A709" s="160"/>
      <c r="B709" s="161"/>
      <c r="C709" s="160"/>
      <c r="D709" s="160"/>
      <c r="E709" s="162"/>
      <c r="F709" s="162"/>
      <c r="G709" s="159" t="s">
        <v>2560</v>
      </c>
      <c r="H709" s="159">
        <f>ROUNDUP(H708,1)</f>
        <v>6.5</v>
      </c>
      <c r="I709" s="159" t="s">
        <v>488</v>
      </c>
    </row>
    <row r="710" spans="1:9" ht="142.5" customHeight="1">
      <c r="A710" s="160">
        <f>A706+1</f>
        <v>62</v>
      </c>
      <c r="B710" s="161" t="e">
        <f>#REF!</f>
        <v>#REF!</v>
      </c>
      <c r="C710" s="160"/>
      <c r="D710" s="160"/>
      <c r="E710" s="162"/>
      <c r="F710" s="162"/>
      <c r="G710" s="162"/>
      <c r="H710" s="162"/>
      <c r="I710" s="159"/>
    </row>
    <row r="711" spans="1:9" ht="21" customHeight="1">
      <c r="A711" s="160"/>
      <c r="B711" s="161" t="s">
        <v>3312</v>
      </c>
      <c r="C711" s="160">
        <v>1</v>
      </c>
      <c r="D711" s="160">
        <v>3</v>
      </c>
      <c r="E711" s="162" t="s">
        <v>1288</v>
      </c>
      <c r="F711" s="162" t="s">
        <v>1288</v>
      </c>
      <c r="G711" s="162" t="s">
        <v>1288</v>
      </c>
      <c r="H711" s="162">
        <f t="shared" ref="H711:H712" si="40">PRODUCT(C711:G711)</f>
        <v>3</v>
      </c>
      <c r="I711" s="159"/>
    </row>
    <row r="712" spans="1:9" ht="21" customHeight="1">
      <c r="A712" s="160"/>
      <c r="B712" s="161" t="s">
        <v>3306</v>
      </c>
      <c r="C712" s="160">
        <v>1</v>
      </c>
      <c r="D712" s="160">
        <v>4</v>
      </c>
      <c r="E712" s="162" t="s">
        <v>1288</v>
      </c>
      <c r="F712" s="162" t="s">
        <v>1288</v>
      </c>
      <c r="G712" s="162" t="s">
        <v>1288</v>
      </c>
      <c r="H712" s="162">
        <f t="shared" si="40"/>
        <v>4</v>
      </c>
      <c r="I712" s="159"/>
    </row>
    <row r="713" spans="1:9" ht="21" customHeight="1">
      <c r="A713" s="160"/>
      <c r="B713" s="161"/>
      <c r="C713" s="170"/>
      <c r="D713" s="170"/>
      <c r="E713" s="170"/>
      <c r="F713" s="170"/>
      <c r="G713" s="159" t="s">
        <v>1827</v>
      </c>
      <c r="H713" s="159">
        <f>SUM(H711:H712)</f>
        <v>7</v>
      </c>
      <c r="I713" s="159"/>
    </row>
    <row r="714" spans="1:9" ht="21" customHeight="1">
      <c r="A714" s="160"/>
      <c r="B714" s="161"/>
      <c r="C714" s="160"/>
      <c r="D714" s="160"/>
      <c r="E714" s="162"/>
      <c r="F714" s="162"/>
      <c r="G714" s="159" t="s">
        <v>2560</v>
      </c>
      <c r="H714" s="159">
        <f>ROUNDUP(H713,1)</f>
        <v>7</v>
      </c>
      <c r="I714" s="159" t="s">
        <v>1395</v>
      </c>
    </row>
    <row r="715" spans="1:9" ht="129" customHeight="1">
      <c r="A715" s="160">
        <f>A710+1</f>
        <v>63</v>
      </c>
      <c r="B715" s="161" t="s">
        <v>3472</v>
      </c>
      <c r="C715" s="160"/>
      <c r="D715" s="160"/>
      <c r="E715" s="162"/>
      <c r="F715" s="162"/>
      <c r="G715" s="162"/>
      <c r="H715" s="162"/>
      <c r="I715" s="159"/>
    </row>
    <row r="716" spans="1:9" ht="21" customHeight="1">
      <c r="A716" s="160"/>
      <c r="B716" s="161" t="s">
        <v>3386</v>
      </c>
      <c r="C716" s="160">
        <v>1</v>
      </c>
      <c r="D716" s="160">
        <v>3</v>
      </c>
      <c r="E716" s="162" t="s">
        <v>1288</v>
      </c>
      <c r="F716" s="162" t="s">
        <v>1288</v>
      </c>
      <c r="G716" s="162" t="s">
        <v>1288</v>
      </c>
      <c r="H716" s="162">
        <f t="shared" ref="H716" si="41">PRODUCT(C716:G716)</f>
        <v>3</v>
      </c>
      <c r="I716" s="159"/>
    </row>
    <row r="717" spans="1:9" ht="21" customHeight="1">
      <c r="A717" s="160"/>
      <c r="B717" s="161"/>
      <c r="C717" s="170"/>
      <c r="D717" s="170"/>
      <c r="E717" s="170"/>
      <c r="F717" s="170"/>
      <c r="G717" s="159" t="s">
        <v>1827</v>
      </c>
      <c r="H717" s="159">
        <f>SUM(H716:H716)</f>
        <v>3</v>
      </c>
      <c r="I717" s="159"/>
    </row>
    <row r="718" spans="1:9" ht="21" customHeight="1">
      <c r="A718" s="160"/>
      <c r="B718" s="161"/>
      <c r="C718" s="160"/>
      <c r="D718" s="160"/>
      <c r="E718" s="162"/>
      <c r="F718" s="162"/>
      <c r="G718" s="159" t="s">
        <v>2560</v>
      </c>
      <c r="H718" s="159">
        <f>ROUNDUP(H717,1)</f>
        <v>3</v>
      </c>
      <c r="I718" s="159" t="s">
        <v>1395</v>
      </c>
    </row>
    <row r="719" spans="1:9" ht="55.5" customHeight="1">
      <c r="A719" s="160">
        <f>A715+1</f>
        <v>64</v>
      </c>
      <c r="B719" s="161" t="e">
        <f>#REF!</f>
        <v>#REF!</v>
      </c>
      <c r="C719" s="160"/>
      <c r="D719" s="160"/>
      <c r="E719" s="162"/>
      <c r="F719" s="162"/>
      <c r="G719" s="162"/>
      <c r="H719" s="162"/>
      <c r="I719" s="159"/>
    </row>
    <row r="720" spans="1:9" ht="21" customHeight="1">
      <c r="A720" s="160"/>
      <c r="B720" s="161" t="s">
        <v>3327</v>
      </c>
      <c r="C720" s="160">
        <v>1</v>
      </c>
      <c r="D720" s="160">
        <v>1</v>
      </c>
      <c r="E720" s="162" t="s">
        <v>1288</v>
      </c>
      <c r="F720" s="162" t="s">
        <v>1288</v>
      </c>
      <c r="G720" s="162" t="s">
        <v>1288</v>
      </c>
      <c r="H720" s="162">
        <f t="shared" ref="H720:H722" si="42">PRODUCT(C720:G720)</f>
        <v>1</v>
      </c>
      <c r="I720" s="159"/>
    </row>
    <row r="721" spans="1:9" ht="21" customHeight="1">
      <c r="A721" s="160"/>
      <c r="B721" s="161" t="s">
        <v>3469</v>
      </c>
      <c r="C721" s="160">
        <v>1</v>
      </c>
      <c r="D721" s="160">
        <v>2</v>
      </c>
      <c r="E721" s="162" t="s">
        <v>1288</v>
      </c>
      <c r="F721" s="162" t="s">
        <v>1288</v>
      </c>
      <c r="G721" s="162" t="s">
        <v>1288</v>
      </c>
      <c r="H721" s="162">
        <f t="shared" si="42"/>
        <v>2</v>
      </c>
      <c r="I721" s="159"/>
    </row>
    <row r="722" spans="1:9" ht="21" customHeight="1">
      <c r="A722" s="160"/>
      <c r="B722" s="161" t="s">
        <v>3468</v>
      </c>
      <c r="C722" s="160">
        <v>1</v>
      </c>
      <c r="D722" s="160">
        <v>2</v>
      </c>
      <c r="E722" s="162" t="s">
        <v>1288</v>
      </c>
      <c r="F722" s="162" t="s">
        <v>1288</v>
      </c>
      <c r="G722" s="162" t="s">
        <v>1288</v>
      </c>
      <c r="H722" s="162">
        <f t="shared" si="42"/>
        <v>2</v>
      </c>
      <c r="I722" s="159"/>
    </row>
    <row r="723" spans="1:9" ht="21" customHeight="1">
      <c r="A723" s="160"/>
      <c r="B723" s="161"/>
      <c r="C723" s="170"/>
      <c r="D723" s="170"/>
      <c r="E723" s="170"/>
      <c r="F723" s="170"/>
      <c r="G723" s="159" t="s">
        <v>1827</v>
      </c>
      <c r="H723" s="159">
        <f>SUM(H720:H722)</f>
        <v>5</v>
      </c>
      <c r="I723" s="159"/>
    </row>
    <row r="724" spans="1:9" ht="21" customHeight="1">
      <c r="A724" s="160"/>
      <c r="B724" s="161"/>
      <c r="C724" s="160"/>
      <c r="D724" s="160"/>
      <c r="E724" s="162"/>
      <c r="F724" s="162"/>
      <c r="G724" s="159" t="s">
        <v>2560</v>
      </c>
      <c r="H724" s="159">
        <f>ROUNDUP(H723,1)</f>
        <v>5</v>
      </c>
      <c r="I724" s="159" t="s">
        <v>1395</v>
      </c>
    </row>
    <row r="725" spans="1:9" ht="38.25" customHeight="1">
      <c r="A725" s="160">
        <f>A719+1</f>
        <v>65</v>
      </c>
      <c r="B725" s="161" t="e">
        <f>#REF!</f>
        <v>#REF!</v>
      </c>
      <c r="C725" s="160"/>
      <c r="D725" s="160"/>
      <c r="E725" s="162"/>
      <c r="F725" s="162"/>
      <c r="G725" s="162"/>
      <c r="H725" s="162"/>
      <c r="I725" s="159"/>
    </row>
    <row r="726" spans="1:9" ht="21" customHeight="1">
      <c r="A726" s="160"/>
      <c r="B726" s="161" t="s">
        <v>3327</v>
      </c>
      <c r="C726" s="160">
        <v>1</v>
      </c>
      <c r="D726" s="160">
        <v>1</v>
      </c>
      <c r="E726" s="162" t="s">
        <v>1288</v>
      </c>
      <c r="F726" s="162" t="s">
        <v>1288</v>
      </c>
      <c r="G726" s="162" t="s">
        <v>1288</v>
      </c>
      <c r="H726" s="162">
        <f t="shared" ref="H726:H728" si="43">PRODUCT(C726:G726)</f>
        <v>1</v>
      </c>
      <c r="I726" s="159"/>
    </row>
    <row r="727" spans="1:9" ht="21" customHeight="1">
      <c r="A727" s="160"/>
      <c r="B727" s="161" t="s">
        <v>3469</v>
      </c>
      <c r="C727" s="160">
        <v>1</v>
      </c>
      <c r="D727" s="160">
        <v>2</v>
      </c>
      <c r="E727" s="162" t="s">
        <v>1288</v>
      </c>
      <c r="F727" s="162" t="s">
        <v>1288</v>
      </c>
      <c r="G727" s="162" t="s">
        <v>1288</v>
      </c>
      <c r="H727" s="162">
        <f t="shared" si="43"/>
        <v>2</v>
      </c>
      <c r="I727" s="159"/>
    </row>
    <row r="728" spans="1:9" ht="21" customHeight="1">
      <c r="A728" s="160"/>
      <c r="B728" s="161" t="s">
        <v>3468</v>
      </c>
      <c r="C728" s="160">
        <v>1</v>
      </c>
      <c r="D728" s="160">
        <v>2</v>
      </c>
      <c r="E728" s="162" t="s">
        <v>1288</v>
      </c>
      <c r="F728" s="162" t="s">
        <v>1288</v>
      </c>
      <c r="G728" s="162" t="s">
        <v>1288</v>
      </c>
      <c r="H728" s="162">
        <f t="shared" si="43"/>
        <v>2</v>
      </c>
      <c r="I728" s="159"/>
    </row>
    <row r="729" spans="1:9" ht="21" customHeight="1">
      <c r="A729" s="160"/>
      <c r="B729" s="161"/>
      <c r="C729" s="170"/>
      <c r="D729" s="170"/>
      <c r="E729" s="170"/>
      <c r="F729" s="170"/>
      <c r="G729" s="159" t="s">
        <v>1827</v>
      </c>
      <c r="H729" s="159">
        <f>SUM(H726:H728)</f>
        <v>5</v>
      </c>
      <c r="I729" s="159"/>
    </row>
    <row r="730" spans="1:9" ht="21" customHeight="1">
      <c r="A730" s="160"/>
      <c r="B730" s="161"/>
      <c r="C730" s="160"/>
      <c r="D730" s="160"/>
      <c r="E730" s="162"/>
      <c r="F730" s="162"/>
      <c r="G730" s="159" t="s">
        <v>2560</v>
      </c>
      <c r="H730" s="159">
        <f>ROUNDUP(H729,1)</f>
        <v>5</v>
      </c>
      <c r="I730" s="159" t="s">
        <v>1395</v>
      </c>
    </row>
    <row r="731" spans="1:9" ht="38.25" customHeight="1">
      <c r="A731" s="160">
        <f>A725+1</f>
        <v>66</v>
      </c>
      <c r="B731" s="161" t="e">
        <f>#REF!</f>
        <v>#REF!</v>
      </c>
      <c r="C731" s="160"/>
      <c r="D731" s="160"/>
      <c r="E731" s="162"/>
      <c r="F731" s="162"/>
      <c r="G731" s="162"/>
      <c r="H731" s="162"/>
      <c r="I731" s="159"/>
    </row>
    <row r="732" spans="1:9" ht="21" customHeight="1">
      <c r="A732" s="160"/>
      <c r="B732" s="161" t="s">
        <v>3470</v>
      </c>
      <c r="C732" s="160">
        <v>1</v>
      </c>
      <c r="D732" s="160">
        <v>1</v>
      </c>
      <c r="E732" s="162" t="s">
        <v>1288</v>
      </c>
      <c r="F732" s="162" t="s">
        <v>1288</v>
      </c>
      <c r="G732" s="162" t="s">
        <v>1288</v>
      </c>
      <c r="H732" s="162">
        <f t="shared" ref="H732" si="44">PRODUCT(C732:G732)</f>
        <v>1</v>
      </c>
      <c r="I732" s="159"/>
    </row>
    <row r="733" spans="1:9" ht="21" customHeight="1">
      <c r="A733" s="160"/>
      <c r="B733" s="161"/>
      <c r="C733" s="170"/>
      <c r="D733" s="170"/>
      <c r="E733" s="170"/>
      <c r="F733" s="170"/>
      <c r="G733" s="159" t="s">
        <v>1827</v>
      </c>
      <c r="H733" s="159">
        <f>SUM(H732:H732)</f>
        <v>1</v>
      </c>
      <c r="I733" s="159"/>
    </row>
    <row r="734" spans="1:9" ht="21" customHeight="1">
      <c r="A734" s="160"/>
      <c r="B734" s="161"/>
      <c r="C734" s="160"/>
      <c r="D734" s="160"/>
      <c r="E734" s="162"/>
      <c r="F734" s="162"/>
      <c r="G734" s="159" t="s">
        <v>2560</v>
      </c>
      <c r="H734" s="159">
        <f>ROUNDUP(H733,1)</f>
        <v>1</v>
      </c>
      <c r="I734" s="159" t="s">
        <v>1395</v>
      </c>
    </row>
    <row r="735" spans="1:9" ht="21" customHeight="1">
      <c r="A735" s="160">
        <f>A731+1</f>
        <v>67</v>
      </c>
      <c r="B735" s="161" t="e">
        <f>#REF!</f>
        <v>#REF!</v>
      </c>
      <c r="C735" s="160"/>
      <c r="D735" s="160"/>
      <c r="E735" s="162"/>
      <c r="F735" s="162"/>
      <c r="G735" s="162"/>
      <c r="H735" s="162"/>
      <c r="I735" s="159"/>
    </row>
    <row r="736" spans="1:9" ht="21" customHeight="1">
      <c r="A736" s="160"/>
      <c r="B736" s="161" t="s">
        <v>3471</v>
      </c>
      <c r="C736" s="160">
        <v>1</v>
      </c>
      <c r="D736" s="160">
        <v>1</v>
      </c>
      <c r="E736" s="162">
        <v>8</v>
      </c>
      <c r="F736" s="162" t="s">
        <v>1288</v>
      </c>
      <c r="G736" s="162" t="s">
        <v>1288</v>
      </c>
      <c r="H736" s="162">
        <f t="shared" ref="H736" si="45">PRODUCT(C736:G736)</f>
        <v>8</v>
      </c>
      <c r="I736" s="159"/>
    </row>
    <row r="737" spans="1:9" ht="21" customHeight="1">
      <c r="A737" s="160"/>
      <c r="B737" s="161"/>
      <c r="C737" s="170"/>
      <c r="D737" s="170"/>
      <c r="E737" s="170"/>
      <c r="F737" s="170"/>
      <c r="G737" s="159" t="s">
        <v>1827</v>
      </c>
      <c r="H737" s="159">
        <f>SUM(H736:H736)</f>
        <v>8</v>
      </c>
      <c r="I737" s="159"/>
    </row>
    <row r="738" spans="1:9" ht="21" customHeight="1">
      <c r="A738" s="160"/>
      <c r="B738" s="161"/>
      <c r="C738" s="160"/>
      <c r="D738" s="160"/>
      <c r="E738" s="162"/>
      <c r="F738" s="162"/>
      <c r="G738" s="159" t="s">
        <v>2560</v>
      </c>
      <c r="H738" s="159">
        <f>ROUNDUP(H737,1)</f>
        <v>8</v>
      </c>
      <c r="I738" s="159" t="s">
        <v>1443</v>
      </c>
    </row>
    <row r="739" spans="1:9" ht="21" customHeight="1">
      <c r="A739" s="160">
        <f>A735+1</f>
        <v>68</v>
      </c>
      <c r="B739" s="161" t="e">
        <f>#REF!</f>
        <v>#REF!</v>
      </c>
      <c r="C739" s="160"/>
      <c r="D739" s="160"/>
      <c r="E739" s="162"/>
      <c r="F739" s="162"/>
      <c r="G739" s="162"/>
      <c r="H739" s="162"/>
      <c r="I739" s="159"/>
    </row>
    <row r="740" spans="1:9" ht="21" customHeight="1">
      <c r="A740" s="160"/>
      <c r="B740" s="161" t="s">
        <v>3471</v>
      </c>
      <c r="C740" s="160">
        <v>1</v>
      </c>
      <c r="D740" s="160">
        <v>1</v>
      </c>
      <c r="E740" s="162" t="s">
        <v>1288</v>
      </c>
      <c r="F740" s="162" t="s">
        <v>1288</v>
      </c>
      <c r="G740" s="162" t="s">
        <v>1288</v>
      </c>
      <c r="H740" s="162">
        <f t="shared" ref="H740" si="46">PRODUCT(C740:G740)</f>
        <v>1</v>
      </c>
      <c r="I740" s="159"/>
    </row>
    <row r="741" spans="1:9" ht="21" customHeight="1">
      <c r="A741" s="160"/>
      <c r="B741" s="161"/>
      <c r="C741" s="170"/>
      <c r="D741" s="170"/>
      <c r="E741" s="170"/>
      <c r="F741" s="170"/>
      <c r="G741" s="159" t="s">
        <v>1827</v>
      </c>
      <c r="H741" s="159">
        <f>SUM(H740:H740)</f>
        <v>1</v>
      </c>
      <c r="I741" s="159"/>
    </row>
    <row r="742" spans="1:9" ht="21" customHeight="1">
      <c r="A742" s="160"/>
      <c r="B742" s="161"/>
      <c r="C742" s="160"/>
      <c r="D742" s="160"/>
      <c r="E742" s="162"/>
      <c r="F742" s="162"/>
      <c r="G742" s="159" t="s">
        <v>2560</v>
      </c>
      <c r="H742" s="159">
        <f>ROUNDUP(H741,1)</f>
        <v>1</v>
      </c>
      <c r="I742" s="159" t="s">
        <v>1395</v>
      </c>
    </row>
    <row r="743" spans="1:9" ht="21" customHeight="1">
      <c r="A743" s="160"/>
      <c r="B743" s="161"/>
      <c r="C743" s="160"/>
      <c r="D743" s="160"/>
      <c r="E743" s="162"/>
      <c r="F743" s="162"/>
      <c r="G743" s="159"/>
      <c r="H743" s="159"/>
      <c r="I743" s="159"/>
    </row>
  </sheetData>
  <mergeCells count="12">
    <mergeCell ref="A2:I2"/>
    <mergeCell ref="A1:I1"/>
    <mergeCell ref="C608:F608"/>
    <mergeCell ref="A3:I3"/>
    <mergeCell ref="A4:I4"/>
    <mergeCell ref="A5:A6"/>
    <mergeCell ref="B5:B6"/>
    <mergeCell ref="C5:D6"/>
    <mergeCell ref="E5:G5"/>
    <mergeCell ref="H5:H6"/>
    <mergeCell ref="I5:I6"/>
    <mergeCell ref="C510:F510"/>
  </mergeCells>
  <printOptions horizontalCentered="1"/>
  <pageMargins left="0.70866141732283472" right="0.70866141732283472" top="0.74803149606299213" bottom="0.74803149606299213" header="0.31496062992125984" footer="0.31496062992125984"/>
  <pageSetup paperSize="9" scale="79" orientation="portrait" r:id="rId1"/>
  <headerFooter>
    <oddHeader>&amp;R&amp;P</oddHeader>
  </headerFooter>
</worksheet>
</file>

<file path=xl/worksheets/sheet4.xml><?xml version="1.0" encoding="utf-8"?>
<worksheet xmlns="http://schemas.openxmlformats.org/spreadsheetml/2006/main" xmlns:r="http://schemas.openxmlformats.org/officeDocument/2006/relationships">
  <dimension ref="A1:J363"/>
  <sheetViews>
    <sheetView showZeros="0" view="pageBreakPreview" topLeftCell="A194" zoomScaleNormal="96" zoomScaleSheetLayoutView="100" workbookViewId="0">
      <selection activeCell="B320" sqref="B320"/>
    </sheetView>
  </sheetViews>
  <sheetFormatPr defaultColWidth="8.88671875" defaultRowHeight="15.75"/>
  <cols>
    <col min="1" max="1" width="4.6640625" style="221" customWidth="1"/>
    <col min="2" max="2" width="28.33203125" style="222" customWidth="1"/>
    <col min="3" max="4" width="3.6640625" style="174" customWidth="1"/>
    <col min="5" max="8" width="8.21875" style="174" customWidth="1"/>
    <col min="9" max="256" width="8.88671875" style="174"/>
    <col min="257" max="257" width="4.6640625" style="174" customWidth="1"/>
    <col min="258" max="258" width="28.33203125" style="174" customWidth="1"/>
    <col min="259" max="260" width="3.6640625" style="174" customWidth="1"/>
    <col min="261" max="264" width="8.21875" style="174" customWidth="1"/>
    <col min="265" max="512" width="8.88671875" style="174"/>
    <col min="513" max="513" width="4.6640625" style="174" customWidth="1"/>
    <col min="514" max="514" width="28.33203125" style="174" customWidth="1"/>
    <col min="515" max="516" width="3.6640625" style="174" customWidth="1"/>
    <col min="517" max="520" width="8.21875" style="174" customWidth="1"/>
    <col min="521" max="768" width="8.88671875" style="174"/>
    <col min="769" max="769" width="4.6640625" style="174" customWidth="1"/>
    <col min="770" max="770" width="28.33203125" style="174" customWidth="1"/>
    <col min="771" max="772" width="3.6640625" style="174" customWidth="1"/>
    <col min="773" max="776" width="8.21875" style="174" customWidth="1"/>
    <col min="777" max="1024" width="8.88671875" style="174"/>
    <col min="1025" max="1025" width="4.6640625" style="174" customWidth="1"/>
    <col min="1026" max="1026" width="28.33203125" style="174" customWidth="1"/>
    <col min="1027" max="1028" width="3.6640625" style="174" customWidth="1"/>
    <col min="1029" max="1032" width="8.21875" style="174" customWidth="1"/>
    <col min="1033" max="1280" width="8.88671875" style="174"/>
    <col min="1281" max="1281" width="4.6640625" style="174" customWidth="1"/>
    <col min="1282" max="1282" width="28.33203125" style="174" customWidth="1"/>
    <col min="1283" max="1284" width="3.6640625" style="174" customWidth="1"/>
    <col min="1285" max="1288" width="8.21875" style="174" customWidth="1"/>
    <col min="1289" max="1536" width="8.88671875" style="174"/>
    <col min="1537" max="1537" width="4.6640625" style="174" customWidth="1"/>
    <col min="1538" max="1538" width="28.33203125" style="174" customWidth="1"/>
    <col min="1539" max="1540" width="3.6640625" style="174" customWidth="1"/>
    <col min="1541" max="1544" width="8.21875" style="174" customWidth="1"/>
    <col min="1545" max="1792" width="8.88671875" style="174"/>
    <col min="1793" max="1793" width="4.6640625" style="174" customWidth="1"/>
    <col min="1794" max="1794" width="28.33203125" style="174" customWidth="1"/>
    <col min="1795" max="1796" width="3.6640625" style="174" customWidth="1"/>
    <col min="1797" max="1800" width="8.21875" style="174" customWidth="1"/>
    <col min="1801" max="2048" width="8.88671875" style="174"/>
    <col min="2049" max="2049" width="4.6640625" style="174" customWidth="1"/>
    <col min="2050" max="2050" width="28.33203125" style="174" customWidth="1"/>
    <col min="2051" max="2052" width="3.6640625" style="174" customWidth="1"/>
    <col min="2053" max="2056" width="8.21875" style="174" customWidth="1"/>
    <col min="2057" max="2304" width="8.88671875" style="174"/>
    <col min="2305" max="2305" width="4.6640625" style="174" customWidth="1"/>
    <col min="2306" max="2306" width="28.33203125" style="174" customWidth="1"/>
    <col min="2307" max="2308" width="3.6640625" style="174" customWidth="1"/>
    <col min="2309" max="2312" width="8.21875" style="174" customWidth="1"/>
    <col min="2313" max="2560" width="8.88671875" style="174"/>
    <col min="2561" max="2561" width="4.6640625" style="174" customWidth="1"/>
    <col min="2562" max="2562" width="28.33203125" style="174" customWidth="1"/>
    <col min="2563" max="2564" width="3.6640625" style="174" customWidth="1"/>
    <col min="2565" max="2568" width="8.21875" style="174" customWidth="1"/>
    <col min="2569" max="2816" width="8.88671875" style="174"/>
    <col min="2817" max="2817" width="4.6640625" style="174" customWidth="1"/>
    <col min="2818" max="2818" width="28.33203125" style="174" customWidth="1"/>
    <col min="2819" max="2820" width="3.6640625" style="174" customWidth="1"/>
    <col min="2821" max="2824" width="8.21875" style="174" customWidth="1"/>
    <col min="2825" max="3072" width="8.88671875" style="174"/>
    <col min="3073" max="3073" width="4.6640625" style="174" customWidth="1"/>
    <col min="3074" max="3074" width="28.33203125" style="174" customWidth="1"/>
    <col min="3075" max="3076" width="3.6640625" style="174" customWidth="1"/>
    <col min="3077" max="3080" width="8.21875" style="174" customWidth="1"/>
    <col min="3081" max="3328" width="8.88671875" style="174"/>
    <col min="3329" max="3329" width="4.6640625" style="174" customWidth="1"/>
    <col min="3330" max="3330" width="28.33203125" style="174" customWidth="1"/>
    <col min="3331" max="3332" width="3.6640625" style="174" customWidth="1"/>
    <col min="3333" max="3336" width="8.21875" style="174" customWidth="1"/>
    <col min="3337" max="3584" width="8.88671875" style="174"/>
    <col min="3585" max="3585" width="4.6640625" style="174" customWidth="1"/>
    <col min="3586" max="3586" width="28.33203125" style="174" customWidth="1"/>
    <col min="3587" max="3588" width="3.6640625" style="174" customWidth="1"/>
    <col min="3589" max="3592" width="8.21875" style="174" customWidth="1"/>
    <col min="3593" max="3840" width="8.88671875" style="174"/>
    <col min="3841" max="3841" width="4.6640625" style="174" customWidth="1"/>
    <col min="3842" max="3842" width="28.33203125" style="174" customWidth="1"/>
    <col min="3843" max="3844" width="3.6640625" style="174" customWidth="1"/>
    <col min="3845" max="3848" width="8.21875" style="174" customWidth="1"/>
    <col min="3849" max="4096" width="8.88671875" style="174"/>
    <col min="4097" max="4097" width="4.6640625" style="174" customWidth="1"/>
    <col min="4098" max="4098" width="28.33203125" style="174" customWidth="1"/>
    <col min="4099" max="4100" width="3.6640625" style="174" customWidth="1"/>
    <col min="4101" max="4104" width="8.21875" style="174" customWidth="1"/>
    <col min="4105" max="4352" width="8.88671875" style="174"/>
    <col min="4353" max="4353" width="4.6640625" style="174" customWidth="1"/>
    <col min="4354" max="4354" width="28.33203125" style="174" customWidth="1"/>
    <col min="4355" max="4356" width="3.6640625" style="174" customWidth="1"/>
    <col min="4357" max="4360" width="8.21875" style="174" customWidth="1"/>
    <col min="4361" max="4608" width="8.88671875" style="174"/>
    <col min="4609" max="4609" width="4.6640625" style="174" customWidth="1"/>
    <col min="4610" max="4610" width="28.33203125" style="174" customWidth="1"/>
    <col min="4611" max="4612" width="3.6640625" style="174" customWidth="1"/>
    <col min="4613" max="4616" width="8.21875" style="174" customWidth="1"/>
    <col min="4617" max="4864" width="8.88671875" style="174"/>
    <col min="4865" max="4865" width="4.6640625" style="174" customWidth="1"/>
    <col min="4866" max="4866" width="28.33203125" style="174" customWidth="1"/>
    <col min="4867" max="4868" width="3.6640625" style="174" customWidth="1"/>
    <col min="4869" max="4872" width="8.21875" style="174" customWidth="1"/>
    <col min="4873" max="5120" width="8.88671875" style="174"/>
    <col min="5121" max="5121" width="4.6640625" style="174" customWidth="1"/>
    <col min="5122" max="5122" width="28.33203125" style="174" customWidth="1"/>
    <col min="5123" max="5124" width="3.6640625" style="174" customWidth="1"/>
    <col min="5125" max="5128" width="8.21875" style="174" customWidth="1"/>
    <col min="5129" max="5376" width="8.88671875" style="174"/>
    <col min="5377" max="5377" width="4.6640625" style="174" customWidth="1"/>
    <col min="5378" max="5378" width="28.33203125" style="174" customWidth="1"/>
    <col min="5379" max="5380" width="3.6640625" style="174" customWidth="1"/>
    <col min="5381" max="5384" width="8.21875" style="174" customWidth="1"/>
    <col min="5385" max="5632" width="8.88671875" style="174"/>
    <col min="5633" max="5633" width="4.6640625" style="174" customWidth="1"/>
    <col min="5634" max="5634" width="28.33203125" style="174" customWidth="1"/>
    <col min="5635" max="5636" width="3.6640625" style="174" customWidth="1"/>
    <col min="5637" max="5640" width="8.21875" style="174" customWidth="1"/>
    <col min="5641" max="5888" width="8.88671875" style="174"/>
    <col min="5889" max="5889" width="4.6640625" style="174" customWidth="1"/>
    <col min="5890" max="5890" width="28.33203125" style="174" customWidth="1"/>
    <col min="5891" max="5892" width="3.6640625" style="174" customWidth="1"/>
    <col min="5893" max="5896" width="8.21875" style="174" customWidth="1"/>
    <col min="5897" max="6144" width="8.88671875" style="174"/>
    <col min="6145" max="6145" width="4.6640625" style="174" customWidth="1"/>
    <col min="6146" max="6146" width="28.33203125" style="174" customWidth="1"/>
    <col min="6147" max="6148" width="3.6640625" style="174" customWidth="1"/>
    <col min="6149" max="6152" width="8.21875" style="174" customWidth="1"/>
    <col min="6153" max="6400" width="8.88671875" style="174"/>
    <col min="6401" max="6401" width="4.6640625" style="174" customWidth="1"/>
    <col min="6402" max="6402" width="28.33203125" style="174" customWidth="1"/>
    <col min="6403" max="6404" width="3.6640625" style="174" customWidth="1"/>
    <col min="6405" max="6408" width="8.21875" style="174" customWidth="1"/>
    <col min="6409" max="6656" width="8.88671875" style="174"/>
    <col min="6657" max="6657" width="4.6640625" style="174" customWidth="1"/>
    <col min="6658" max="6658" width="28.33203125" style="174" customWidth="1"/>
    <col min="6659" max="6660" width="3.6640625" style="174" customWidth="1"/>
    <col min="6661" max="6664" width="8.21875" style="174" customWidth="1"/>
    <col min="6665" max="6912" width="8.88671875" style="174"/>
    <col min="6913" max="6913" width="4.6640625" style="174" customWidth="1"/>
    <col min="6914" max="6914" width="28.33203125" style="174" customWidth="1"/>
    <col min="6915" max="6916" width="3.6640625" style="174" customWidth="1"/>
    <col min="6917" max="6920" width="8.21875" style="174" customWidth="1"/>
    <col min="6921" max="7168" width="8.88671875" style="174"/>
    <col min="7169" max="7169" width="4.6640625" style="174" customWidth="1"/>
    <col min="7170" max="7170" width="28.33203125" style="174" customWidth="1"/>
    <col min="7171" max="7172" width="3.6640625" style="174" customWidth="1"/>
    <col min="7173" max="7176" width="8.21875" style="174" customWidth="1"/>
    <col min="7177" max="7424" width="8.88671875" style="174"/>
    <col min="7425" max="7425" width="4.6640625" style="174" customWidth="1"/>
    <col min="7426" max="7426" width="28.33203125" style="174" customWidth="1"/>
    <col min="7427" max="7428" width="3.6640625" style="174" customWidth="1"/>
    <col min="7429" max="7432" width="8.21875" style="174" customWidth="1"/>
    <col min="7433" max="7680" width="8.88671875" style="174"/>
    <col min="7681" max="7681" width="4.6640625" style="174" customWidth="1"/>
    <col min="7682" max="7682" width="28.33203125" style="174" customWidth="1"/>
    <col min="7683" max="7684" width="3.6640625" style="174" customWidth="1"/>
    <col min="7685" max="7688" width="8.21875" style="174" customWidth="1"/>
    <col min="7689" max="7936" width="8.88671875" style="174"/>
    <col min="7937" max="7937" width="4.6640625" style="174" customWidth="1"/>
    <col min="7938" max="7938" width="28.33203125" style="174" customWidth="1"/>
    <col min="7939" max="7940" width="3.6640625" style="174" customWidth="1"/>
    <col min="7941" max="7944" width="8.21875" style="174" customWidth="1"/>
    <col min="7945" max="8192" width="8.88671875" style="174"/>
    <col min="8193" max="8193" width="4.6640625" style="174" customWidth="1"/>
    <col min="8194" max="8194" width="28.33203125" style="174" customWidth="1"/>
    <col min="8195" max="8196" width="3.6640625" style="174" customWidth="1"/>
    <col min="8197" max="8200" width="8.21875" style="174" customWidth="1"/>
    <col min="8201" max="8448" width="8.88671875" style="174"/>
    <col min="8449" max="8449" width="4.6640625" style="174" customWidth="1"/>
    <col min="8450" max="8450" width="28.33203125" style="174" customWidth="1"/>
    <col min="8451" max="8452" width="3.6640625" style="174" customWidth="1"/>
    <col min="8453" max="8456" width="8.21875" style="174" customWidth="1"/>
    <col min="8457" max="8704" width="8.88671875" style="174"/>
    <col min="8705" max="8705" width="4.6640625" style="174" customWidth="1"/>
    <col min="8706" max="8706" width="28.33203125" style="174" customWidth="1"/>
    <col min="8707" max="8708" width="3.6640625" style="174" customWidth="1"/>
    <col min="8709" max="8712" width="8.21875" style="174" customWidth="1"/>
    <col min="8713" max="8960" width="8.88671875" style="174"/>
    <col min="8961" max="8961" width="4.6640625" style="174" customWidth="1"/>
    <col min="8962" max="8962" width="28.33203125" style="174" customWidth="1"/>
    <col min="8963" max="8964" width="3.6640625" style="174" customWidth="1"/>
    <col min="8965" max="8968" width="8.21875" style="174" customWidth="1"/>
    <col min="8969" max="9216" width="8.88671875" style="174"/>
    <col min="9217" max="9217" width="4.6640625" style="174" customWidth="1"/>
    <col min="9218" max="9218" width="28.33203125" style="174" customWidth="1"/>
    <col min="9219" max="9220" width="3.6640625" style="174" customWidth="1"/>
    <col min="9221" max="9224" width="8.21875" style="174" customWidth="1"/>
    <col min="9225" max="9472" width="8.88671875" style="174"/>
    <col min="9473" max="9473" width="4.6640625" style="174" customWidth="1"/>
    <col min="9474" max="9474" width="28.33203125" style="174" customWidth="1"/>
    <col min="9475" max="9476" width="3.6640625" style="174" customWidth="1"/>
    <col min="9477" max="9480" width="8.21875" style="174" customWidth="1"/>
    <col min="9481" max="9728" width="8.88671875" style="174"/>
    <col min="9729" max="9729" width="4.6640625" style="174" customWidth="1"/>
    <col min="9730" max="9730" width="28.33203125" style="174" customWidth="1"/>
    <col min="9731" max="9732" width="3.6640625" style="174" customWidth="1"/>
    <col min="9733" max="9736" width="8.21875" style="174" customWidth="1"/>
    <col min="9737" max="9984" width="8.88671875" style="174"/>
    <col min="9985" max="9985" width="4.6640625" style="174" customWidth="1"/>
    <col min="9986" max="9986" width="28.33203125" style="174" customWidth="1"/>
    <col min="9987" max="9988" width="3.6640625" style="174" customWidth="1"/>
    <col min="9989" max="9992" width="8.21875" style="174" customWidth="1"/>
    <col min="9993" max="10240" width="8.88671875" style="174"/>
    <col min="10241" max="10241" width="4.6640625" style="174" customWidth="1"/>
    <col min="10242" max="10242" width="28.33203125" style="174" customWidth="1"/>
    <col min="10243" max="10244" width="3.6640625" style="174" customWidth="1"/>
    <col min="10245" max="10248" width="8.21875" style="174" customWidth="1"/>
    <col min="10249" max="10496" width="8.88671875" style="174"/>
    <col min="10497" max="10497" width="4.6640625" style="174" customWidth="1"/>
    <col min="10498" max="10498" width="28.33203125" style="174" customWidth="1"/>
    <col min="10499" max="10500" width="3.6640625" style="174" customWidth="1"/>
    <col min="10501" max="10504" width="8.21875" style="174" customWidth="1"/>
    <col min="10505" max="10752" width="8.88671875" style="174"/>
    <col min="10753" max="10753" width="4.6640625" style="174" customWidth="1"/>
    <col min="10754" max="10754" width="28.33203125" style="174" customWidth="1"/>
    <col min="10755" max="10756" width="3.6640625" style="174" customWidth="1"/>
    <col min="10757" max="10760" width="8.21875" style="174" customWidth="1"/>
    <col min="10761" max="11008" width="8.88671875" style="174"/>
    <col min="11009" max="11009" width="4.6640625" style="174" customWidth="1"/>
    <col min="11010" max="11010" width="28.33203125" style="174" customWidth="1"/>
    <col min="11011" max="11012" width="3.6640625" style="174" customWidth="1"/>
    <col min="11013" max="11016" width="8.21875" style="174" customWidth="1"/>
    <col min="11017" max="11264" width="8.88671875" style="174"/>
    <col min="11265" max="11265" width="4.6640625" style="174" customWidth="1"/>
    <col min="11266" max="11266" width="28.33203125" style="174" customWidth="1"/>
    <col min="11267" max="11268" width="3.6640625" style="174" customWidth="1"/>
    <col min="11269" max="11272" width="8.21875" style="174" customWidth="1"/>
    <col min="11273" max="11520" width="8.88671875" style="174"/>
    <col min="11521" max="11521" width="4.6640625" style="174" customWidth="1"/>
    <col min="11522" max="11522" width="28.33203125" style="174" customWidth="1"/>
    <col min="11523" max="11524" width="3.6640625" style="174" customWidth="1"/>
    <col min="11525" max="11528" width="8.21875" style="174" customWidth="1"/>
    <col min="11529" max="11776" width="8.88671875" style="174"/>
    <col min="11777" max="11777" width="4.6640625" style="174" customWidth="1"/>
    <col min="11778" max="11778" width="28.33203125" style="174" customWidth="1"/>
    <col min="11779" max="11780" width="3.6640625" style="174" customWidth="1"/>
    <col min="11781" max="11784" width="8.21875" style="174" customWidth="1"/>
    <col min="11785" max="12032" width="8.88671875" style="174"/>
    <col min="12033" max="12033" width="4.6640625" style="174" customWidth="1"/>
    <col min="12034" max="12034" width="28.33203125" style="174" customWidth="1"/>
    <col min="12035" max="12036" width="3.6640625" style="174" customWidth="1"/>
    <col min="12037" max="12040" width="8.21875" style="174" customWidth="1"/>
    <col min="12041" max="12288" width="8.88671875" style="174"/>
    <col min="12289" max="12289" width="4.6640625" style="174" customWidth="1"/>
    <col min="12290" max="12290" width="28.33203125" style="174" customWidth="1"/>
    <col min="12291" max="12292" width="3.6640625" style="174" customWidth="1"/>
    <col min="12293" max="12296" width="8.21875" style="174" customWidth="1"/>
    <col min="12297" max="12544" width="8.88671875" style="174"/>
    <col min="12545" max="12545" width="4.6640625" style="174" customWidth="1"/>
    <col min="12546" max="12546" width="28.33203125" style="174" customWidth="1"/>
    <col min="12547" max="12548" width="3.6640625" style="174" customWidth="1"/>
    <col min="12549" max="12552" width="8.21875" style="174" customWidth="1"/>
    <col min="12553" max="12800" width="8.88671875" style="174"/>
    <col min="12801" max="12801" width="4.6640625" style="174" customWidth="1"/>
    <col min="12802" max="12802" width="28.33203125" style="174" customWidth="1"/>
    <col min="12803" max="12804" width="3.6640625" style="174" customWidth="1"/>
    <col min="12805" max="12808" width="8.21875" style="174" customWidth="1"/>
    <col min="12809" max="13056" width="8.88671875" style="174"/>
    <col min="13057" max="13057" width="4.6640625" style="174" customWidth="1"/>
    <col min="13058" max="13058" width="28.33203125" style="174" customWidth="1"/>
    <col min="13059" max="13060" width="3.6640625" style="174" customWidth="1"/>
    <col min="13061" max="13064" width="8.21875" style="174" customWidth="1"/>
    <col min="13065" max="13312" width="8.88671875" style="174"/>
    <col min="13313" max="13313" width="4.6640625" style="174" customWidth="1"/>
    <col min="13314" max="13314" width="28.33203125" style="174" customWidth="1"/>
    <col min="13315" max="13316" width="3.6640625" style="174" customWidth="1"/>
    <col min="13317" max="13320" width="8.21875" style="174" customWidth="1"/>
    <col min="13321" max="13568" width="8.88671875" style="174"/>
    <col min="13569" max="13569" width="4.6640625" style="174" customWidth="1"/>
    <col min="13570" max="13570" width="28.33203125" style="174" customWidth="1"/>
    <col min="13571" max="13572" width="3.6640625" style="174" customWidth="1"/>
    <col min="13573" max="13576" width="8.21875" style="174" customWidth="1"/>
    <col min="13577" max="13824" width="8.88671875" style="174"/>
    <col min="13825" max="13825" width="4.6640625" style="174" customWidth="1"/>
    <col min="13826" max="13826" width="28.33203125" style="174" customWidth="1"/>
    <col min="13827" max="13828" width="3.6640625" style="174" customWidth="1"/>
    <col min="13829" max="13832" width="8.21875" style="174" customWidth="1"/>
    <col min="13833" max="14080" width="8.88671875" style="174"/>
    <col min="14081" max="14081" width="4.6640625" style="174" customWidth="1"/>
    <col min="14082" max="14082" width="28.33203125" style="174" customWidth="1"/>
    <col min="14083" max="14084" width="3.6640625" style="174" customWidth="1"/>
    <col min="14085" max="14088" width="8.21875" style="174" customWidth="1"/>
    <col min="14089" max="14336" width="8.88671875" style="174"/>
    <col min="14337" max="14337" width="4.6640625" style="174" customWidth="1"/>
    <col min="14338" max="14338" width="28.33203125" style="174" customWidth="1"/>
    <col min="14339" max="14340" width="3.6640625" style="174" customWidth="1"/>
    <col min="14341" max="14344" width="8.21875" style="174" customWidth="1"/>
    <col min="14345" max="14592" width="8.88671875" style="174"/>
    <col min="14593" max="14593" width="4.6640625" style="174" customWidth="1"/>
    <col min="14594" max="14594" width="28.33203125" style="174" customWidth="1"/>
    <col min="14595" max="14596" width="3.6640625" style="174" customWidth="1"/>
    <col min="14597" max="14600" width="8.21875" style="174" customWidth="1"/>
    <col min="14601" max="14848" width="8.88671875" style="174"/>
    <col min="14849" max="14849" width="4.6640625" style="174" customWidth="1"/>
    <col min="14850" max="14850" width="28.33203125" style="174" customWidth="1"/>
    <col min="14851" max="14852" width="3.6640625" style="174" customWidth="1"/>
    <col min="14853" max="14856" width="8.21875" style="174" customWidth="1"/>
    <col min="14857" max="15104" width="8.88671875" style="174"/>
    <col min="15105" max="15105" width="4.6640625" style="174" customWidth="1"/>
    <col min="15106" max="15106" width="28.33203125" style="174" customWidth="1"/>
    <col min="15107" max="15108" width="3.6640625" style="174" customWidth="1"/>
    <col min="15109" max="15112" width="8.21875" style="174" customWidth="1"/>
    <col min="15113" max="15360" width="8.88671875" style="174"/>
    <col min="15361" max="15361" width="4.6640625" style="174" customWidth="1"/>
    <col min="15362" max="15362" width="28.33203125" style="174" customWidth="1"/>
    <col min="15363" max="15364" width="3.6640625" style="174" customWidth="1"/>
    <col min="15365" max="15368" width="8.21875" style="174" customWidth="1"/>
    <col min="15369" max="15616" width="8.88671875" style="174"/>
    <col min="15617" max="15617" width="4.6640625" style="174" customWidth="1"/>
    <col min="15618" max="15618" width="28.33203125" style="174" customWidth="1"/>
    <col min="15619" max="15620" width="3.6640625" style="174" customWidth="1"/>
    <col min="15621" max="15624" width="8.21875" style="174" customWidth="1"/>
    <col min="15625" max="15872" width="8.88671875" style="174"/>
    <col min="15873" max="15873" width="4.6640625" style="174" customWidth="1"/>
    <col min="15874" max="15874" width="28.33203125" style="174" customWidth="1"/>
    <col min="15875" max="15876" width="3.6640625" style="174" customWidth="1"/>
    <col min="15877" max="15880" width="8.21875" style="174" customWidth="1"/>
    <col min="15881" max="16128" width="8.88671875" style="174"/>
    <col min="16129" max="16129" width="4.6640625" style="174" customWidth="1"/>
    <col min="16130" max="16130" width="28.33203125" style="174" customWidth="1"/>
    <col min="16131" max="16132" width="3.6640625" style="174" customWidth="1"/>
    <col min="16133" max="16136" width="8.21875" style="174" customWidth="1"/>
    <col min="16137" max="16384" width="8.88671875" style="174"/>
  </cols>
  <sheetData>
    <row r="1" spans="1:9" ht="17.25">
      <c r="A1" s="998" t="s">
        <v>3477</v>
      </c>
      <c r="B1" s="998"/>
      <c r="C1" s="998"/>
      <c r="D1" s="998"/>
      <c r="E1" s="998"/>
      <c r="F1" s="998"/>
      <c r="G1" s="998"/>
      <c r="H1" s="998"/>
    </row>
    <row r="2" spans="1:9" ht="17.25">
      <c r="A2" s="998" t="s">
        <v>3478</v>
      </c>
      <c r="B2" s="998"/>
      <c r="C2" s="998"/>
      <c r="D2" s="998"/>
      <c r="E2" s="998"/>
      <c r="F2" s="998"/>
      <c r="G2" s="998"/>
      <c r="H2" s="998"/>
    </row>
    <row r="3" spans="1:9" ht="7.9" customHeight="1">
      <c r="A3" s="175"/>
      <c r="B3" s="176"/>
      <c r="C3" s="177"/>
      <c r="D3" s="177"/>
      <c r="E3" s="177"/>
      <c r="F3" s="177"/>
      <c r="G3" s="177"/>
      <c r="H3" s="177"/>
    </row>
    <row r="4" spans="1:9" ht="19.899999999999999" customHeight="1">
      <c r="A4" s="999" t="s">
        <v>3479</v>
      </c>
      <c r="B4" s="999"/>
      <c r="C4" s="178"/>
      <c r="D4" s="178"/>
      <c r="E4" s="178"/>
      <c r="F4" s="178"/>
      <c r="G4" s="178"/>
      <c r="H4" s="178"/>
    </row>
    <row r="5" spans="1:9" ht="60" customHeight="1">
      <c r="A5" s="179"/>
      <c r="B5" s="1000" t="e">
        <f>#REF!</f>
        <v>#REF!</v>
      </c>
      <c r="C5" s="1000"/>
      <c r="D5" s="1000"/>
      <c r="E5" s="1000"/>
      <c r="F5" s="1000"/>
      <c r="G5" s="1000"/>
      <c r="H5" s="1000"/>
    </row>
    <row r="6" spans="1:9" s="181" customFormat="1" ht="7.9" customHeight="1">
      <c r="A6" s="180"/>
      <c r="B6" s="1001"/>
      <c r="C6" s="1001"/>
      <c r="D6" s="1001"/>
      <c r="E6" s="1001"/>
      <c r="F6" s="1001"/>
      <c r="G6" s="1001"/>
      <c r="H6" s="1001"/>
    </row>
    <row r="7" spans="1:9" s="181" customFormat="1" ht="25.15" customHeight="1">
      <c r="A7" s="1002" t="s">
        <v>3480</v>
      </c>
      <c r="B7" s="1002"/>
      <c r="C7" s="1002"/>
      <c r="D7" s="1002"/>
      <c r="E7" s="1002"/>
      <c r="F7" s="1002"/>
      <c r="G7" s="1002"/>
      <c r="H7" s="1002"/>
    </row>
    <row r="8" spans="1:9" s="186" customFormat="1" ht="39" customHeight="1">
      <c r="A8" s="182" t="s">
        <v>3481</v>
      </c>
      <c r="B8" s="183" t="s">
        <v>1449</v>
      </c>
      <c r="C8" s="1003" t="s">
        <v>838</v>
      </c>
      <c r="D8" s="1003"/>
      <c r="E8" s="184" t="s">
        <v>3482</v>
      </c>
      <c r="F8" s="184" t="s">
        <v>1261</v>
      </c>
      <c r="G8" s="184" t="s">
        <v>3483</v>
      </c>
      <c r="H8" s="185" t="s">
        <v>1720</v>
      </c>
    </row>
    <row r="9" spans="1:9" s="186" customFormat="1" ht="34.9" customHeight="1">
      <c r="A9" s="187">
        <v>1.1000000000000001</v>
      </c>
      <c r="B9" s="989" t="s">
        <v>3484</v>
      </c>
      <c r="C9" s="990"/>
      <c r="D9" s="990"/>
      <c r="E9" s="990"/>
      <c r="F9" s="990"/>
      <c r="G9" s="991"/>
      <c r="H9" s="188"/>
    </row>
    <row r="10" spans="1:9" s="186" customFormat="1" ht="19.899999999999999" customHeight="1">
      <c r="A10" s="187"/>
      <c r="B10" s="189" t="s">
        <v>3485</v>
      </c>
      <c r="C10" s="190"/>
      <c r="D10" s="190"/>
      <c r="E10" s="191"/>
      <c r="F10" s="191"/>
      <c r="G10" s="191"/>
      <c r="H10" s="188"/>
    </row>
    <row r="11" spans="1:9" s="186" customFormat="1" ht="19.899999999999999" customHeight="1">
      <c r="A11" s="187"/>
      <c r="B11" s="192" t="s">
        <v>3486</v>
      </c>
      <c r="C11" s="190">
        <v>1</v>
      </c>
      <c r="D11" s="190">
        <v>7</v>
      </c>
      <c r="E11" s="193">
        <v>1.95</v>
      </c>
      <c r="F11" s="193">
        <v>1.95</v>
      </c>
      <c r="G11" s="193">
        <v>2</v>
      </c>
      <c r="H11" s="194">
        <f>ROUND(PRODUCT(C11:G11),2)</f>
        <v>53.24</v>
      </c>
      <c r="I11" s="186" t="e">
        <f>D11+#REF!+#REF!+#REF!</f>
        <v>#REF!</v>
      </c>
    </row>
    <row r="12" spans="1:9" s="186" customFormat="1" ht="19.899999999999999" customHeight="1">
      <c r="A12" s="187"/>
      <c r="B12" s="192" t="s">
        <v>3487</v>
      </c>
      <c r="C12" s="190">
        <v>1</v>
      </c>
      <c r="D12" s="190">
        <v>1</v>
      </c>
      <c r="E12" s="193">
        <v>2.0499999999999998</v>
      </c>
      <c r="F12" s="193">
        <v>2.0499999999999998</v>
      </c>
      <c r="G12" s="193">
        <v>2</v>
      </c>
      <c r="H12" s="194">
        <f t="shared" ref="H12:H23" si="0">ROUND(PRODUCT(C12:G12),2)</f>
        <v>8.41</v>
      </c>
    </row>
    <row r="13" spans="1:9" s="186" customFormat="1" ht="19.899999999999999" customHeight="1">
      <c r="A13" s="187"/>
      <c r="B13" s="192" t="s">
        <v>3488</v>
      </c>
      <c r="C13" s="190">
        <v>1</v>
      </c>
      <c r="D13" s="190">
        <v>7</v>
      </c>
      <c r="E13" s="193">
        <v>2.4</v>
      </c>
      <c r="F13" s="193">
        <v>2.4</v>
      </c>
      <c r="G13" s="193">
        <v>2</v>
      </c>
      <c r="H13" s="194">
        <f t="shared" si="0"/>
        <v>80.64</v>
      </c>
    </row>
    <row r="14" spans="1:9" s="186" customFormat="1" ht="19.899999999999999" customHeight="1">
      <c r="A14" s="187"/>
      <c r="B14" s="232" t="s">
        <v>3598</v>
      </c>
      <c r="C14" s="190">
        <v>1</v>
      </c>
      <c r="D14" s="190">
        <v>3</v>
      </c>
      <c r="E14" s="193">
        <v>2.7</v>
      </c>
      <c r="F14" s="193">
        <v>2.7</v>
      </c>
      <c r="G14" s="193">
        <v>2</v>
      </c>
      <c r="H14" s="194">
        <f t="shared" si="0"/>
        <v>43.74</v>
      </c>
    </row>
    <row r="15" spans="1:9" s="186" customFormat="1" ht="19.899999999999999" customHeight="1">
      <c r="A15" s="187"/>
      <c r="B15" s="192" t="s">
        <v>3489</v>
      </c>
      <c r="C15" s="190">
        <v>1</v>
      </c>
      <c r="D15" s="190">
        <v>1</v>
      </c>
      <c r="E15" s="193">
        <v>3.5</v>
      </c>
      <c r="F15" s="193">
        <v>2.0499999999999998</v>
      </c>
      <c r="G15" s="193">
        <v>2</v>
      </c>
      <c r="H15" s="194">
        <f t="shared" si="0"/>
        <v>14.35</v>
      </c>
    </row>
    <row r="16" spans="1:9" s="186" customFormat="1" ht="19.899999999999999" customHeight="1">
      <c r="A16" s="187"/>
      <c r="B16" s="189" t="s">
        <v>3490</v>
      </c>
      <c r="C16" s="190"/>
      <c r="D16" s="190"/>
      <c r="E16" s="193"/>
      <c r="F16" s="193"/>
      <c r="G16" s="193"/>
      <c r="H16" s="194">
        <f t="shared" si="0"/>
        <v>0</v>
      </c>
    </row>
    <row r="17" spans="1:10" s="186" customFormat="1" ht="19.899999999999999" customHeight="1">
      <c r="A17" s="187"/>
      <c r="B17" s="192" t="s">
        <v>3491</v>
      </c>
      <c r="C17" s="190">
        <v>1</v>
      </c>
      <c r="D17" s="190">
        <v>1</v>
      </c>
      <c r="E17" s="193">
        <v>52.88</v>
      </c>
      <c r="F17" s="193">
        <v>0.38</v>
      </c>
      <c r="G17" s="193">
        <v>0.55000000000000004</v>
      </c>
      <c r="H17" s="194">
        <f t="shared" si="0"/>
        <v>11.05</v>
      </c>
    </row>
    <row r="18" spans="1:10" s="186" customFormat="1" ht="19.899999999999999" customHeight="1">
      <c r="A18" s="187"/>
      <c r="B18" s="192" t="s">
        <v>3492</v>
      </c>
      <c r="C18" s="190">
        <v>1</v>
      </c>
      <c r="D18" s="190">
        <v>1</v>
      </c>
      <c r="E18" s="193">
        <v>14.72</v>
      </c>
      <c r="F18" s="193">
        <v>0.38</v>
      </c>
      <c r="G18" s="193">
        <v>0.55000000000000004</v>
      </c>
      <c r="H18" s="194">
        <f t="shared" si="0"/>
        <v>3.08</v>
      </c>
    </row>
    <row r="19" spans="1:10" s="186" customFormat="1" ht="19.899999999999999" customHeight="1">
      <c r="A19" s="187"/>
      <c r="B19" s="192" t="s">
        <v>3493</v>
      </c>
      <c r="C19" s="190">
        <v>1</v>
      </c>
      <c r="D19" s="190">
        <v>1</v>
      </c>
      <c r="E19" s="193">
        <v>9.75</v>
      </c>
      <c r="F19" s="193">
        <v>0.38</v>
      </c>
      <c r="G19" s="193">
        <v>0.55000000000000004</v>
      </c>
      <c r="H19" s="194">
        <f t="shared" si="0"/>
        <v>2.04</v>
      </c>
    </row>
    <row r="20" spans="1:10" s="186" customFormat="1" ht="19.899999999999999" customHeight="1">
      <c r="A20" s="187"/>
      <c r="B20" s="192" t="s">
        <v>3494</v>
      </c>
      <c r="C20" s="190">
        <v>1</v>
      </c>
      <c r="D20" s="190">
        <v>2</v>
      </c>
      <c r="E20" s="193">
        <v>11.26</v>
      </c>
      <c r="F20" s="193">
        <v>0.38</v>
      </c>
      <c r="G20" s="193">
        <v>0.55000000000000004</v>
      </c>
      <c r="H20" s="194">
        <f t="shared" si="0"/>
        <v>4.71</v>
      </c>
    </row>
    <row r="21" spans="1:10" s="186" customFormat="1" ht="33" customHeight="1">
      <c r="A21" s="187"/>
      <c r="B21" s="192" t="s">
        <v>3495</v>
      </c>
      <c r="C21" s="190">
        <v>1</v>
      </c>
      <c r="D21" s="190">
        <v>2</v>
      </c>
      <c r="E21" s="193">
        <v>6.68</v>
      </c>
      <c r="F21" s="193">
        <v>0.38</v>
      </c>
      <c r="G21" s="193">
        <v>0.55000000000000004</v>
      </c>
      <c r="H21" s="194">
        <f t="shared" si="0"/>
        <v>2.79</v>
      </c>
    </row>
    <row r="22" spans="1:10" s="186" customFormat="1" ht="19.899999999999999" customHeight="1">
      <c r="A22" s="187"/>
      <c r="B22" s="192" t="s">
        <v>3496</v>
      </c>
      <c r="C22" s="190">
        <v>1</v>
      </c>
      <c r="D22" s="190">
        <v>1</v>
      </c>
      <c r="E22" s="193">
        <v>2.4</v>
      </c>
      <c r="F22" s="193">
        <v>0.38</v>
      </c>
      <c r="G22" s="193">
        <f>0.15+0.3+0.1</f>
        <v>0.55000000000000004</v>
      </c>
      <c r="H22" s="194">
        <f t="shared" si="0"/>
        <v>0.5</v>
      </c>
    </row>
    <row r="23" spans="1:10" s="186" customFormat="1" ht="19.899999999999999" customHeight="1">
      <c r="A23" s="187"/>
      <c r="B23" s="192" t="s">
        <v>3497</v>
      </c>
      <c r="C23" s="190">
        <v>1</v>
      </c>
      <c r="D23" s="190">
        <v>8</v>
      </c>
      <c r="E23" s="193">
        <v>1.06</v>
      </c>
      <c r="F23" s="193">
        <v>1.06</v>
      </c>
      <c r="G23" s="193">
        <v>1</v>
      </c>
      <c r="H23" s="194">
        <f t="shared" si="0"/>
        <v>8.99</v>
      </c>
    </row>
    <row r="24" spans="1:10" s="186" customFormat="1" ht="19.899999999999999" customHeight="1">
      <c r="A24" s="187"/>
      <c r="B24" s="189" t="s">
        <v>3498</v>
      </c>
      <c r="C24" s="190"/>
      <c r="D24" s="190"/>
      <c r="E24" s="193"/>
      <c r="F24" s="193"/>
      <c r="G24" s="193"/>
      <c r="H24" s="194"/>
    </row>
    <row r="25" spans="1:10" s="186" customFormat="1" ht="19.899999999999999" customHeight="1">
      <c r="A25" s="187"/>
      <c r="B25" s="192" t="s">
        <v>3499</v>
      </c>
      <c r="C25" s="190">
        <v>-1</v>
      </c>
      <c r="D25" s="190">
        <v>8</v>
      </c>
      <c r="E25" s="193">
        <v>0.23</v>
      </c>
      <c r="F25" s="193">
        <v>0.38</v>
      </c>
      <c r="G25" s="193">
        <v>0.55000000000000004</v>
      </c>
      <c r="H25" s="194">
        <f>ROUND(PRODUCT(C25:G25),2)</f>
        <v>-0.38</v>
      </c>
      <c r="I25" s="186" t="e">
        <f>D25+#REF!+#REF!+#REF!</f>
        <v>#REF!</v>
      </c>
    </row>
    <row r="26" spans="1:10" s="186" customFormat="1" ht="19.899999999999999" customHeight="1">
      <c r="A26" s="187"/>
      <c r="B26" s="192" t="s">
        <v>3500</v>
      </c>
      <c r="C26" s="190">
        <v>-1</v>
      </c>
      <c r="D26" s="190">
        <v>1</v>
      </c>
      <c r="E26" s="193">
        <v>0.23</v>
      </c>
      <c r="F26" s="193">
        <v>0.45</v>
      </c>
      <c r="G26" s="193">
        <v>0.55000000000000004</v>
      </c>
      <c r="H26" s="194">
        <f>ROUND(PRODUCT(C26:G26),2)</f>
        <v>-0.06</v>
      </c>
    </row>
    <row r="27" spans="1:10" s="186" customFormat="1" ht="19.899999999999999" customHeight="1">
      <c r="A27" s="187"/>
      <c r="B27" s="192" t="s">
        <v>3501</v>
      </c>
      <c r="C27" s="190">
        <v>-1</v>
      </c>
      <c r="D27" s="190">
        <v>8</v>
      </c>
      <c r="E27" s="193">
        <v>0.23</v>
      </c>
      <c r="F27" s="193">
        <v>0.45</v>
      </c>
      <c r="G27" s="193">
        <v>0.55000000000000004</v>
      </c>
      <c r="H27" s="194">
        <f>ROUND(PRODUCT(C27:G27),2)</f>
        <v>-0.46</v>
      </c>
    </row>
    <row r="28" spans="1:10" s="186" customFormat="1" ht="19.899999999999999" customHeight="1">
      <c r="A28" s="187"/>
      <c r="B28" s="192" t="s">
        <v>3502</v>
      </c>
      <c r="C28" s="190">
        <v>-1</v>
      </c>
      <c r="D28" s="233">
        <v>2</v>
      </c>
      <c r="E28" s="193">
        <v>0.23</v>
      </c>
      <c r="F28" s="193">
        <v>0.45</v>
      </c>
      <c r="G28" s="193">
        <v>0.55000000000000004</v>
      </c>
      <c r="H28" s="194">
        <f>ROUND(PRODUCT(C28:G28),2)</f>
        <v>-0.11</v>
      </c>
    </row>
    <row r="29" spans="1:10" s="237" customFormat="1" ht="19.899999999999999" customHeight="1">
      <c r="A29" s="234"/>
      <c r="B29" s="232" t="s">
        <v>3599</v>
      </c>
      <c r="C29" s="233">
        <v>-1</v>
      </c>
      <c r="D29" s="233">
        <v>1</v>
      </c>
      <c r="E29" s="235">
        <v>0.23</v>
      </c>
      <c r="F29" s="235">
        <v>0.6</v>
      </c>
      <c r="G29" s="235">
        <v>0.55000000000000004</v>
      </c>
      <c r="H29" s="236">
        <f>ROUND(PRODUCT(C29:G29),2)</f>
        <v>-0.08</v>
      </c>
    </row>
    <row r="30" spans="1:10" s="186" customFormat="1" ht="19.899999999999999" customHeight="1">
      <c r="A30" s="187"/>
      <c r="B30" s="192"/>
      <c r="C30" s="190"/>
      <c r="D30" s="190"/>
      <c r="E30" s="193"/>
      <c r="F30" s="193"/>
      <c r="G30" s="193"/>
      <c r="H30" s="194">
        <f>J31-I31</f>
        <v>0.05</v>
      </c>
    </row>
    <row r="31" spans="1:10" s="186" customFormat="1" ht="19.899999999999999" customHeight="1">
      <c r="A31" s="187"/>
      <c r="B31" s="192"/>
      <c r="C31" s="190"/>
      <c r="D31" s="190"/>
      <c r="E31" s="193"/>
      <c r="F31" s="193"/>
      <c r="G31" s="193" t="s">
        <v>1827</v>
      </c>
      <c r="H31" s="194">
        <f>J31</f>
        <v>232.5</v>
      </c>
      <c r="I31" s="186">
        <f>SUM(H11:H29)</f>
        <v>232.45</v>
      </c>
      <c r="J31" s="186">
        <f>ROUNDUP(I31,1)</f>
        <v>232.5</v>
      </c>
    </row>
    <row r="32" spans="1:10" s="199" customFormat="1" ht="19.899999999999999" customHeight="1">
      <c r="A32" s="195"/>
      <c r="B32" s="189"/>
      <c r="C32" s="196"/>
      <c r="D32" s="196"/>
      <c r="E32" s="184"/>
      <c r="F32" s="197" t="s">
        <v>2560</v>
      </c>
      <c r="G32" s="197">
        <f>H31</f>
        <v>232.5</v>
      </c>
      <c r="H32" s="198" t="s">
        <v>1749</v>
      </c>
    </row>
    <row r="33" spans="1:10" s="186" customFormat="1" ht="19.899999999999999" customHeight="1">
      <c r="A33" s="187"/>
      <c r="B33" s="189" t="s">
        <v>3503</v>
      </c>
      <c r="C33" s="190"/>
      <c r="D33" s="190"/>
      <c r="E33" s="191"/>
      <c r="F33" s="191"/>
      <c r="G33" s="191"/>
      <c r="H33" s="188"/>
    </row>
    <row r="34" spans="1:10" s="186" customFormat="1" ht="19.899999999999999" customHeight="1">
      <c r="A34" s="187"/>
      <c r="B34" s="192" t="s">
        <v>3486</v>
      </c>
      <c r="C34" s="190">
        <v>1</v>
      </c>
      <c r="D34" s="190">
        <v>7</v>
      </c>
      <c r="E34" s="193">
        <v>1.95</v>
      </c>
      <c r="F34" s="193">
        <f>E34</f>
        <v>1.95</v>
      </c>
      <c r="G34" s="193">
        <v>0.5</v>
      </c>
      <c r="H34" s="194">
        <f>ROUND(PRODUCT(C34:G34),2)</f>
        <v>13.31</v>
      </c>
      <c r="I34" s="186" t="e">
        <f>D34+#REF!+#REF!+#REF!</f>
        <v>#REF!</v>
      </c>
    </row>
    <row r="35" spans="1:10" s="186" customFormat="1" ht="19.899999999999999" customHeight="1">
      <c r="A35" s="187"/>
      <c r="B35" s="192" t="s">
        <v>3487</v>
      </c>
      <c r="C35" s="190">
        <v>1</v>
      </c>
      <c r="D35" s="190">
        <v>1</v>
      </c>
      <c r="E35" s="193">
        <v>2.0499999999999998</v>
      </c>
      <c r="F35" s="193">
        <v>2.0499999999999998</v>
      </c>
      <c r="G35" s="193">
        <v>0.5</v>
      </c>
      <c r="H35" s="194">
        <f>ROUND(PRODUCT(C35:G35),2)</f>
        <v>2.1</v>
      </c>
    </row>
    <row r="36" spans="1:10" s="186" customFormat="1" ht="19.899999999999999" customHeight="1">
      <c r="A36" s="187"/>
      <c r="B36" s="192" t="s">
        <v>3488</v>
      </c>
      <c r="C36" s="190">
        <v>1</v>
      </c>
      <c r="D36" s="190">
        <v>7</v>
      </c>
      <c r="E36" s="193">
        <v>2.4</v>
      </c>
      <c r="F36" s="193">
        <v>2.4</v>
      </c>
      <c r="G36" s="193">
        <v>0.5</v>
      </c>
      <c r="H36" s="194">
        <f>ROUND(PRODUCT(C36:G36),2)</f>
        <v>20.16</v>
      </c>
    </row>
    <row r="37" spans="1:10" s="186" customFormat="1" ht="19.899999999999999" customHeight="1">
      <c r="A37" s="187"/>
      <c r="B37" s="232" t="s">
        <v>3598</v>
      </c>
      <c r="C37" s="190">
        <v>1</v>
      </c>
      <c r="D37" s="190">
        <v>3</v>
      </c>
      <c r="E37" s="193">
        <v>2.7</v>
      </c>
      <c r="F37" s="193">
        <v>2.7</v>
      </c>
      <c r="G37" s="193">
        <v>0.5</v>
      </c>
      <c r="H37" s="194">
        <f>ROUND(PRODUCT(C37:G37),2)</f>
        <v>10.94</v>
      </c>
    </row>
    <row r="38" spans="1:10" s="186" customFormat="1" ht="19.899999999999999" customHeight="1">
      <c r="A38" s="187"/>
      <c r="B38" s="192" t="s">
        <v>3489</v>
      </c>
      <c r="C38" s="190">
        <v>1</v>
      </c>
      <c r="D38" s="190">
        <v>1</v>
      </c>
      <c r="E38" s="193">
        <v>3.5</v>
      </c>
      <c r="F38" s="193">
        <v>2.0499999999999998</v>
      </c>
      <c r="G38" s="193">
        <v>0.5</v>
      </c>
      <c r="H38" s="194">
        <f>ROUND(PRODUCT(C38:G38),2)</f>
        <v>3.59</v>
      </c>
    </row>
    <row r="39" spans="1:10" s="186" customFormat="1" ht="19.899999999999999" customHeight="1">
      <c r="A39" s="187"/>
      <c r="B39" s="192"/>
      <c r="C39" s="190"/>
      <c r="D39" s="190"/>
      <c r="E39" s="193"/>
      <c r="F39" s="193"/>
      <c r="G39" s="193"/>
      <c r="H39" s="194">
        <f>J40-I40</f>
        <v>0</v>
      </c>
    </row>
    <row r="40" spans="1:10" s="186" customFormat="1" ht="19.899999999999999" customHeight="1">
      <c r="A40" s="187"/>
      <c r="B40" s="192"/>
      <c r="C40" s="190"/>
      <c r="D40" s="190"/>
      <c r="E40" s="193"/>
      <c r="F40" s="193"/>
      <c r="G40" s="193" t="s">
        <v>1827</v>
      </c>
      <c r="H40" s="194">
        <f>J40</f>
        <v>50.1</v>
      </c>
      <c r="I40" s="186">
        <f>SUM(H34:H38)</f>
        <v>50.1</v>
      </c>
      <c r="J40" s="186">
        <f>ROUNDUP(I40,1)</f>
        <v>50.1</v>
      </c>
    </row>
    <row r="41" spans="1:10" s="199" customFormat="1" ht="19.899999999999999" customHeight="1">
      <c r="A41" s="195"/>
      <c r="B41" s="189"/>
      <c r="C41" s="196"/>
      <c r="D41" s="196"/>
      <c r="E41" s="184"/>
      <c r="F41" s="197" t="s">
        <v>2560</v>
      </c>
      <c r="G41" s="197">
        <f>H40</f>
        <v>50.1</v>
      </c>
      <c r="H41" s="198" t="s">
        <v>1749</v>
      </c>
    </row>
    <row r="42" spans="1:10" s="186" customFormat="1" ht="19.899999999999999" customHeight="1">
      <c r="A42" s="187">
        <v>2.1</v>
      </c>
      <c r="B42" s="989" t="s">
        <v>3504</v>
      </c>
      <c r="C42" s="990"/>
      <c r="D42" s="990"/>
      <c r="E42" s="990"/>
      <c r="F42" s="990"/>
      <c r="G42" s="991"/>
      <c r="H42" s="188" t="s">
        <v>790</v>
      </c>
    </row>
    <row r="43" spans="1:10" s="186" customFormat="1" ht="19.899999999999999" customHeight="1">
      <c r="A43" s="187"/>
      <c r="B43" s="189" t="s">
        <v>3505</v>
      </c>
      <c r="C43" s="190"/>
      <c r="D43" s="190"/>
      <c r="E43" s="191"/>
      <c r="F43" s="191"/>
      <c r="G43" s="191"/>
      <c r="H43" s="188"/>
    </row>
    <row r="44" spans="1:10" s="186" customFormat="1" ht="19.899999999999999" customHeight="1">
      <c r="A44" s="187"/>
      <c r="B44" s="192" t="s">
        <v>3506</v>
      </c>
      <c r="C44" s="190">
        <v>1</v>
      </c>
      <c r="D44" s="190">
        <v>1</v>
      </c>
      <c r="E44" s="193">
        <v>4.3499999999999996</v>
      </c>
      <c r="F44" s="193">
        <v>3</v>
      </c>
      <c r="G44" s="193">
        <v>0.15</v>
      </c>
      <c r="H44" s="194">
        <f>ROUND(PRODUCT(C44:G44),2)</f>
        <v>1.96</v>
      </c>
    </row>
    <row r="45" spans="1:10" s="186" customFormat="1" ht="19.899999999999999" customHeight="1">
      <c r="A45" s="187"/>
      <c r="B45" s="192" t="s">
        <v>3507</v>
      </c>
      <c r="C45" s="190">
        <v>1</v>
      </c>
      <c r="D45" s="190">
        <v>1</v>
      </c>
      <c r="E45" s="193">
        <v>4.3499999999999996</v>
      </c>
      <c r="F45" s="193">
        <v>2.4</v>
      </c>
      <c r="G45" s="193">
        <v>0.15</v>
      </c>
      <c r="H45" s="194">
        <f t="shared" ref="H45:H53" si="1">ROUND(PRODUCT(C45:G45),2)</f>
        <v>1.57</v>
      </c>
    </row>
    <row r="46" spans="1:10" s="186" customFormat="1" ht="19.899999999999999" customHeight="1">
      <c r="A46" s="187"/>
      <c r="B46" s="192" t="s">
        <v>3508</v>
      </c>
      <c r="C46" s="190">
        <v>1</v>
      </c>
      <c r="D46" s="190">
        <v>1</v>
      </c>
      <c r="E46" s="193">
        <v>4.3499999999999996</v>
      </c>
      <c r="F46" s="193">
        <v>3.9</v>
      </c>
      <c r="G46" s="193">
        <v>0.15</v>
      </c>
      <c r="H46" s="194">
        <f t="shared" si="1"/>
        <v>2.54</v>
      </c>
    </row>
    <row r="47" spans="1:10" s="186" customFormat="1" ht="19.899999999999999" customHeight="1">
      <c r="A47" s="187"/>
      <c r="B47" s="192" t="s">
        <v>3509</v>
      </c>
      <c r="C47" s="190">
        <v>1</v>
      </c>
      <c r="D47" s="190">
        <v>1</v>
      </c>
      <c r="E47" s="193">
        <v>4.3499999999999996</v>
      </c>
      <c r="F47" s="193">
        <v>1.5</v>
      </c>
      <c r="G47" s="193">
        <v>0.15</v>
      </c>
      <c r="H47" s="194">
        <f t="shared" si="1"/>
        <v>0.98</v>
      </c>
    </row>
    <row r="48" spans="1:10" s="186" customFormat="1" ht="19.899999999999999" customHeight="1">
      <c r="A48" s="187"/>
      <c r="B48" s="192" t="s">
        <v>3510</v>
      </c>
      <c r="C48" s="190">
        <v>1</v>
      </c>
      <c r="D48" s="190">
        <v>1</v>
      </c>
      <c r="E48" s="193">
        <v>2.1</v>
      </c>
      <c r="F48" s="193">
        <v>5.63</v>
      </c>
      <c r="G48" s="193">
        <v>0.15</v>
      </c>
      <c r="H48" s="194">
        <f t="shared" si="1"/>
        <v>1.77</v>
      </c>
    </row>
    <row r="49" spans="1:10" s="186" customFormat="1" ht="19.899999999999999" customHeight="1">
      <c r="A49" s="187"/>
      <c r="B49" s="192" t="s">
        <v>3511</v>
      </c>
      <c r="C49" s="190">
        <v>1</v>
      </c>
      <c r="D49" s="190">
        <v>1</v>
      </c>
      <c r="E49" s="193">
        <v>4.3499999999999996</v>
      </c>
      <c r="F49" s="193">
        <v>5.63</v>
      </c>
      <c r="G49" s="193">
        <v>0.15</v>
      </c>
      <c r="H49" s="194">
        <f t="shared" si="1"/>
        <v>3.67</v>
      </c>
    </row>
    <row r="50" spans="1:10" s="186" customFormat="1" ht="19.899999999999999" customHeight="1">
      <c r="A50" s="187"/>
      <c r="B50" s="192" t="s">
        <v>3511</v>
      </c>
      <c r="C50" s="190">
        <v>1</v>
      </c>
      <c r="D50" s="190">
        <v>1</v>
      </c>
      <c r="E50" s="193">
        <v>4.3499999999999996</v>
      </c>
      <c r="F50" s="193">
        <v>5.63</v>
      </c>
      <c r="G50" s="193">
        <v>0.15</v>
      </c>
      <c r="H50" s="194">
        <f t="shared" si="1"/>
        <v>3.67</v>
      </c>
    </row>
    <row r="51" spans="1:10" s="186" customFormat="1" ht="19.899999999999999" customHeight="1">
      <c r="A51" s="187"/>
      <c r="B51" s="192" t="s">
        <v>3512</v>
      </c>
      <c r="C51" s="190">
        <v>1</v>
      </c>
      <c r="D51" s="190">
        <v>1</v>
      </c>
      <c r="E51" s="193">
        <v>6.68</v>
      </c>
      <c r="F51" s="193">
        <v>3</v>
      </c>
      <c r="G51" s="193">
        <v>0.15</v>
      </c>
      <c r="H51" s="194">
        <f t="shared" si="1"/>
        <v>3.01</v>
      </c>
    </row>
    <row r="52" spans="1:10" s="186" customFormat="1" ht="19.899999999999999" customHeight="1">
      <c r="A52" s="187"/>
      <c r="B52" s="192" t="s">
        <v>3513</v>
      </c>
      <c r="C52" s="190">
        <v>1</v>
      </c>
      <c r="D52" s="190">
        <v>1</v>
      </c>
      <c r="E52" s="193">
        <v>4.3499999999999996</v>
      </c>
      <c r="F52" s="193">
        <v>3</v>
      </c>
      <c r="G52" s="193">
        <v>0.15</v>
      </c>
      <c r="H52" s="194">
        <f t="shared" si="1"/>
        <v>1.96</v>
      </c>
    </row>
    <row r="53" spans="1:10" s="186" customFormat="1" ht="19.899999999999999" customHeight="1">
      <c r="A53" s="187"/>
      <c r="B53" s="192" t="s">
        <v>3514</v>
      </c>
      <c r="C53" s="190">
        <v>1</v>
      </c>
      <c r="D53" s="190">
        <v>1</v>
      </c>
      <c r="E53" s="193">
        <v>2.33</v>
      </c>
      <c r="F53" s="193">
        <v>1.5</v>
      </c>
      <c r="G53" s="193">
        <v>0.15</v>
      </c>
      <c r="H53" s="194">
        <f t="shared" si="1"/>
        <v>0.52</v>
      </c>
    </row>
    <row r="54" spans="1:10" s="186" customFormat="1" ht="19.899999999999999" customHeight="1">
      <c r="A54" s="187"/>
      <c r="B54" s="192"/>
      <c r="C54" s="190"/>
      <c r="D54" s="190"/>
      <c r="E54" s="193"/>
      <c r="F54" s="193"/>
      <c r="G54" s="193"/>
      <c r="H54" s="194">
        <f>J55-I55</f>
        <v>0.05</v>
      </c>
    </row>
    <row r="55" spans="1:10" s="186" customFormat="1" ht="19.899999999999999" customHeight="1">
      <c r="A55" s="187"/>
      <c r="B55" s="192"/>
      <c r="C55" s="190"/>
      <c r="D55" s="190"/>
      <c r="E55" s="193"/>
      <c r="F55" s="193"/>
      <c r="G55" s="193" t="s">
        <v>1827</v>
      </c>
      <c r="H55" s="194">
        <f>J55</f>
        <v>21.7</v>
      </c>
      <c r="I55" s="186">
        <f>SUM(H44:H53)</f>
        <v>21.65</v>
      </c>
      <c r="J55" s="186">
        <f>ROUNDUP(I55,1)</f>
        <v>21.7</v>
      </c>
    </row>
    <row r="56" spans="1:10" s="199" customFormat="1" ht="19.899999999999999" customHeight="1">
      <c r="A56" s="195"/>
      <c r="B56" s="189"/>
      <c r="C56" s="196"/>
      <c r="D56" s="196"/>
      <c r="E56" s="184"/>
      <c r="F56" s="197" t="s">
        <v>2560</v>
      </c>
      <c r="G56" s="197">
        <f>H55</f>
        <v>21.7</v>
      </c>
      <c r="H56" s="198" t="s">
        <v>1749</v>
      </c>
    </row>
    <row r="57" spans="1:10" s="186" customFormat="1" ht="19.899999999999999" customHeight="1">
      <c r="A57" s="187">
        <v>3.1</v>
      </c>
      <c r="B57" s="989" t="s">
        <v>3515</v>
      </c>
      <c r="C57" s="990"/>
      <c r="D57" s="990"/>
      <c r="E57" s="990"/>
      <c r="F57" s="990"/>
      <c r="G57" s="991"/>
      <c r="H57" s="188" t="s">
        <v>790</v>
      </c>
    </row>
    <row r="58" spans="1:10" s="186" customFormat="1" ht="19.899999999999999" customHeight="1">
      <c r="A58" s="187"/>
      <c r="B58" s="189" t="s">
        <v>3516</v>
      </c>
      <c r="C58" s="190"/>
      <c r="D58" s="190"/>
      <c r="E58" s="193"/>
      <c r="F58" s="193"/>
      <c r="G58" s="193"/>
      <c r="H58" s="194">
        <f t="shared" ref="H58:H71" si="2">ROUND(PRODUCT(C58:G58),2)</f>
        <v>0</v>
      </c>
    </row>
    <row r="59" spans="1:10" s="186" customFormat="1" ht="19.899999999999999" customHeight="1">
      <c r="A59" s="187"/>
      <c r="B59" s="192" t="s">
        <v>3486</v>
      </c>
      <c r="C59" s="190">
        <v>1</v>
      </c>
      <c r="D59" s="190">
        <v>7</v>
      </c>
      <c r="E59" s="193">
        <v>1.95</v>
      </c>
      <c r="F59" s="193">
        <f>E59</f>
        <v>1.95</v>
      </c>
      <c r="G59" s="193">
        <v>0.1</v>
      </c>
      <c r="H59" s="194">
        <f t="shared" si="2"/>
        <v>2.66</v>
      </c>
      <c r="I59" s="186" t="e">
        <f>D59+#REF!+#REF!+#REF!</f>
        <v>#REF!</v>
      </c>
    </row>
    <row r="60" spans="1:10" s="186" customFormat="1" ht="19.899999999999999" customHeight="1">
      <c r="A60" s="187"/>
      <c r="B60" s="192" t="s">
        <v>3487</v>
      </c>
      <c r="C60" s="190">
        <v>1</v>
      </c>
      <c r="D60" s="190">
        <v>1</v>
      </c>
      <c r="E60" s="193">
        <v>2.0499999999999998</v>
      </c>
      <c r="F60" s="193">
        <v>2.0499999999999998</v>
      </c>
      <c r="G60" s="193">
        <v>0.1</v>
      </c>
      <c r="H60" s="194">
        <f t="shared" si="2"/>
        <v>0.42</v>
      </c>
    </row>
    <row r="61" spans="1:10" s="186" customFormat="1" ht="19.899999999999999" customHeight="1">
      <c r="A61" s="187"/>
      <c r="B61" s="192" t="s">
        <v>3488</v>
      </c>
      <c r="C61" s="190">
        <v>1</v>
      </c>
      <c r="D61" s="190">
        <v>7</v>
      </c>
      <c r="E61" s="193">
        <v>2.4</v>
      </c>
      <c r="F61" s="193">
        <v>2.4</v>
      </c>
      <c r="G61" s="193">
        <v>0.1</v>
      </c>
      <c r="H61" s="194">
        <f t="shared" si="2"/>
        <v>4.03</v>
      </c>
    </row>
    <row r="62" spans="1:10" s="186" customFormat="1" ht="19.899999999999999" customHeight="1">
      <c r="A62" s="187"/>
      <c r="B62" s="232" t="s">
        <v>3598</v>
      </c>
      <c r="C62" s="190">
        <v>1</v>
      </c>
      <c r="D62" s="190">
        <v>3</v>
      </c>
      <c r="E62" s="193">
        <v>2.7</v>
      </c>
      <c r="F62" s="193">
        <v>2.7</v>
      </c>
      <c r="G62" s="193">
        <v>0.1</v>
      </c>
      <c r="H62" s="194">
        <f t="shared" si="2"/>
        <v>2.19</v>
      </c>
    </row>
    <row r="63" spans="1:10" s="186" customFormat="1" ht="19.899999999999999" customHeight="1">
      <c r="A63" s="187"/>
      <c r="B63" s="192" t="s">
        <v>3489</v>
      </c>
      <c r="C63" s="190">
        <v>1</v>
      </c>
      <c r="D63" s="190">
        <v>1</v>
      </c>
      <c r="E63" s="193">
        <v>3.5</v>
      </c>
      <c r="F63" s="193">
        <v>2.0499999999999998</v>
      </c>
      <c r="G63" s="193">
        <v>0.1</v>
      </c>
      <c r="H63" s="194">
        <f t="shared" si="2"/>
        <v>0.72</v>
      </c>
    </row>
    <row r="64" spans="1:10" s="186" customFormat="1" ht="19.899999999999999" customHeight="1">
      <c r="A64" s="187"/>
      <c r="B64" s="192" t="s">
        <v>3497</v>
      </c>
      <c r="C64" s="190">
        <v>1</v>
      </c>
      <c r="D64" s="190">
        <v>8</v>
      </c>
      <c r="E64" s="193">
        <v>1.06</v>
      </c>
      <c r="F64" s="193">
        <v>1.06</v>
      </c>
      <c r="G64" s="193">
        <v>0.1</v>
      </c>
      <c r="H64" s="194">
        <f>ROUND(PRODUCT(C64:G64),2)</f>
        <v>0.9</v>
      </c>
    </row>
    <row r="65" spans="1:10" s="186" customFormat="1" ht="19.899999999999999" customHeight="1">
      <c r="A65" s="187"/>
      <c r="B65" s="189" t="s">
        <v>3517</v>
      </c>
      <c r="C65" s="190"/>
      <c r="D65" s="190"/>
      <c r="E65" s="187"/>
      <c r="F65" s="187"/>
      <c r="G65" s="193"/>
      <c r="H65" s="194">
        <f t="shared" si="2"/>
        <v>0</v>
      </c>
    </row>
    <row r="66" spans="1:10" s="186" customFormat="1" ht="19.899999999999999" customHeight="1">
      <c r="A66" s="187"/>
      <c r="B66" s="192" t="s">
        <v>3491</v>
      </c>
      <c r="C66" s="190">
        <v>1</v>
      </c>
      <c r="D66" s="190">
        <v>1</v>
      </c>
      <c r="E66" s="193">
        <v>52.88</v>
      </c>
      <c r="F66" s="193">
        <v>0.38</v>
      </c>
      <c r="G66" s="193">
        <v>0.1</v>
      </c>
      <c r="H66" s="194">
        <f t="shared" si="2"/>
        <v>2.0099999999999998</v>
      </c>
    </row>
    <row r="67" spans="1:10" s="186" customFormat="1" ht="19.899999999999999" customHeight="1">
      <c r="A67" s="187"/>
      <c r="B67" s="192" t="s">
        <v>3492</v>
      </c>
      <c r="C67" s="190">
        <v>1</v>
      </c>
      <c r="D67" s="190">
        <v>1</v>
      </c>
      <c r="E67" s="193">
        <v>14.72</v>
      </c>
      <c r="F67" s="193">
        <v>0.38</v>
      </c>
      <c r="G67" s="193">
        <f>G66</f>
        <v>0.1</v>
      </c>
      <c r="H67" s="194">
        <f t="shared" si="2"/>
        <v>0.56000000000000005</v>
      </c>
    </row>
    <row r="68" spans="1:10" s="186" customFormat="1" ht="19.899999999999999" customHeight="1">
      <c r="A68" s="187"/>
      <c r="B68" s="192" t="s">
        <v>3493</v>
      </c>
      <c r="C68" s="190">
        <v>1</v>
      </c>
      <c r="D68" s="190">
        <v>1</v>
      </c>
      <c r="E68" s="193">
        <v>9.75</v>
      </c>
      <c r="F68" s="193">
        <v>0.38</v>
      </c>
      <c r="G68" s="193">
        <f>G67</f>
        <v>0.1</v>
      </c>
      <c r="H68" s="194">
        <f t="shared" si="2"/>
        <v>0.37</v>
      </c>
    </row>
    <row r="69" spans="1:10" s="186" customFormat="1" ht="19.899999999999999" customHeight="1">
      <c r="A69" s="187"/>
      <c r="B69" s="192" t="s">
        <v>3494</v>
      </c>
      <c r="C69" s="190">
        <v>1</v>
      </c>
      <c r="D69" s="190">
        <v>2</v>
      </c>
      <c r="E69" s="193">
        <v>11.26</v>
      </c>
      <c r="F69" s="193">
        <v>0.38</v>
      </c>
      <c r="G69" s="193">
        <f>G68</f>
        <v>0.1</v>
      </c>
      <c r="H69" s="194">
        <f t="shared" si="2"/>
        <v>0.86</v>
      </c>
    </row>
    <row r="70" spans="1:10" s="186" customFormat="1" ht="33" customHeight="1">
      <c r="A70" s="187"/>
      <c r="B70" s="192" t="s">
        <v>3495</v>
      </c>
      <c r="C70" s="190">
        <v>1</v>
      </c>
      <c r="D70" s="190">
        <v>2</v>
      </c>
      <c r="E70" s="193">
        <v>6.68</v>
      </c>
      <c r="F70" s="193">
        <v>0.38</v>
      </c>
      <c r="G70" s="193">
        <f>G69</f>
        <v>0.1</v>
      </c>
      <c r="H70" s="194">
        <f t="shared" si="2"/>
        <v>0.51</v>
      </c>
    </row>
    <row r="71" spans="1:10" s="186" customFormat="1" ht="19.899999999999999" customHeight="1">
      <c r="A71" s="187"/>
      <c r="B71" s="192" t="s">
        <v>3496</v>
      </c>
      <c r="C71" s="190">
        <v>1</v>
      </c>
      <c r="D71" s="190">
        <v>1</v>
      </c>
      <c r="E71" s="193">
        <v>2.4</v>
      </c>
      <c r="F71" s="193">
        <v>0.38</v>
      </c>
      <c r="G71" s="193">
        <f>G70</f>
        <v>0.1</v>
      </c>
      <c r="H71" s="194">
        <f t="shared" si="2"/>
        <v>0.09</v>
      </c>
    </row>
    <row r="72" spans="1:10" s="186" customFormat="1" ht="19.899999999999999" customHeight="1">
      <c r="A72" s="187"/>
      <c r="B72" s="189" t="s">
        <v>3498</v>
      </c>
      <c r="C72" s="190"/>
      <c r="D72" s="190"/>
      <c r="E72" s="193"/>
      <c r="F72" s="193"/>
      <c r="G72" s="193"/>
      <c r="H72" s="194"/>
    </row>
    <row r="73" spans="1:10" s="186" customFormat="1" ht="19.899999999999999" customHeight="1">
      <c r="A73" s="187"/>
      <c r="B73" s="192" t="s">
        <v>3499</v>
      </c>
      <c r="C73" s="190">
        <v>-1</v>
      </c>
      <c r="D73" s="190">
        <v>8</v>
      </c>
      <c r="E73" s="193">
        <v>0.23</v>
      </c>
      <c r="F73" s="193">
        <v>0.38</v>
      </c>
      <c r="G73" s="193">
        <v>0.1</v>
      </c>
      <c r="H73" s="194">
        <f>ROUND(PRODUCT(C73:G73),2)</f>
        <v>-7.0000000000000007E-2</v>
      </c>
      <c r="I73" s="186" t="e">
        <f>D73+#REF!+#REF!+#REF!</f>
        <v>#REF!</v>
      </c>
    </row>
    <row r="74" spans="1:10" s="186" customFormat="1" ht="19.899999999999999" customHeight="1">
      <c r="A74" s="187"/>
      <c r="B74" s="192" t="s">
        <v>3500</v>
      </c>
      <c r="C74" s="190">
        <v>-1</v>
      </c>
      <c r="D74" s="190">
        <v>1</v>
      </c>
      <c r="E74" s="193">
        <v>0.23</v>
      </c>
      <c r="F74" s="193">
        <v>0.45</v>
      </c>
      <c r="G74" s="193">
        <f>G73</f>
        <v>0.1</v>
      </c>
      <c r="H74" s="194">
        <f>ROUND(PRODUCT(C74:G74),2)</f>
        <v>-0.01</v>
      </c>
    </row>
    <row r="75" spans="1:10" s="186" customFormat="1" ht="19.899999999999999" customHeight="1">
      <c r="A75" s="187"/>
      <c r="B75" s="192" t="s">
        <v>3501</v>
      </c>
      <c r="C75" s="190">
        <v>-1</v>
      </c>
      <c r="D75" s="190">
        <v>8</v>
      </c>
      <c r="E75" s="193">
        <v>0.23</v>
      </c>
      <c r="F75" s="193">
        <v>0.45</v>
      </c>
      <c r="G75" s="193">
        <f>G74</f>
        <v>0.1</v>
      </c>
      <c r="H75" s="194">
        <f>ROUND(PRODUCT(C75:G75),2)</f>
        <v>-0.08</v>
      </c>
    </row>
    <row r="76" spans="1:10" s="186" customFormat="1" ht="19.899999999999999" customHeight="1">
      <c r="A76" s="187"/>
      <c r="B76" s="192" t="s">
        <v>3502</v>
      </c>
      <c r="C76" s="190">
        <v>-1</v>
      </c>
      <c r="D76" s="233">
        <v>2</v>
      </c>
      <c r="E76" s="193">
        <v>0.23</v>
      </c>
      <c r="F76" s="193">
        <v>0.45</v>
      </c>
      <c r="G76" s="193">
        <f>G75</f>
        <v>0.1</v>
      </c>
      <c r="H76" s="194">
        <f>ROUND(PRODUCT(C76:G76),2)</f>
        <v>-0.02</v>
      </c>
    </row>
    <row r="77" spans="1:10" s="237" customFormat="1" ht="19.899999999999999" customHeight="1">
      <c r="A77" s="234"/>
      <c r="B77" s="232" t="s">
        <v>3599</v>
      </c>
      <c r="C77" s="233">
        <v>-1</v>
      </c>
      <c r="D77" s="233">
        <v>1</v>
      </c>
      <c r="E77" s="235">
        <v>0.23</v>
      </c>
      <c r="F77" s="235">
        <v>0.6</v>
      </c>
      <c r="G77" s="235">
        <f>G76</f>
        <v>0.1</v>
      </c>
      <c r="H77" s="236">
        <f>ROUND(PRODUCT(C77:G77),2)</f>
        <v>-0.01</v>
      </c>
    </row>
    <row r="78" spans="1:10" s="186" customFormat="1" ht="19.899999999999999" customHeight="1">
      <c r="A78" s="187"/>
      <c r="B78" s="192"/>
      <c r="C78" s="190"/>
      <c r="D78" s="190"/>
      <c r="E78" s="187"/>
      <c r="F78" s="193"/>
      <c r="G78" s="193"/>
      <c r="H78" s="194">
        <f>J79-I79</f>
        <v>7.0000000000000007E-2</v>
      </c>
    </row>
    <row r="79" spans="1:10" s="186" customFormat="1" ht="19.899999999999999" customHeight="1">
      <c r="A79" s="187"/>
      <c r="B79" s="192"/>
      <c r="C79" s="190"/>
      <c r="D79" s="190"/>
      <c r="E79" s="193"/>
      <c r="F79" s="193"/>
      <c r="G79" s="193" t="s">
        <v>1827</v>
      </c>
      <c r="H79" s="194">
        <f>J79</f>
        <v>15.2</v>
      </c>
      <c r="I79" s="186">
        <f>SUM(H58:H77)</f>
        <v>15.13</v>
      </c>
      <c r="J79" s="186">
        <f>ROUNDUP(I79,1)</f>
        <v>15.2</v>
      </c>
    </row>
    <row r="80" spans="1:10" s="199" customFormat="1" ht="19.899999999999999" customHeight="1">
      <c r="A80" s="195"/>
      <c r="B80" s="189"/>
      <c r="C80" s="196"/>
      <c r="D80" s="196"/>
      <c r="E80" s="184"/>
      <c r="F80" s="197" t="s">
        <v>2560</v>
      </c>
      <c r="G80" s="197">
        <f>H79</f>
        <v>15.2</v>
      </c>
      <c r="H80" s="198" t="s">
        <v>1749</v>
      </c>
    </row>
    <row r="81" spans="1:10" ht="19.899999999999999" customHeight="1">
      <c r="A81" s="200" t="s">
        <v>3518</v>
      </c>
      <c r="B81" s="995" t="s">
        <v>3519</v>
      </c>
      <c r="C81" s="996"/>
      <c r="D81" s="996"/>
      <c r="E81" s="996"/>
      <c r="F81" s="996"/>
      <c r="G81" s="997"/>
      <c r="H81" s="201"/>
    </row>
    <row r="82" spans="1:10" s="186" customFormat="1" ht="19.899999999999999" customHeight="1">
      <c r="A82" s="187"/>
      <c r="B82" s="192" t="s">
        <v>3506</v>
      </c>
      <c r="C82" s="190">
        <v>1</v>
      </c>
      <c r="D82" s="190">
        <v>1</v>
      </c>
      <c r="E82" s="193">
        <v>4.3499999999999996</v>
      </c>
      <c r="F82" s="193">
        <v>3</v>
      </c>
      <c r="G82" s="193">
        <v>1.27</v>
      </c>
      <c r="H82" s="194">
        <f>ROUND(PRODUCT(C82:G82),2)</f>
        <v>16.57</v>
      </c>
      <c r="J82" s="229">
        <v>0.77500000000000002</v>
      </c>
    </row>
    <row r="83" spans="1:10" s="186" customFormat="1" ht="19.899999999999999" customHeight="1">
      <c r="A83" s="187"/>
      <c r="B83" s="192" t="s">
        <v>3507</v>
      </c>
      <c r="C83" s="190">
        <v>1</v>
      </c>
      <c r="D83" s="190">
        <v>1</v>
      </c>
      <c r="E83" s="193">
        <v>4.3499999999999996</v>
      </c>
      <c r="F83" s="193">
        <v>2.4</v>
      </c>
      <c r="G83" s="193">
        <v>0.82</v>
      </c>
      <c r="H83" s="194">
        <f t="shared" ref="H83:H91" si="3">ROUND(PRODUCT(C83:G83),2)</f>
        <v>8.56</v>
      </c>
      <c r="J83" s="229">
        <v>0.77500000000000002</v>
      </c>
    </row>
    <row r="84" spans="1:10" s="186" customFormat="1" ht="19.899999999999999" customHeight="1">
      <c r="A84" s="187"/>
      <c r="B84" s="192" t="s">
        <v>3508</v>
      </c>
      <c r="C84" s="190">
        <v>1</v>
      </c>
      <c r="D84" s="190">
        <v>1</v>
      </c>
      <c r="E84" s="193">
        <v>4.3499999999999996</v>
      </c>
      <c r="F84" s="193">
        <v>3.9</v>
      </c>
      <c r="G84" s="193">
        <v>1.27</v>
      </c>
      <c r="H84" s="194">
        <f t="shared" si="3"/>
        <v>21.55</v>
      </c>
      <c r="J84" s="229">
        <v>0.77500000000000002</v>
      </c>
    </row>
    <row r="85" spans="1:10" s="186" customFormat="1" ht="19.899999999999999" customHeight="1">
      <c r="A85" s="187"/>
      <c r="B85" s="192" t="s">
        <v>3509</v>
      </c>
      <c r="C85" s="190">
        <v>1</v>
      </c>
      <c r="D85" s="190">
        <v>1</v>
      </c>
      <c r="E85" s="193">
        <v>4.3499999999999996</v>
      </c>
      <c r="F85" s="193">
        <v>1.5</v>
      </c>
      <c r="G85" s="193">
        <v>1.17</v>
      </c>
      <c r="H85" s="194">
        <f t="shared" si="3"/>
        <v>7.63</v>
      </c>
      <c r="J85" s="229">
        <v>0.77500000000000002</v>
      </c>
    </row>
    <row r="86" spans="1:10" s="186" customFormat="1" ht="19.899999999999999" customHeight="1">
      <c r="A86" s="187"/>
      <c r="B86" s="192" t="s">
        <v>3510</v>
      </c>
      <c r="C86" s="190">
        <v>1</v>
      </c>
      <c r="D86" s="190">
        <v>1</v>
      </c>
      <c r="E86" s="193">
        <v>2.1</v>
      </c>
      <c r="F86" s="193">
        <v>5.63</v>
      </c>
      <c r="G86" s="193">
        <v>1.27</v>
      </c>
      <c r="H86" s="194">
        <f t="shared" si="3"/>
        <v>15.02</v>
      </c>
      <c r="J86" s="229">
        <v>0.77500000000000002</v>
      </c>
    </row>
    <row r="87" spans="1:10" s="186" customFormat="1" ht="19.899999999999999" customHeight="1">
      <c r="A87" s="187"/>
      <c r="B87" s="192" t="s">
        <v>3511</v>
      </c>
      <c r="C87" s="190">
        <v>1</v>
      </c>
      <c r="D87" s="190">
        <v>1</v>
      </c>
      <c r="E87" s="193">
        <v>4.3499999999999996</v>
      </c>
      <c r="F87" s="193">
        <v>5.63</v>
      </c>
      <c r="G87" s="193">
        <v>0.82</v>
      </c>
      <c r="H87" s="194">
        <f t="shared" si="3"/>
        <v>20.079999999999998</v>
      </c>
      <c r="J87" s="229">
        <v>0.77500000000000002</v>
      </c>
    </row>
    <row r="88" spans="1:10" s="186" customFormat="1" ht="19.899999999999999" customHeight="1">
      <c r="A88" s="187"/>
      <c r="B88" s="192" t="s">
        <v>3511</v>
      </c>
      <c r="C88" s="190">
        <v>1</v>
      </c>
      <c r="D88" s="190">
        <v>1</v>
      </c>
      <c r="E88" s="193">
        <v>4.3499999999999996</v>
      </c>
      <c r="F88" s="193">
        <v>5.63</v>
      </c>
      <c r="G88" s="193">
        <v>0.82</v>
      </c>
      <c r="H88" s="194">
        <f t="shared" si="3"/>
        <v>20.079999999999998</v>
      </c>
      <c r="J88" s="229">
        <v>0.77500000000000002</v>
      </c>
    </row>
    <row r="89" spans="1:10" s="186" customFormat="1" ht="19.899999999999999" customHeight="1">
      <c r="A89" s="187"/>
      <c r="B89" s="192" t="s">
        <v>3512</v>
      </c>
      <c r="C89" s="190">
        <v>1</v>
      </c>
      <c r="D89" s="190">
        <v>1</v>
      </c>
      <c r="E89" s="193">
        <v>6.68</v>
      </c>
      <c r="F89" s="193">
        <v>3</v>
      </c>
      <c r="G89" s="193">
        <v>0.82</v>
      </c>
      <c r="H89" s="194">
        <f t="shared" si="3"/>
        <v>16.43</v>
      </c>
      <c r="J89" s="229">
        <v>0.77500000000000002</v>
      </c>
    </row>
    <row r="90" spans="1:10" s="186" customFormat="1" ht="19.899999999999999" customHeight="1">
      <c r="A90" s="187"/>
      <c r="B90" s="192" t="s">
        <v>3513</v>
      </c>
      <c r="C90" s="190">
        <v>1</v>
      </c>
      <c r="D90" s="190">
        <v>1</v>
      </c>
      <c r="E90" s="193">
        <v>4.3499999999999996</v>
      </c>
      <c r="F90" s="193">
        <v>3</v>
      </c>
      <c r="G90" s="193">
        <v>0.82</v>
      </c>
      <c r="H90" s="194">
        <f t="shared" si="3"/>
        <v>10.7</v>
      </c>
      <c r="J90" s="229">
        <v>0.77500000000000002</v>
      </c>
    </row>
    <row r="91" spans="1:10" s="186" customFormat="1" ht="19.899999999999999" customHeight="1">
      <c r="A91" s="187"/>
      <c r="B91" s="192" t="s">
        <v>3514</v>
      </c>
      <c r="C91" s="190">
        <v>1</v>
      </c>
      <c r="D91" s="190">
        <v>1</v>
      </c>
      <c r="E91" s="193">
        <v>2.33</v>
      </c>
      <c r="F91" s="193">
        <v>1.5</v>
      </c>
      <c r="G91" s="193">
        <v>0.82</v>
      </c>
      <c r="H91" s="194">
        <f t="shared" si="3"/>
        <v>2.87</v>
      </c>
      <c r="J91" s="229">
        <v>0.77500000000000002</v>
      </c>
    </row>
    <row r="92" spans="1:10" ht="19.899999999999999" customHeight="1">
      <c r="A92" s="200"/>
      <c r="B92" s="202"/>
      <c r="C92" s="201"/>
      <c r="D92" s="201"/>
      <c r="E92" s="203"/>
      <c r="F92" s="204"/>
      <c r="G92" s="204"/>
      <c r="H92" s="205">
        <f>J93-I93</f>
        <v>0.01</v>
      </c>
      <c r="I92" s="186"/>
      <c r="J92" s="186"/>
    </row>
    <row r="93" spans="1:10" ht="19.899999999999999" customHeight="1">
      <c r="A93" s="200"/>
      <c r="B93" s="202"/>
      <c r="C93" s="206"/>
      <c r="D93" s="206"/>
      <c r="E93" s="203"/>
      <c r="F93" s="204"/>
      <c r="G93" s="193" t="s">
        <v>1827</v>
      </c>
      <c r="H93" s="205">
        <f>J93</f>
        <v>139.5</v>
      </c>
      <c r="I93" s="186">
        <f>SUM(H82:H91)</f>
        <v>139.49</v>
      </c>
      <c r="J93" s="186">
        <f>ROUNDUP(I93,1)</f>
        <v>139.5</v>
      </c>
    </row>
    <row r="94" spans="1:10" s="211" customFormat="1" ht="19.899999999999999" customHeight="1">
      <c r="A94" s="207"/>
      <c r="B94" s="208"/>
      <c r="C94" s="209"/>
      <c r="D94" s="209"/>
      <c r="E94" s="210"/>
      <c r="F94" s="197" t="s">
        <v>2560</v>
      </c>
      <c r="G94" s="197">
        <f>H93</f>
        <v>139.5</v>
      </c>
      <c r="H94" s="198" t="s">
        <v>1749</v>
      </c>
      <c r="I94" s="199"/>
      <c r="J94" s="199"/>
    </row>
    <row r="95" spans="1:10" s="186" customFormat="1" ht="19.899999999999999" customHeight="1">
      <c r="A95" s="187">
        <v>4.0999999999999996</v>
      </c>
      <c r="B95" s="989" t="s">
        <v>4286</v>
      </c>
      <c r="C95" s="990"/>
      <c r="D95" s="990"/>
      <c r="E95" s="990"/>
      <c r="F95" s="990"/>
      <c r="G95" s="991"/>
      <c r="H95" s="212"/>
    </row>
    <row r="96" spans="1:10" s="186" customFormat="1" ht="19.899999999999999" customHeight="1">
      <c r="A96" s="187"/>
      <c r="B96" s="189" t="s">
        <v>3521</v>
      </c>
      <c r="C96" s="190"/>
      <c r="D96" s="190"/>
      <c r="E96" s="191"/>
      <c r="F96" s="191"/>
      <c r="G96" s="191"/>
      <c r="H96" s="212"/>
    </row>
    <row r="97" spans="1:9" s="186" customFormat="1" ht="19.899999999999999" customHeight="1">
      <c r="A97" s="187"/>
      <c r="B97" s="192" t="s">
        <v>3486</v>
      </c>
      <c r="C97" s="190">
        <v>1</v>
      </c>
      <c r="D97" s="190">
        <v>7</v>
      </c>
      <c r="E97" s="193">
        <v>1.65</v>
      </c>
      <c r="F97" s="193">
        <v>1.65</v>
      </c>
      <c r="G97" s="193">
        <v>0.45</v>
      </c>
      <c r="H97" s="194">
        <f>ROUND(PRODUCT(C97:G97),2)</f>
        <v>8.58</v>
      </c>
      <c r="I97" s="186" t="e">
        <f>D97+#REF!+#REF!+#REF!</f>
        <v>#REF!</v>
      </c>
    </row>
    <row r="98" spans="1:9" s="186" customFormat="1" ht="19.899999999999999" customHeight="1">
      <c r="A98" s="187"/>
      <c r="B98" s="192" t="s">
        <v>3487</v>
      </c>
      <c r="C98" s="190">
        <v>1</v>
      </c>
      <c r="D98" s="190">
        <v>1</v>
      </c>
      <c r="E98" s="193">
        <v>1.75</v>
      </c>
      <c r="F98" s="193">
        <v>1.75</v>
      </c>
      <c r="G98" s="193">
        <v>0.45</v>
      </c>
      <c r="H98" s="194">
        <f t="shared" ref="H98:H122" si="4">ROUND(PRODUCT(C98:G98),2)</f>
        <v>1.38</v>
      </c>
    </row>
    <row r="99" spans="1:9" s="186" customFormat="1" ht="19.899999999999999" customHeight="1">
      <c r="A99" s="187"/>
      <c r="B99" s="192" t="s">
        <v>3488</v>
      </c>
      <c r="C99" s="190">
        <v>1</v>
      </c>
      <c r="D99" s="190">
        <v>7</v>
      </c>
      <c r="E99" s="193">
        <v>2.1</v>
      </c>
      <c r="F99" s="193">
        <v>2.1</v>
      </c>
      <c r="G99" s="193">
        <v>0.55000000000000004</v>
      </c>
      <c r="H99" s="194">
        <f t="shared" si="4"/>
        <v>16.98</v>
      </c>
    </row>
    <row r="100" spans="1:9" s="186" customFormat="1" ht="19.899999999999999" customHeight="1">
      <c r="A100" s="187"/>
      <c r="B100" s="232" t="s">
        <v>3598</v>
      </c>
      <c r="C100" s="190">
        <v>1</v>
      </c>
      <c r="D100" s="190">
        <v>3</v>
      </c>
      <c r="E100" s="193">
        <v>2.4</v>
      </c>
      <c r="F100" s="193">
        <v>2.4</v>
      </c>
      <c r="G100" s="193">
        <v>0.6</v>
      </c>
      <c r="H100" s="194">
        <f t="shared" si="4"/>
        <v>10.37</v>
      </c>
    </row>
    <row r="101" spans="1:9" s="186" customFormat="1" ht="19.899999999999999" customHeight="1">
      <c r="A101" s="187"/>
      <c r="B101" s="192" t="s">
        <v>3489</v>
      </c>
      <c r="C101" s="190">
        <v>1</v>
      </c>
      <c r="D101" s="190">
        <v>1</v>
      </c>
      <c r="E101" s="193">
        <v>3.2</v>
      </c>
      <c r="F101" s="193">
        <v>1.75</v>
      </c>
      <c r="G101" s="193">
        <v>0.5</v>
      </c>
      <c r="H101" s="194">
        <f t="shared" si="4"/>
        <v>2.8</v>
      </c>
    </row>
    <row r="102" spans="1:9" s="186" customFormat="1" ht="33" customHeight="1">
      <c r="A102" s="187"/>
      <c r="B102" s="189" t="s">
        <v>3522</v>
      </c>
      <c r="C102" s="190"/>
      <c r="D102" s="190"/>
      <c r="E102" s="193"/>
      <c r="F102" s="193"/>
      <c r="G102" s="213"/>
      <c r="H102" s="194">
        <f>ROUND(PRODUCT(C102:G102),2)</f>
        <v>0</v>
      </c>
    </row>
    <row r="103" spans="1:9" s="186" customFormat="1" ht="19.899999999999999" customHeight="1">
      <c r="A103" s="187"/>
      <c r="B103" s="192" t="s">
        <v>3486</v>
      </c>
      <c r="C103" s="190">
        <v>1</v>
      </c>
      <c r="D103" s="190">
        <v>7</v>
      </c>
      <c r="E103" s="193">
        <v>0.23</v>
      </c>
      <c r="F103" s="193">
        <v>0.38</v>
      </c>
      <c r="G103" s="193">
        <v>1.5</v>
      </c>
      <c r="H103" s="194">
        <f>ROUND(PRODUCT(C103:G103),2)</f>
        <v>0.92</v>
      </c>
    </row>
    <row r="104" spans="1:9" s="186" customFormat="1" ht="19.899999999999999" customHeight="1">
      <c r="A104" s="187"/>
      <c r="B104" s="192" t="s">
        <v>3488</v>
      </c>
      <c r="C104" s="190">
        <v>1</v>
      </c>
      <c r="D104" s="190">
        <v>7</v>
      </c>
      <c r="E104" s="193">
        <v>0.23</v>
      </c>
      <c r="F104" s="193">
        <v>0.45</v>
      </c>
      <c r="G104" s="193">
        <v>1.45</v>
      </c>
      <c r="H104" s="194">
        <f t="shared" ref="H104:H108" si="5">ROUND(PRODUCT(C104:G104),2)</f>
        <v>1.05</v>
      </c>
    </row>
    <row r="105" spans="1:9" s="186" customFormat="1" ht="19.899999999999999" customHeight="1">
      <c r="A105" s="187"/>
      <c r="B105" s="192" t="s">
        <v>3499</v>
      </c>
      <c r="C105" s="190">
        <v>1</v>
      </c>
      <c r="D105" s="190">
        <v>1</v>
      </c>
      <c r="E105" s="193">
        <v>0.23</v>
      </c>
      <c r="F105" s="193">
        <v>0.38</v>
      </c>
      <c r="G105" s="193">
        <v>1.45</v>
      </c>
      <c r="H105" s="194">
        <f t="shared" si="5"/>
        <v>0.13</v>
      </c>
      <c r="I105" s="186" t="e">
        <f>D105+#REF!+#REF!+#REF!</f>
        <v>#REF!</v>
      </c>
    </row>
    <row r="106" spans="1:9" s="186" customFormat="1" ht="19.899999999999999" customHeight="1">
      <c r="A106" s="187"/>
      <c r="B106" s="192" t="s">
        <v>3500</v>
      </c>
      <c r="C106" s="190">
        <v>1</v>
      </c>
      <c r="D106" s="190">
        <v>1</v>
      </c>
      <c r="E106" s="193">
        <v>0.23</v>
      </c>
      <c r="F106" s="193">
        <v>0.45</v>
      </c>
      <c r="G106" s="193">
        <v>1.5</v>
      </c>
      <c r="H106" s="194">
        <f t="shared" si="5"/>
        <v>0.16</v>
      </c>
    </row>
    <row r="107" spans="1:9" s="186" customFormat="1" ht="19.899999999999999" customHeight="1">
      <c r="A107" s="187"/>
      <c r="B107" s="192" t="s">
        <v>3501</v>
      </c>
      <c r="C107" s="190">
        <v>1</v>
      </c>
      <c r="D107" s="190">
        <v>1</v>
      </c>
      <c r="E107" s="193">
        <v>0.23</v>
      </c>
      <c r="F107" s="193">
        <v>0.45</v>
      </c>
      <c r="G107" s="193">
        <v>1.4</v>
      </c>
      <c r="H107" s="194">
        <f t="shared" si="5"/>
        <v>0.14000000000000001</v>
      </c>
    </row>
    <row r="108" spans="1:9" s="186" customFormat="1" ht="19.899999999999999" customHeight="1">
      <c r="A108" s="187"/>
      <c r="B108" s="192" t="s">
        <v>3502</v>
      </c>
      <c r="C108" s="190">
        <v>1</v>
      </c>
      <c r="D108" s="233">
        <v>2</v>
      </c>
      <c r="E108" s="193">
        <v>0.23</v>
      </c>
      <c r="F108" s="193">
        <v>0.45</v>
      </c>
      <c r="G108" s="193">
        <v>1.35</v>
      </c>
      <c r="H108" s="194">
        <f t="shared" si="5"/>
        <v>0.28000000000000003</v>
      </c>
    </row>
    <row r="109" spans="1:9" s="237" customFormat="1" ht="19.899999999999999" customHeight="1">
      <c r="A109" s="234"/>
      <c r="B109" s="232" t="s">
        <v>3599</v>
      </c>
      <c r="C109" s="233">
        <v>1</v>
      </c>
      <c r="D109" s="233">
        <v>1</v>
      </c>
      <c r="E109" s="235">
        <v>0.23</v>
      </c>
      <c r="F109" s="235">
        <v>0.6</v>
      </c>
      <c r="G109" s="235">
        <v>1.35</v>
      </c>
      <c r="H109" s="236">
        <f>ROUND(PRODUCT(C109:G109),2)</f>
        <v>0.19</v>
      </c>
    </row>
    <row r="110" spans="1:9" s="186" customFormat="1" ht="19.899999999999999" customHeight="1">
      <c r="A110" s="187"/>
      <c r="B110" s="189" t="s">
        <v>3523</v>
      </c>
      <c r="C110" s="190"/>
      <c r="D110" s="190"/>
      <c r="E110" s="193"/>
      <c r="F110" s="193"/>
      <c r="G110" s="213"/>
      <c r="H110" s="194">
        <f t="shared" si="4"/>
        <v>0</v>
      </c>
    </row>
    <row r="111" spans="1:9" s="186" customFormat="1" ht="19.899999999999999" customHeight="1">
      <c r="A111" s="187"/>
      <c r="B111" s="192" t="s">
        <v>3491</v>
      </c>
      <c r="C111" s="190">
        <v>1</v>
      </c>
      <c r="D111" s="190">
        <v>1</v>
      </c>
      <c r="E111" s="193">
        <v>52.88</v>
      </c>
      <c r="F111" s="193">
        <v>0.23</v>
      </c>
      <c r="G111" s="193">
        <v>0.3</v>
      </c>
      <c r="H111" s="194">
        <f t="shared" si="4"/>
        <v>3.65</v>
      </c>
    </row>
    <row r="112" spans="1:9" s="186" customFormat="1" ht="19.899999999999999" customHeight="1">
      <c r="A112" s="187"/>
      <c r="B112" s="192" t="s">
        <v>3492</v>
      </c>
      <c r="C112" s="190">
        <v>1</v>
      </c>
      <c r="D112" s="190">
        <v>1</v>
      </c>
      <c r="E112" s="193">
        <v>14.72</v>
      </c>
      <c r="F112" s="193">
        <v>0.23</v>
      </c>
      <c r="G112" s="193">
        <v>0.3</v>
      </c>
      <c r="H112" s="194">
        <f t="shared" si="4"/>
        <v>1.02</v>
      </c>
    </row>
    <row r="113" spans="1:9" s="186" customFormat="1" ht="19.899999999999999" customHeight="1">
      <c r="A113" s="187"/>
      <c r="B113" s="192" t="s">
        <v>3493</v>
      </c>
      <c r="C113" s="190">
        <v>1</v>
      </c>
      <c r="D113" s="190">
        <v>1</v>
      </c>
      <c r="E113" s="193">
        <v>9.75</v>
      </c>
      <c r="F113" s="193">
        <v>0.23</v>
      </c>
      <c r="G113" s="193">
        <v>0.3</v>
      </c>
      <c r="H113" s="194">
        <f t="shared" si="4"/>
        <v>0.67</v>
      </c>
    </row>
    <row r="114" spans="1:9" s="186" customFormat="1" ht="19.899999999999999" customHeight="1">
      <c r="A114" s="187"/>
      <c r="B114" s="192" t="s">
        <v>3494</v>
      </c>
      <c r="C114" s="190">
        <v>1</v>
      </c>
      <c r="D114" s="190">
        <v>2</v>
      </c>
      <c r="E114" s="193">
        <v>11.26</v>
      </c>
      <c r="F114" s="193">
        <v>0.23</v>
      </c>
      <c r="G114" s="193">
        <v>0.3</v>
      </c>
      <c r="H114" s="194">
        <f t="shared" si="4"/>
        <v>1.55</v>
      </c>
    </row>
    <row r="115" spans="1:9" s="186" customFormat="1" ht="33" customHeight="1">
      <c r="A115" s="187"/>
      <c r="B115" s="192" t="s">
        <v>3495</v>
      </c>
      <c r="C115" s="190">
        <v>1</v>
      </c>
      <c r="D115" s="190">
        <v>2</v>
      </c>
      <c r="E115" s="193">
        <v>6.68</v>
      </c>
      <c r="F115" s="193">
        <v>0.23</v>
      </c>
      <c r="G115" s="193">
        <v>0.3</v>
      </c>
      <c r="H115" s="194">
        <f t="shared" si="4"/>
        <v>0.92</v>
      </c>
    </row>
    <row r="116" spans="1:9" s="186" customFormat="1" ht="19.899999999999999" customHeight="1">
      <c r="A116" s="187"/>
      <c r="B116" s="192" t="s">
        <v>3496</v>
      </c>
      <c r="C116" s="190">
        <v>1</v>
      </c>
      <c r="D116" s="190">
        <v>1</v>
      </c>
      <c r="E116" s="193">
        <v>2.4</v>
      </c>
      <c r="F116" s="193">
        <v>0.23</v>
      </c>
      <c r="G116" s="193">
        <v>0.3</v>
      </c>
      <c r="H116" s="194">
        <f t="shared" si="4"/>
        <v>0.17</v>
      </c>
    </row>
    <row r="117" spans="1:9" s="186" customFormat="1" ht="19.899999999999999" customHeight="1">
      <c r="A117" s="187"/>
      <c r="B117" s="192" t="s">
        <v>3524</v>
      </c>
      <c r="C117" s="190">
        <v>1</v>
      </c>
      <c r="D117" s="190">
        <v>2</v>
      </c>
      <c r="E117" s="193">
        <v>14.72</v>
      </c>
      <c r="F117" s="193">
        <v>0.23</v>
      </c>
      <c r="G117" s="193">
        <v>0.08</v>
      </c>
      <c r="H117" s="194">
        <f t="shared" si="4"/>
        <v>0.54</v>
      </c>
    </row>
    <row r="118" spans="1:9" s="186" customFormat="1" ht="33" customHeight="1">
      <c r="A118" s="187"/>
      <c r="B118" s="189" t="s">
        <v>3525</v>
      </c>
      <c r="C118" s="190"/>
      <c r="D118" s="190"/>
      <c r="E118" s="193"/>
      <c r="F118" s="193"/>
      <c r="G118" s="213"/>
      <c r="H118" s="194">
        <f t="shared" si="4"/>
        <v>0</v>
      </c>
    </row>
    <row r="119" spans="1:9" s="186" customFormat="1" ht="19.899999999999999" customHeight="1">
      <c r="A119" s="187"/>
      <c r="B119" s="192" t="s">
        <v>3499</v>
      </c>
      <c r="C119" s="190">
        <v>1</v>
      </c>
      <c r="D119" s="190">
        <v>8</v>
      </c>
      <c r="E119" s="193">
        <v>0.23</v>
      </c>
      <c r="F119" s="193">
        <v>0.38</v>
      </c>
      <c r="G119" s="193">
        <v>0.93</v>
      </c>
      <c r="H119" s="194">
        <f t="shared" si="4"/>
        <v>0.65</v>
      </c>
      <c r="I119" s="186" t="e">
        <f>D119+#REF!+#REF!+#REF!</f>
        <v>#REF!</v>
      </c>
    </row>
    <row r="120" spans="1:9" s="186" customFormat="1" ht="19.899999999999999" customHeight="1">
      <c r="A120" s="187"/>
      <c r="B120" s="192" t="s">
        <v>3500</v>
      </c>
      <c r="C120" s="190">
        <v>1</v>
      </c>
      <c r="D120" s="190">
        <v>1</v>
      </c>
      <c r="E120" s="193">
        <v>0.23</v>
      </c>
      <c r="F120" s="193">
        <v>0.45</v>
      </c>
      <c r="G120" s="193">
        <v>0.93</v>
      </c>
      <c r="H120" s="194">
        <f t="shared" si="4"/>
        <v>0.1</v>
      </c>
    </row>
    <row r="121" spans="1:9" s="186" customFormat="1" ht="19.899999999999999" customHeight="1">
      <c r="A121" s="187"/>
      <c r="B121" s="192" t="s">
        <v>3501</v>
      </c>
      <c r="C121" s="190">
        <v>1</v>
      </c>
      <c r="D121" s="190">
        <v>8</v>
      </c>
      <c r="E121" s="193">
        <v>0.23</v>
      </c>
      <c r="F121" s="193">
        <v>0.45</v>
      </c>
      <c r="G121" s="193">
        <v>0.93</v>
      </c>
      <c r="H121" s="194">
        <f t="shared" si="4"/>
        <v>0.77</v>
      </c>
    </row>
    <row r="122" spans="1:9" s="186" customFormat="1" ht="19.899999999999999" customHeight="1">
      <c r="A122" s="187"/>
      <c r="B122" s="192" t="s">
        <v>3502</v>
      </c>
      <c r="C122" s="190">
        <v>1</v>
      </c>
      <c r="D122" s="233">
        <v>2</v>
      </c>
      <c r="E122" s="193">
        <v>0.23</v>
      </c>
      <c r="F122" s="193">
        <v>0.45</v>
      </c>
      <c r="G122" s="193">
        <v>0.93</v>
      </c>
      <c r="H122" s="194">
        <f t="shared" si="4"/>
        <v>0.19</v>
      </c>
    </row>
    <row r="123" spans="1:9" s="237" customFormat="1" ht="19.899999999999999" customHeight="1">
      <c r="A123" s="234"/>
      <c r="B123" s="232" t="s">
        <v>3599</v>
      </c>
      <c r="C123" s="233">
        <v>1</v>
      </c>
      <c r="D123" s="233">
        <v>1</v>
      </c>
      <c r="E123" s="235">
        <v>0.23</v>
      </c>
      <c r="F123" s="235">
        <v>0.6</v>
      </c>
      <c r="G123" s="235">
        <v>0.93</v>
      </c>
      <c r="H123" s="236">
        <f>ROUND(PRODUCT(C123:G123),2)</f>
        <v>0.13</v>
      </c>
    </row>
    <row r="124" spans="1:9" s="186" customFormat="1" ht="19.899999999999999" customHeight="1">
      <c r="A124" s="187"/>
      <c r="B124" s="189" t="s">
        <v>3526</v>
      </c>
      <c r="C124" s="190"/>
      <c r="D124" s="190"/>
      <c r="E124" s="193"/>
      <c r="F124" s="193"/>
      <c r="G124" s="193"/>
      <c r="H124" s="194"/>
    </row>
    <row r="125" spans="1:9" s="186" customFormat="1" ht="19.899999999999999" customHeight="1">
      <c r="A125" s="187"/>
      <c r="B125" s="192" t="s">
        <v>3491</v>
      </c>
      <c r="C125" s="190">
        <v>1</v>
      </c>
      <c r="D125" s="190">
        <v>1</v>
      </c>
      <c r="E125" s="187">
        <v>52.88</v>
      </c>
      <c r="F125" s="187">
        <v>0.23</v>
      </c>
      <c r="G125" s="193">
        <v>0.1</v>
      </c>
      <c r="H125" s="194">
        <f t="shared" ref="H125:H130" si="6">ROUND(PRODUCT(C125:G125),2)</f>
        <v>1.22</v>
      </c>
    </row>
    <row r="126" spans="1:9" s="186" customFormat="1" ht="19.899999999999999" customHeight="1">
      <c r="A126" s="187"/>
      <c r="B126" s="192" t="s">
        <v>3492</v>
      </c>
      <c r="C126" s="190">
        <v>1</v>
      </c>
      <c r="D126" s="190">
        <v>1</v>
      </c>
      <c r="E126" s="193">
        <v>14.72</v>
      </c>
      <c r="F126" s="193">
        <v>0.23</v>
      </c>
      <c r="G126" s="193">
        <v>0.1</v>
      </c>
      <c r="H126" s="194">
        <f t="shared" si="6"/>
        <v>0.34</v>
      </c>
    </row>
    <row r="127" spans="1:9" s="186" customFormat="1" ht="19.899999999999999" customHeight="1">
      <c r="A127" s="187"/>
      <c r="B127" s="192" t="s">
        <v>3493</v>
      </c>
      <c r="C127" s="190">
        <v>1</v>
      </c>
      <c r="D127" s="190">
        <v>1</v>
      </c>
      <c r="E127" s="193">
        <v>9.75</v>
      </c>
      <c r="F127" s="193">
        <v>0.23</v>
      </c>
      <c r="G127" s="193">
        <v>0.1</v>
      </c>
      <c r="H127" s="194">
        <f t="shared" si="6"/>
        <v>0.22</v>
      </c>
    </row>
    <row r="128" spans="1:9" s="186" customFormat="1" ht="19.899999999999999" customHeight="1">
      <c r="A128" s="187"/>
      <c r="B128" s="192" t="s">
        <v>3494</v>
      </c>
      <c r="C128" s="190">
        <v>1</v>
      </c>
      <c r="D128" s="190">
        <v>2</v>
      </c>
      <c r="E128" s="193">
        <v>11.26</v>
      </c>
      <c r="F128" s="193">
        <v>0.23</v>
      </c>
      <c r="G128" s="193">
        <v>0.1</v>
      </c>
      <c r="H128" s="194">
        <f t="shared" si="6"/>
        <v>0.52</v>
      </c>
    </row>
    <row r="129" spans="1:10" s="186" customFormat="1" ht="33" customHeight="1">
      <c r="A129" s="187"/>
      <c r="B129" s="192" t="s">
        <v>3495</v>
      </c>
      <c r="C129" s="190">
        <v>1</v>
      </c>
      <c r="D129" s="190">
        <v>2</v>
      </c>
      <c r="E129" s="193">
        <v>6.68</v>
      </c>
      <c r="F129" s="193">
        <v>0.23</v>
      </c>
      <c r="G129" s="193">
        <v>0.1</v>
      </c>
      <c r="H129" s="194">
        <f t="shared" si="6"/>
        <v>0.31</v>
      </c>
    </row>
    <row r="130" spans="1:10" s="186" customFormat="1" ht="19.899999999999999" customHeight="1">
      <c r="A130" s="187"/>
      <c r="B130" s="192" t="s">
        <v>3496</v>
      </c>
      <c r="C130" s="190">
        <v>1</v>
      </c>
      <c r="D130" s="190">
        <v>1</v>
      </c>
      <c r="E130" s="193">
        <v>2.4</v>
      </c>
      <c r="F130" s="193">
        <v>0.23</v>
      </c>
      <c r="G130" s="193">
        <v>0.1</v>
      </c>
      <c r="H130" s="194">
        <f t="shared" si="6"/>
        <v>0.06</v>
      </c>
    </row>
    <row r="131" spans="1:10" s="186" customFormat="1" ht="19.899999999999999" customHeight="1">
      <c r="A131" s="187"/>
      <c r="B131" s="192"/>
      <c r="C131" s="190"/>
      <c r="D131" s="190"/>
      <c r="E131" s="193"/>
      <c r="F131" s="193"/>
      <c r="G131" s="193"/>
      <c r="H131" s="194">
        <f>J132-I132</f>
        <v>0.09</v>
      </c>
    </row>
    <row r="132" spans="1:10" s="186" customFormat="1" ht="19.899999999999999" customHeight="1">
      <c r="A132" s="187"/>
      <c r="B132" s="192"/>
      <c r="C132" s="190"/>
      <c r="D132" s="190"/>
      <c r="E132" s="193"/>
      <c r="F132" s="193"/>
      <c r="G132" s="193" t="s">
        <v>1827</v>
      </c>
      <c r="H132" s="236">
        <f>J132-0.1</f>
        <v>56</v>
      </c>
      <c r="I132" s="186">
        <f>SUM(H97:H130)</f>
        <v>56.01</v>
      </c>
      <c r="J132" s="186">
        <f>ROUNDUP(I132,1)</f>
        <v>56.1</v>
      </c>
    </row>
    <row r="133" spans="1:10" s="199" customFormat="1" ht="19.899999999999999" customHeight="1">
      <c r="A133" s="195"/>
      <c r="B133" s="189"/>
      <c r="C133" s="196"/>
      <c r="D133" s="196"/>
      <c r="E133" s="184"/>
      <c r="F133" s="197" t="s">
        <v>2560</v>
      </c>
      <c r="G133" s="197">
        <f>H132</f>
        <v>56</v>
      </c>
      <c r="H133" s="198" t="s">
        <v>1749</v>
      </c>
    </row>
    <row r="134" spans="1:10" s="186" customFormat="1" ht="34.9" customHeight="1">
      <c r="A134" s="187">
        <v>6.5</v>
      </c>
      <c r="B134" s="989" t="s">
        <v>4802</v>
      </c>
      <c r="C134" s="990"/>
      <c r="D134" s="990"/>
      <c r="E134" s="990"/>
      <c r="F134" s="990"/>
      <c r="G134" s="991"/>
      <c r="H134" s="212"/>
    </row>
    <row r="135" spans="1:10" s="186" customFormat="1" ht="19.899999999999999" customHeight="1">
      <c r="A135" s="187"/>
      <c r="B135" s="189" t="s">
        <v>3527</v>
      </c>
      <c r="C135" s="190"/>
      <c r="D135" s="190"/>
      <c r="E135" s="191"/>
      <c r="F135" s="191"/>
      <c r="G135" s="191"/>
      <c r="H135" s="212"/>
    </row>
    <row r="136" spans="1:10" s="186" customFormat="1" ht="19.899999999999999" customHeight="1">
      <c r="A136" s="187"/>
      <c r="B136" s="192" t="s">
        <v>3491</v>
      </c>
      <c r="C136" s="190">
        <f>C125</f>
        <v>1</v>
      </c>
      <c r="D136" s="190">
        <f>D125</f>
        <v>1</v>
      </c>
      <c r="E136" s="187">
        <v>52.88</v>
      </c>
      <c r="F136" s="187">
        <f>F125</f>
        <v>0.23</v>
      </c>
      <c r="G136" s="193">
        <v>0.93</v>
      </c>
      <c r="H136" s="194">
        <f t="shared" ref="H136:H142" si="7">ROUND(PRODUCT(C136:G136),2)</f>
        <v>11.31</v>
      </c>
    </row>
    <row r="137" spans="1:10" s="186" customFormat="1" ht="19.899999999999999" customHeight="1">
      <c r="A137" s="187"/>
      <c r="B137" s="192" t="s">
        <v>3492</v>
      </c>
      <c r="C137" s="190">
        <v>1</v>
      </c>
      <c r="D137" s="190">
        <v>1</v>
      </c>
      <c r="E137" s="193">
        <v>14.72</v>
      </c>
      <c r="F137" s="193">
        <v>0.23</v>
      </c>
      <c r="G137" s="193">
        <v>0.93</v>
      </c>
      <c r="H137" s="194">
        <f t="shared" si="7"/>
        <v>3.15</v>
      </c>
    </row>
    <row r="138" spans="1:10" s="186" customFormat="1" ht="19.899999999999999" customHeight="1">
      <c r="A138" s="187"/>
      <c r="B138" s="192" t="s">
        <v>3493</v>
      </c>
      <c r="C138" s="190">
        <v>1</v>
      </c>
      <c r="D138" s="190">
        <v>1</v>
      </c>
      <c r="E138" s="193">
        <v>9.75</v>
      </c>
      <c r="F138" s="193">
        <v>0.23</v>
      </c>
      <c r="G138" s="193">
        <v>0.93</v>
      </c>
      <c r="H138" s="194">
        <f t="shared" si="7"/>
        <v>2.09</v>
      </c>
    </row>
    <row r="139" spans="1:10" s="186" customFormat="1" ht="19.899999999999999" customHeight="1">
      <c r="A139" s="187"/>
      <c r="B139" s="192" t="s">
        <v>3494</v>
      </c>
      <c r="C139" s="190">
        <v>1</v>
      </c>
      <c r="D139" s="190">
        <v>2</v>
      </c>
      <c r="E139" s="193">
        <v>11.26</v>
      </c>
      <c r="F139" s="193">
        <v>0.23</v>
      </c>
      <c r="G139" s="193">
        <v>0.93</v>
      </c>
      <c r="H139" s="194">
        <f t="shared" si="7"/>
        <v>4.82</v>
      </c>
    </row>
    <row r="140" spans="1:10" s="186" customFormat="1" ht="33" customHeight="1">
      <c r="A140" s="187"/>
      <c r="B140" s="192" t="s">
        <v>3495</v>
      </c>
      <c r="C140" s="190">
        <v>1</v>
      </c>
      <c r="D140" s="190">
        <v>2</v>
      </c>
      <c r="E140" s="193">
        <v>6.68</v>
      </c>
      <c r="F140" s="193">
        <v>0.23</v>
      </c>
      <c r="G140" s="193">
        <v>0.93</v>
      </c>
      <c r="H140" s="194">
        <f t="shared" si="7"/>
        <v>2.86</v>
      </c>
    </row>
    <row r="141" spans="1:10" s="186" customFormat="1" ht="19.899999999999999" customHeight="1">
      <c r="A141" s="187"/>
      <c r="B141" s="192" t="s">
        <v>3496</v>
      </c>
      <c r="C141" s="190">
        <v>1</v>
      </c>
      <c r="D141" s="190">
        <v>1</v>
      </c>
      <c r="E141" s="193">
        <v>2.4</v>
      </c>
      <c r="F141" s="193">
        <v>0.23</v>
      </c>
      <c r="G141" s="193">
        <v>0.93</v>
      </c>
      <c r="H141" s="194">
        <f t="shared" si="7"/>
        <v>0.51</v>
      </c>
    </row>
    <row r="142" spans="1:10" s="186" customFormat="1" ht="19.899999999999999" customHeight="1">
      <c r="A142" s="187"/>
      <c r="B142" s="192" t="s">
        <v>3528</v>
      </c>
      <c r="C142" s="190">
        <v>1</v>
      </c>
      <c r="D142" s="190">
        <v>8</v>
      </c>
      <c r="E142" s="193">
        <v>3.32</v>
      </c>
      <c r="F142" s="193">
        <v>0.23</v>
      </c>
      <c r="G142" s="193">
        <v>1.2</v>
      </c>
      <c r="H142" s="194">
        <f t="shared" si="7"/>
        <v>7.33</v>
      </c>
    </row>
    <row r="143" spans="1:10" s="186" customFormat="1" ht="19.899999999999999" customHeight="1">
      <c r="A143" s="187"/>
      <c r="B143" s="189" t="s">
        <v>3529</v>
      </c>
      <c r="C143" s="190"/>
      <c r="D143" s="190"/>
      <c r="E143" s="193"/>
      <c r="F143" s="193"/>
      <c r="G143" s="193"/>
      <c r="H143" s="194"/>
    </row>
    <row r="144" spans="1:10" s="186" customFormat="1" ht="19.899999999999999" customHeight="1">
      <c r="A144" s="187"/>
      <c r="B144" s="192" t="s">
        <v>3491</v>
      </c>
      <c r="C144" s="190">
        <v>1</v>
      </c>
      <c r="D144" s="190">
        <v>1</v>
      </c>
      <c r="E144" s="187">
        <v>52.88</v>
      </c>
      <c r="F144" s="187">
        <v>0.23</v>
      </c>
      <c r="G144" s="193">
        <v>0.12</v>
      </c>
      <c r="H144" s="194">
        <f t="shared" ref="H144:H149" si="8">ROUND(PRODUCT(C144:G144),2)</f>
        <v>1.46</v>
      </c>
    </row>
    <row r="145" spans="1:10" s="186" customFormat="1" ht="19.899999999999999" customHeight="1">
      <c r="A145" s="187"/>
      <c r="B145" s="192" t="s">
        <v>3492</v>
      </c>
      <c r="C145" s="190">
        <v>1</v>
      </c>
      <c r="D145" s="190">
        <v>1</v>
      </c>
      <c r="E145" s="193">
        <v>14.72</v>
      </c>
      <c r="F145" s="193">
        <v>0.23</v>
      </c>
      <c r="G145" s="193">
        <v>0.12</v>
      </c>
      <c r="H145" s="194">
        <f t="shared" si="8"/>
        <v>0.41</v>
      </c>
    </row>
    <row r="146" spans="1:10" s="186" customFormat="1" ht="19.899999999999999" customHeight="1">
      <c r="A146" s="187"/>
      <c r="B146" s="192" t="s">
        <v>3493</v>
      </c>
      <c r="C146" s="190">
        <v>1</v>
      </c>
      <c r="D146" s="190">
        <v>1</v>
      </c>
      <c r="E146" s="193">
        <v>9.75</v>
      </c>
      <c r="F146" s="193">
        <v>0.23</v>
      </c>
      <c r="G146" s="193">
        <v>0.12</v>
      </c>
      <c r="H146" s="194">
        <f t="shared" si="8"/>
        <v>0.27</v>
      </c>
    </row>
    <row r="147" spans="1:10" s="186" customFormat="1" ht="19.899999999999999" customHeight="1">
      <c r="A147" s="187"/>
      <c r="B147" s="192" t="s">
        <v>3494</v>
      </c>
      <c r="C147" s="190">
        <v>1</v>
      </c>
      <c r="D147" s="190">
        <v>2</v>
      </c>
      <c r="E147" s="193">
        <v>11.26</v>
      </c>
      <c r="F147" s="193">
        <v>0.23</v>
      </c>
      <c r="G147" s="193">
        <v>0.12</v>
      </c>
      <c r="H147" s="194">
        <f t="shared" si="8"/>
        <v>0.62</v>
      </c>
    </row>
    <row r="148" spans="1:10" s="186" customFormat="1" ht="33" customHeight="1">
      <c r="A148" s="187"/>
      <c r="B148" s="192" t="s">
        <v>3495</v>
      </c>
      <c r="C148" s="190">
        <v>1</v>
      </c>
      <c r="D148" s="190">
        <v>2</v>
      </c>
      <c r="E148" s="193">
        <v>6.68</v>
      </c>
      <c r="F148" s="193">
        <v>0.23</v>
      </c>
      <c r="G148" s="193">
        <v>0.12</v>
      </c>
      <c r="H148" s="194">
        <f t="shared" si="8"/>
        <v>0.37</v>
      </c>
    </row>
    <row r="149" spans="1:10" s="186" customFormat="1" ht="19.899999999999999" customHeight="1">
      <c r="A149" s="187"/>
      <c r="B149" s="192" t="s">
        <v>3496</v>
      </c>
      <c r="C149" s="190">
        <v>1</v>
      </c>
      <c r="D149" s="190">
        <v>1</v>
      </c>
      <c r="E149" s="193">
        <v>2.4</v>
      </c>
      <c r="F149" s="193">
        <v>0.23</v>
      </c>
      <c r="G149" s="193">
        <v>0.12</v>
      </c>
      <c r="H149" s="194">
        <f t="shared" si="8"/>
        <v>7.0000000000000007E-2</v>
      </c>
    </row>
    <row r="150" spans="1:10" s="186" customFormat="1" ht="19.899999999999999" customHeight="1">
      <c r="A150" s="187"/>
      <c r="B150" s="192"/>
      <c r="C150" s="190"/>
      <c r="D150" s="190"/>
      <c r="E150" s="193"/>
      <c r="F150" s="193"/>
      <c r="G150" s="193"/>
      <c r="H150" s="194">
        <f>J151-I151</f>
        <v>0.03</v>
      </c>
    </row>
    <row r="151" spans="1:10" s="186" customFormat="1" ht="19.899999999999999" customHeight="1">
      <c r="A151" s="187"/>
      <c r="B151" s="192"/>
      <c r="C151" s="190"/>
      <c r="D151" s="190"/>
      <c r="E151" s="193"/>
      <c r="F151" s="193"/>
      <c r="G151" s="193" t="s">
        <v>1827</v>
      </c>
      <c r="H151" s="194">
        <f>J151</f>
        <v>35.299999999999997</v>
      </c>
      <c r="I151" s="186">
        <f>SUM(H136:H149)</f>
        <v>35.270000000000003</v>
      </c>
      <c r="J151" s="186">
        <f>ROUNDUP(I151,1)</f>
        <v>35.299999999999997</v>
      </c>
    </row>
    <row r="152" spans="1:10" s="199" customFormat="1" ht="19.899999999999999" customHeight="1">
      <c r="A152" s="195"/>
      <c r="B152" s="189"/>
      <c r="C152" s="196"/>
      <c r="D152" s="196"/>
      <c r="E152" s="184"/>
      <c r="F152" s="197" t="s">
        <v>2560</v>
      </c>
      <c r="G152" s="197">
        <f>H151</f>
        <v>35.299999999999997</v>
      </c>
      <c r="H152" s="198" t="s">
        <v>1749</v>
      </c>
    </row>
    <row r="153" spans="1:10" s="186" customFormat="1" ht="49.9" customHeight="1">
      <c r="A153" s="214">
        <v>18.100000000000001</v>
      </c>
      <c r="B153" s="992" t="s">
        <v>4803</v>
      </c>
      <c r="C153" s="993"/>
      <c r="D153" s="993"/>
      <c r="E153" s="993"/>
      <c r="F153" s="993"/>
      <c r="G153" s="994"/>
      <c r="H153" s="188"/>
    </row>
    <row r="154" spans="1:10" ht="19.899999999999999" customHeight="1">
      <c r="A154" s="200"/>
      <c r="B154" s="992" t="s">
        <v>3530</v>
      </c>
      <c r="C154" s="993"/>
      <c r="D154" s="993"/>
      <c r="E154" s="993"/>
      <c r="F154" s="993"/>
      <c r="G154" s="994"/>
      <c r="H154" s="201"/>
    </row>
    <row r="155" spans="1:10" ht="19.899999999999999" customHeight="1">
      <c r="A155" s="200"/>
      <c r="B155" s="208" t="s">
        <v>3531</v>
      </c>
      <c r="C155" s="201"/>
      <c r="D155" s="201"/>
      <c r="E155" s="201"/>
      <c r="F155" s="201"/>
      <c r="G155" s="201"/>
      <c r="H155" s="201"/>
    </row>
    <row r="156" spans="1:10" s="186" customFormat="1" ht="19.899999999999999" customHeight="1">
      <c r="A156" s="187"/>
      <c r="B156" s="192" t="s">
        <v>3486</v>
      </c>
      <c r="C156" s="190">
        <v>1</v>
      </c>
      <c r="D156" s="190">
        <v>7</v>
      </c>
      <c r="E156" s="193">
        <v>6.6</v>
      </c>
      <c r="F156" s="193"/>
      <c r="G156" s="193">
        <v>0.45</v>
      </c>
      <c r="H156" s="194">
        <f>ROUND(PRODUCT(C156:G156),2)</f>
        <v>20.79</v>
      </c>
      <c r="I156" s="186" t="e">
        <f>D156+#REF!+#REF!+#REF!</f>
        <v>#REF!</v>
      </c>
    </row>
    <row r="157" spans="1:10" s="186" customFormat="1" ht="19.899999999999999" customHeight="1">
      <c r="A157" s="187"/>
      <c r="B157" s="192" t="s">
        <v>3487</v>
      </c>
      <c r="C157" s="190">
        <v>1</v>
      </c>
      <c r="D157" s="190">
        <v>1</v>
      </c>
      <c r="E157" s="193">
        <v>7</v>
      </c>
      <c r="F157" s="193"/>
      <c r="G157" s="193">
        <v>0.45</v>
      </c>
      <c r="H157" s="194">
        <f t="shared" ref="H157:H160" si="9">ROUND(PRODUCT(C157:G157),2)</f>
        <v>3.15</v>
      </c>
    </row>
    <row r="158" spans="1:10" s="186" customFormat="1" ht="19.899999999999999" customHeight="1">
      <c r="A158" s="187"/>
      <c r="B158" s="192" t="s">
        <v>3488</v>
      </c>
      <c r="C158" s="190">
        <v>1</v>
      </c>
      <c r="D158" s="190">
        <v>7</v>
      </c>
      <c r="E158" s="193">
        <v>8.84</v>
      </c>
      <c r="F158" s="193"/>
      <c r="G158" s="193">
        <v>0.55000000000000004</v>
      </c>
      <c r="H158" s="194">
        <f t="shared" si="9"/>
        <v>34.03</v>
      </c>
    </row>
    <row r="159" spans="1:10" s="186" customFormat="1" ht="19.899999999999999" customHeight="1">
      <c r="A159" s="187"/>
      <c r="B159" s="232" t="s">
        <v>3598</v>
      </c>
      <c r="C159" s="190">
        <v>1</v>
      </c>
      <c r="D159" s="190">
        <v>3</v>
      </c>
      <c r="E159" s="193">
        <v>9.6</v>
      </c>
      <c r="F159" s="193"/>
      <c r="G159" s="193">
        <v>0.6</v>
      </c>
      <c r="H159" s="194">
        <f t="shared" si="9"/>
        <v>17.28</v>
      </c>
    </row>
    <row r="160" spans="1:10" s="186" customFormat="1" ht="19.899999999999999" customHeight="1">
      <c r="A160" s="187"/>
      <c r="B160" s="192" t="s">
        <v>3489</v>
      </c>
      <c r="C160" s="190">
        <v>1</v>
      </c>
      <c r="D160" s="190">
        <v>1</v>
      </c>
      <c r="E160" s="193">
        <v>9.9</v>
      </c>
      <c r="F160" s="193"/>
      <c r="G160" s="193">
        <v>0.5</v>
      </c>
      <c r="H160" s="194">
        <f t="shared" si="9"/>
        <v>4.95</v>
      </c>
    </row>
    <row r="161" spans="1:8" ht="19.899999999999999" customHeight="1">
      <c r="A161" s="200"/>
      <c r="B161" s="189" t="s">
        <v>3523</v>
      </c>
      <c r="C161" s="206"/>
      <c r="D161" s="206"/>
      <c r="E161" s="200"/>
      <c r="F161" s="200"/>
      <c r="G161" s="200"/>
      <c r="H161" s="194">
        <f t="shared" ref="H161:H176" si="10">ROUND(PRODUCT(C161:G161),2)</f>
        <v>0</v>
      </c>
    </row>
    <row r="162" spans="1:8" s="186" customFormat="1" ht="19.899999999999999" customHeight="1">
      <c r="A162" s="187"/>
      <c r="B162" s="192" t="s">
        <v>3491</v>
      </c>
      <c r="C162" s="190">
        <v>1</v>
      </c>
      <c r="D162" s="190">
        <v>1</v>
      </c>
      <c r="E162" s="193">
        <v>53.8</v>
      </c>
      <c r="F162" s="193"/>
      <c r="G162" s="193">
        <v>0.3</v>
      </c>
      <c r="H162" s="194">
        <f t="shared" si="10"/>
        <v>16.14</v>
      </c>
    </row>
    <row r="163" spans="1:8" s="186" customFormat="1" ht="19.899999999999999" customHeight="1">
      <c r="A163" s="187"/>
      <c r="B163" s="192" t="s">
        <v>3532</v>
      </c>
      <c r="C163" s="190">
        <v>1</v>
      </c>
      <c r="D163" s="190">
        <v>1</v>
      </c>
      <c r="E163" s="193">
        <v>15.18</v>
      </c>
      <c r="F163" s="193"/>
      <c r="G163" s="193">
        <v>0.08</v>
      </c>
      <c r="H163" s="194">
        <f t="shared" si="10"/>
        <v>1.21</v>
      </c>
    </row>
    <row r="164" spans="1:8" s="186" customFormat="1" ht="19.899999999999999" customHeight="1">
      <c r="A164" s="187"/>
      <c r="B164" s="192" t="s">
        <v>3506</v>
      </c>
      <c r="C164" s="190">
        <v>1</v>
      </c>
      <c r="D164" s="190">
        <v>1</v>
      </c>
      <c r="E164" s="193">
        <v>14.7</v>
      </c>
      <c r="F164" s="193"/>
      <c r="G164" s="193">
        <v>0.3</v>
      </c>
      <c r="H164" s="194">
        <f t="shared" si="10"/>
        <v>4.41</v>
      </c>
    </row>
    <row r="165" spans="1:8" s="186" customFormat="1" ht="19.899999999999999" customHeight="1">
      <c r="A165" s="187"/>
      <c r="B165" s="192" t="s">
        <v>3532</v>
      </c>
      <c r="C165" s="190">
        <v>1</v>
      </c>
      <c r="D165" s="190">
        <v>2</v>
      </c>
      <c r="E165" s="193">
        <v>3</v>
      </c>
      <c r="F165" s="193"/>
      <c r="G165" s="193">
        <v>0.08</v>
      </c>
      <c r="H165" s="194">
        <f t="shared" si="10"/>
        <v>0.48</v>
      </c>
    </row>
    <row r="166" spans="1:8" s="186" customFormat="1" ht="19.899999999999999" customHeight="1">
      <c r="A166" s="187"/>
      <c r="B166" s="192" t="s">
        <v>3507</v>
      </c>
      <c r="C166" s="190">
        <v>1</v>
      </c>
      <c r="D166" s="190">
        <v>1</v>
      </c>
      <c r="E166" s="193">
        <v>13.5</v>
      </c>
      <c r="F166" s="193"/>
      <c r="G166" s="193">
        <v>0.3</v>
      </c>
      <c r="H166" s="194">
        <f t="shared" si="10"/>
        <v>4.05</v>
      </c>
    </row>
    <row r="167" spans="1:8" s="186" customFormat="1" ht="19.899999999999999" customHeight="1">
      <c r="A167" s="187"/>
      <c r="B167" s="192" t="s">
        <v>3532</v>
      </c>
      <c r="C167" s="190">
        <v>1</v>
      </c>
      <c r="D167" s="190">
        <v>2</v>
      </c>
      <c r="E167" s="193">
        <v>2.4</v>
      </c>
      <c r="F167" s="193"/>
      <c r="G167" s="193">
        <v>0.08</v>
      </c>
      <c r="H167" s="194">
        <f t="shared" si="10"/>
        <v>0.38</v>
      </c>
    </row>
    <row r="168" spans="1:8" s="186" customFormat="1" ht="19.899999999999999" customHeight="1">
      <c r="A168" s="187"/>
      <c r="B168" s="192" t="s">
        <v>3508</v>
      </c>
      <c r="C168" s="190">
        <v>1</v>
      </c>
      <c r="D168" s="190">
        <v>1</v>
      </c>
      <c r="E168" s="193">
        <v>16.5</v>
      </c>
      <c r="F168" s="193"/>
      <c r="G168" s="193">
        <v>0.3</v>
      </c>
      <c r="H168" s="194">
        <f t="shared" si="10"/>
        <v>4.95</v>
      </c>
    </row>
    <row r="169" spans="1:8" s="186" customFormat="1" ht="19.899999999999999" customHeight="1">
      <c r="A169" s="187"/>
      <c r="B169" s="192" t="s">
        <v>3532</v>
      </c>
      <c r="C169" s="190">
        <v>1</v>
      </c>
      <c r="D169" s="190">
        <v>2</v>
      </c>
      <c r="E169" s="193">
        <v>3.9</v>
      </c>
      <c r="F169" s="193"/>
      <c r="G169" s="193">
        <v>0.08</v>
      </c>
      <c r="H169" s="194">
        <f t="shared" si="10"/>
        <v>0.62</v>
      </c>
    </row>
    <row r="170" spans="1:8" s="186" customFormat="1" ht="19.899999999999999" customHeight="1">
      <c r="A170" s="187"/>
      <c r="B170" s="192" t="s">
        <v>3384</v>
      </c>
      <c r="C170" s="190">
        <v>1</v>
      </c>
      <c r="D170" s="190">
        <v>1</v>
      </c>
      <c r="E170" s="193">
        <v>11.7</v>
      </c>
      <c r="F170" s="193"/>
      <c r="G170" s="193">
        <v>0.3</v>
      </c>
      <c r="H170" s="194">
        <f t="shared" si="10"/>
        <v>3.51</v>
      </c>
    </row>
    <row r="171" spans="1:8" s="186" customFormat="1" ht="19.899999999999999" customHeight="1">
      <c r="A171" s="187"/>
      <c r="B171" s="192" t="s">
        <v>3532</v>
      </c>
      <c r="C171" s="190">
        <v>1</v>
      </c>
      <c r="D171" s="190">
        <v>2</v>
      </c>
      <c r="E171" s="193">
        <v>1.5</v>
      </c>
      <c r="F171" s="193"/>
      <c r="G171" s="193">
        <v>0.08</v>
      </c>
      <c r="H171" s="194">
        <f t="shared" si="10"/>
        <v>0.24</v>
      </c>
    </row>
    <row r="172" spans="1:8" s="186" customFormat="1" ht="19.899999999999999" customHeight="1">
      <c r="A172" s="187"/>
      <c r="B172" s="192" t="s">
        <v>3533</v>
      </c>
      <c r="C172" s="190">
        <v>1</v>
      </c>
      <c r="D172" s="190">
        <v>1</v>
      </c>
      <c r="E172" s="193">
        <v>15.46</v>
      </c>
      <c r="F172" s="193"/>
      <c r="G172" s="193">
        <v>0.3</v>
      </c>
      <c r="H172" s="194">
        <f t="shared" si="10"/>
        <v>4.6399999999999997</v>
      </c>
    </row>
    <row r="173" spans="1:8" s="186" customFormat="1" ht="19.899999999999999" customHeight="1">
      <c r="A173" s="187"/>
      <c r="B173" s="192" t="s">
        <v>3532</v>
      </c>
      <c r="C173" s="190">
        <v>1</v>
      </c>
      <c r="D173" s="190">
        <v>1</v>
      </c>
      <c r="E173" s="193">
        <v>5.63</v>
      </c>
      <c r="F173" s="193"/>
      <c r="G173" s="193">
        <v>0.08</v>
      </c>
      <c r="H173" s="194">
        <f t="shared" si="10"/>
        <v>0.45</v>
      </c>
    </row>
    <row r="174" spans="1:8" s="186" customFormat="1" ht="19.899999999999999" customHeight="1">
      <c r="A174" s="187"/>
      <c r="B174" s="192" t="s">
        <v>3511</v>
      </c>
      <c r="C174" s="190">
        <v>1</v>
      </c>
      <c r="D174" s="190">
        <v>3</v>
      </c>
      <c r="E174" s="193">
        <v>19.96</v>
      </c>
      <c r="F174" s="193"/>
      <c r="G174" s="193">
        <v>0.3</v>
      </c>
      <c r="H174" s="194">
        <f t="shared" si="10"/>
        <v>17.96</v>
      </c>
    </row>
    <row r="175" spans="1:8" s="186" customFormat="1" ht="19.899999999999999" customHeight="1">
      <c r="A175" s="187"/>
      <c r="B175" s="192" t="s">
        <v>3511</v>
      </c>
      <c r="C175" s="190">
        <v>1</v>
      </c>
      <c r="D175" s="190">
        <v>1</v>
      </c>
      <c r="E175" s="193">
        <v>14.7</v>
      </c>
      <c r="F175" s="193"/>
      <c r="G175" s="193">
        <v>0.3</v>
      </c>
      <c r="H175" s="194">
        <f t="shared" si="10"/>
        <v>4.41</v>
      </c>
    </row>
    <row r="176" spans="1:8" s="186" customFormat="1" ht="19.899999999999999" customHeight="1">
      <c r="A176" s="187"/>
      <c r="B176" s="192" t="s">
        <v>3532</v>
      </c>
      <c r="C176" s="190">
        <v>1</v>
      </c>
      <c r="D176" s="190">
        <v>3</v>
      </c>
      <c r="E176" s="193">
        <v>3</v>
      </c>
      <c r="F176" s="193"/>
      <c r="G176" s="193">
        <v>0.08</v>
      </c>
      <c r="H176" s="194">
        <f t="shared" si="10"/>
        <v>0.72</v>
      </c>
    </row>
    <row r="177" spans="1:10" s="186" customFormat="1" ht="19.899999999999999" customHeight="1">
      <c r="A177" s="187"/>
      <c r="B177" s="189" t="str">
        <f t="shared" ref="B177:H177" si="11">B124</f>
        <v>Plinth Beam</v>
      </c>
      <c r="C177" s="206">
        <f t="shared" si="11"/>
        <v>0</v>
      </c>
      <c r="D177" s="206">
        <f t="shared" si="11"/>
        <v>0</v>
      </c>
      <c r="E177" s="200">
        <f t="shared" si="11"/>
        <v>0</v>
      </c>
      <c r="F177" s="200">
        <f t="shared" si="11"/>
        <v>0</v>
      </c>
      <c r="G177" s="200">
        <f t="shared" si="11"/>
        <v>0</v>
      </c>
      <c r="H177" s="194">
        <f t="shared" si="11"/>
        <v>0</v>
      </c>
    </row>
    <row r="178" spans="1:10" s="186" customFormat="1" ht="19.899999999999999" customHeight="1">
      <c r="A178" s="187"/>
      <c r="B178" s="192" t="s">
        <v>3491</v>
      </c>
      <c r="C178" s="190">
        <v>1</v>
      </c>
      <c r="D178" s="190">
        <v>1</v>
      </c>
      <c r="E178" s="193">
        <v>53.8</v>
      </c>
      <c r="F178" s="193"/>
      <c r="G178" s="193">
        <v>0.1</v>
      </c>
      <c r="H178" s="194">
        <f t="shared" ref="H178:H185" si="12">ROUND(PRODUCT(C178:G178),2)</f>
        <v>5.38</v>
      </c>
    </row>
    <row r="179" spans="1:10" s="186" customFormat="1" ht="19.899999999999999" customHeight="1">
      <c r="A179" s="187"/>
      <c r="B179" s="192" t="s">
        <v>3506</v>
      </c>
      <c r="C179" s="190">
        <v>1</v>
      </c>
      <c r="D179" s="190">
        <v>1</v>
      </c>
      <c r="E179" s="193">
        <v>14.7</v>
      </c>
      <c r="F179" s="193"/>
      <c r="G179" s="193">
        <v>0.1</v>
      </c>
      <c r="H179" s="194">
        <f t="shared" si="12"/>
        <v>1.47</v>
      </c>
    </row>
    <row r="180" spans="1:10" s="186" customFormat="1" ht="19.899999999999999" customHeight="1">
      <c r="A180" s="187"/>
      <c r="B180" s="192" t="s">
        <v>3507</v>
      </c>
      <c r="C180" s="190">
        <v>1</v>
      </c>
      <c r="D180" s="190">
        <v>1</v>
      </c>
      <c r="E180" s="193">
        <v>13.5</v>
      </c>
      <c r="F180" s="193"/>
      <c r="G180" s="193">
        <v>0.1</v>
      </c>
      <c r="H180" s="194">
        <f t="shared" si="12"/>
        <v>1.35</v>
      </c>
    </row>
    <row r="181" spans="1:10" s="186" customFormat="1" ht="19.899999999999999" customHeight="1">
      <c r="A181" s="187"/>
      <c r="B181" s="192" t="s">
        <v>3508</v>
      </c>
      <c r="C181" s="190">
        <v>1</v>
      </c>
      <c r="D181" s="190">
        <v>1</v>
      </c>
      <c r="E181" s="193">
        <v>16.5</v>
      </c>
      <c r="F181" s="193"/>
      <c r="G181" s="193">
        <v>0.1</v>
      </c>
      <c r="H181" s="194">
        <f t="shared" si="12"/>
        <v>1.65</v>
      </c>
    </row>
    <row r="182" spans="1:10" s="186" customFormat="1" ht="19.899999999999999" customHeight="1">
      <c r="A182" s="187"/>
      <c r="B182" s="192" t="s">
        <v>3384</v>
      </c>
      <c r="C182" s="190">
        <v>1</v>
      </c>
      <c r="D182" s="190">
        <v>1</v>
      </c>
      <c r="E182" s="193">
        <v>11.7</v>
      </c>
      <c r="F182" s="193"/>
      <c r="G182" s="193">
        <v>0.1</v>
      </c>
      <c r="H182" s="194">
        <f t="shared" si="12"/>
        <v>1.17</v>
      </c>
    </row>
    <row r="183" spans="1:10" s="186" customFormat="1" ht="19.899999999999999" customHeight="1">
      <c r="A183" s="187"/>
      <c r="B183" s="192" t="s">
        <v>3533</v>
      </c>
      <c r="C183" s="190">
        <v>1</v>
      </c>
      <c r="D183" s="190">
        <v>1</v>
      </c>
      <c r="E183" s="193">
        <v>15.46</v>
      </c>
      <c r="F183" s="193"/>
      <c r="G183" s="193">
        <v>0.1</v>
      </c>
      <c r="H183" s="194">
        <f t="shared" si="12"/>
        <v>1.55</v>
      </c>
    </row>
    <row r="184" spans="1:10" s="186" customFormat="1" ht="19.899999999999999" customHeight="1">
      <c r="A184" s="187"/>
      <c r="B184" s="192" t="s">
        <v>3511</v>
      </c>
      <c r="C184" s="190">
        <v>1</v>
      </c>
      <c r="D184" s="190">
        <v>3</v>
      </c>
      <c r="E184" s="193">
        <v>19.96</v>
      </c>
      <c r="F184" s="193"/>
      <c r="G184" s="193">
        <v>0.1</v>
      </c>
      <c r="H184" s="194">
        <f t="shared" si="12"/>
        <v>5.99</v>
      </c>
    </row>
    <row r="185" spans="1:10" s="186" customFormat="1" ht="19.899999999999999" customHeight="1">
      <c r="A185" s="187"/>
      <c r="B185" s="192" t="s">
        <v>3511</v>
      </c>
      <c r="C185" s="190">
        <v>1</v>
      </c>
      <c r="D185" s="190">
        <v>1</v>
      </c>
      <c r="E185" s="193">
        <v>14.7</v>
      </c>
      <c r="F185" s="193"/>
      <c r="G185" s="193">
        <v>0.1</v>
      </c>
      <c r="H185" s="194">
        <f t="shared" si="12"/>
        <v>1.47</v>
      </c>
    </row>
    <row r="186" spans="1:10" ht="19.899999999999999" customHeight="1">
      <c r="A186" s="200"/>
      <c r="B186" s="202"/>
      <c r="C186" s="206"/>
      <c r="D186" s="206"/>
      <c r="E186" s="200"/>
      <c r="F186" s="193"/>
      <c r="G186" s="193"/>
      <c r="H186" s="194">
        <f>J187-I187</f>
        <v>0</v>
      </c>
      <c r="I186" s="186"/>
      <c r="J186" s="186"/>
    </row>
    <row r="187" spans="1:10" ht="19.899999999999999" customHeight="1">
      <c r="A187" s="200"/>
      <c r="B187" s="202"/>
      <c r="C187" s="206"/>
      <c r="D187" s="206"/>
      <c r="E187" s="200"/>
      <c r="F187" s="193"/>
      <c r="G187" s="193" t="s">
        <v>1827</v>
      </c>
      <c r="H187" s="194">
        <f>J187</f>
        <v>164.4</v>
      </c>
      <c r="I187" s="186">
        <f>SUM(H156:H185)</f>
        <v>164.4</v>
      </c>
      <c r="J187" s="186">
        <f>ROUNDUP(I187,1)</f>
        <v>164.4</v>
      </c>
    </row>
    <row r="188" spans="1:10" s="211" customFormat="1" ht="19.899999999999999" customHeight="1">
      <c r="A188" s="207"/>
      <c r="B188" s="208"/>
      <c r="C188" s="209"/>
      <c r="D188" s="209"/>
      <c r="E188" s="210"/>
      <c r="F188" s="197" t="s">
        <v>2560</v>
      </c>
      <c r="G188" s="197">
        <f>H187</f>
        <v>164.4</v>
      </c>
      <c r="H188" s="198" t="s">
        <v>1861</v>
      </c>
      <c r="I188" s="199"/>
      <c r="J188" s="199"/>
    </row>
    <row r="189" spans="1:10" ht="19.899999999999999" customHeight="1">
      <c r="A189" s="215">
        <v>18.100000000000001</v>
      </c>
      <c r="B189" s="995" t="s">
        <v>4801</v>
      </c>
      <c r="C189" s="996"/>
      <c r="D189" s="996"/>
      <c r="E189" s="996"/>
      <c r="F189" s="996"/>
      <c r="G189" s="997"/>
      <c r="H189" s="201"/>
    </row>
    <row r="190" spans="1:10" ht="33" customHeight="1">
      <c r="A190" s="200"/>
      <c r="B190" s="216" t="str">
        <f>B102</f>
        <v>Column Raising upto Grade beam bottom</v>
      </c>
      <c r="C190" s="190">
        <f>C102</f>
        <v>0</v>
      </c>
      <c r="D190" s="190">
        <f>D102</f>
        <v>0</v>
      </c>
      <c r="E190" s="191">
        <f>(E102+F102)*2</f>
        <v>0</v>
      </c>
      <c r="F190" s="191"/>
      <c r="G190" s="217">
        <f>G102</f>
        <v>0</v>
      </c>
      <c r="H190" s="201">
        <f>PRODUCT(C190:G190)</f>
        <v>0</v>
      </c>
    </row>
    <row r="191" spans="1:10" s="186" customFormat="1" ht="19.899999999999999" customHeight="1">
      <c r="A191" s="187"/>
      <c r="B191" s="192" t="s">
        <v>3486</v>
      </c>
      <c r="C191" s="190">
        <v>1</v>
      </c>
      <c r="D191" s="190">
        <v>7</v>
      </c>
      <c r="E191" s="193">
        <v>1.22</v>
      </c>
      <c r="F191" s="193"/>
      <c r="G191" s="193">
        <v>1.5</v>
      </c>
      <c r="H191" s="194">
        <f>ROUND(PRODUCT(C191:G191),2)</f>
        <v>12.81</v>
      </c>
      <c r="I191" s="186" t="e">
        <f>D191+#REF!+#REF!+#REF!</f>
        <v>#REF!</v>
      </c>
    </row>
    <row r="192" spans="1:10" s="186" customFormat="1" ht="19.899999999999999" customHeight="1">
      <c r="A192" s="187"/>
      <c r="B192" s="192" t="s">
        <v>3488</v>
      </c>
      <c r="C192" s="190">
        <v>1</v>
      </c>
      <c r="D192" s="190">
        <v>7</v>
      </c>
      <c r="E192" s="193">
        <v>1.36</v>
      </c>
      <c r="F192" s="193"/>
      <c r="G192" s="193">
        <v>1.45</v>
      </c>
      <c r="H192" s="194">
        <f t="shared" ref="H192:H202" si="13">ROUND(PRODUCT(C192:G192),2)</f>
        <v>13.8</v>
      </c>
    </row>
    <row r="193" spans="1:10" s="186" customFormat="1" ht="19.899999999999999" customHeight="1">
      <c r="A193" s="187"/>
      <c r="B193" s="192" t="s">
        <v>3499</v>
      </c>
      <c r="C193" s="190">
        <v>1</v>
      </c>
      <c r="D193" s="190">
        <v>1</v>
      </c>
      <c r="E193" s="193">
        <v>1.22</v>
      </c>
      <c r="F193" s="193"/>
      <c r="G193" s="193">
        <v>1.45</v>
      </c>
      <c r="H193" s="194">
        <f t="shared" si="13"/>
        <v>1.77</v>
      </c>
    </row>
    <row r="194" spans="1:10" s="186" customFormat="1" ht="19.899999999999999" customHeight="1">
      <c r="A194" s="187"/>
      <c r="B194" s="192" t="s">
        <v>3500</v>
      </c>
      <c r="C194" s="190">
        <v>1</v>
      </c>
      <c r="D194" s="190">
        <v>1</v>
      </c>
      <c r="E194" s="193">
        <v>1.36</v>
      </c>
      <c r="F194" s="193"/>
      <c r="G194" s="193">
        <v>1.5</v>
      </c>
      <c r="H194" s="194">
        <f t="shared" si="13"/>
        <v>2.04</v>
      </c>
    </row>
    <row r="195" spans="1:10" s="186" customFormat="1" ht="19.899999999999999" customHeight="1">
      <c r="A195" s="187"/>
      <c r="B195" s="192" t="s">
        <v>3501</v>
      </c>
      <c r="C195" s="190">
        <v>1</v>
      </c>
      <c r="D195" s="190">
        <v>1</v>
      </c>
      <c r="E195" s="193">
        <v>1.36</v>
      </c>
      <c r="F195" s="193"/>
      <c r="G195" s="193">
        <v>1.4</v>
      </c>
      <c r="H195" s="194">
        <f t="shared" si="13"/>
        <v>1.9</v>
      </c>
    </row>
    <row r="196" spans="1:10" s="186" customFormat="1" ht="19.899999999999999" customHeight="1">
      <c r="A196" s="187"/>
      <c r="B196" s="192" t="s">
        <v>3502</v>
      </c>
      <c r="C196" s="190">
        <v>1</v>
      </c>
      <c r="D196" s="233">
        <v>2</v>
      </c>
      <c r="E196" s="193">
        <v>1.36</v>
      </c>
      <c r="F196" s="193"/>
      <c r="G196" s="193">
        <v>1.35</v>
      </c>
      <c r="H196" s="194">
        <f t="shared" si="13"/>
        <v>3.67</v>
      </c>
    </row>
    <row r="197" spans="1:10" s="186" customFormat="1" ht="19.899999999999999" customHeight="1">
      <c r="A197" s="187"/>
      <c r="B197" s="232" t="s">
        <v>3599</v>
      </c>
      <c r="C197" s="233">
        <v>1</v>
      </c>
      <c r="D197" s="233">
        <v>1</v>
      </c>
      <c r="E197" s="193">
        <v>1.66</v>
      </c>
      <c r="F197" s="193"/>
      <c r="G197" s="235">
        <v>1.35</v>
      </c>
      <c r="H197" s="194">
        <f t="shared" si="13"/>
        <v>2.2400000000000002</v>
      </c>
    </row>
    <row r="198" spans="1:10" s="186" customFormat="1" ht="33" customHeight="1">
      <c r="A198" s="187"/>
      <c r="B198" s="189" t="s">
        <v>3525</v>
      </c>
      <c r="C198" s="190"/>
      <c r="D198" s="190"/>
      <c r="E198" s="193"/>
      <c r="F198" s="193"/>
      <c r="G198" s="213"/>
      <c r="H198" s="194">
        <f t="shared" si="13"/>
        <v>0</v>
      </c>
    </row>
    <row r="199" spans="1:10" s="186" customFormat="1" ht="19.899999999999999" customHeight="1">
      <c r="A199" s="187"/>
      <c r="B199" s="192" t="s">
        <v>3499</v>
      </c>
      <c r="C199" s="190">
        <v>1</v>
      </c>
      <c r="D199" s="190">
        <v>8</v>
      </c>
      <c r="E199" s="193">
        <v>1.22</v>
      </c>
      <c r="F199" s="193"/>
      <c r="G199" s="193">
        <v>0.93</v>
      </c>
      <c r="H199" s="194">
        <f t="shared" si="13"/>
        <v>9.08</v>
      </c>
      <c r="I199" s="186" t="e">
        <f>D199+#REF!+#REF!+#REF!</f>
        <v>#REF!</v>
      </c>
    </row>
    <row r="200" spans="1:10" s="186" customFormat="1" ht="19.899999999999999" customHeight="1">
      <c r="A200" s="187"/>
      <c r="B200" s="192" t="s">
        <v>3500</v>
      </c>
      <c r="C200" s="190">
        <v>1</v>
      </c>
      <c r="D200" s="190">
        <v>1</v>
      </c>
      <c r="E200" s="193">
        <v>1.36</v>
      </c>
      <c r="F200" s="193"/>
      <c r="G200" s="193">
        <v>0.93</v>
      </c>
      <c r="H200" s="194">
        <f t="shared" si="13"/>
        <v>1.26</v>
      </c>
    </row>
    <row r="201" spans="1:10" s="186" customFormat="1" ht="19.899999999999999" customHeight="1">
      <c r="A201" s="187"/>
      <c r="B201" s="192" t="s">
        <v>3501</v>
      </c>
      <c r="C201" s="190">
        <v>1</v>
      </c>
      <c r="D201" s="190">
        <v>8</v>
      </c>
      <c r="E201" s="193">
        <v>1.36</v>
      </c>
      <c r="F201" s="193"/>
      <c r="G201" s="193">
        <v>0.93</v>
      </c>
      <c r="H201" s="194">
        <f t="shared" si="13"/>
        <v>10.119999999999999</v>
      </c>
    </row>
    <row r="202" spans="1:10" s="186" customFormat="1" ht="19.899999999999999" customHeight="1">
      <c r="A202" s="187"/>
      <c r="B202" s="192" t="s">
        <v>3502</v>
      </c>
      <c r="C202" s="190">
        <v>1</v>
      </c>
      <c r="D202" s="233">
        <v>2</v>
      </c>
      <c r="E202" s="193">
        <v>1.36</v>
      </c>
      <c r="F202" s="193"/>
      <c r="G202" s="193">
        <v>0.93</v>
      </c>
      <c r="H202" s="194">
        <f t="shared" si="13"/>
        <v>2.5299999999999998</v>
      </c>
    </row>
    <row r="203" spans="1:10" s="237" customFormat="1" ht="19.899999999999999" customHeight="1">
      <c r="A203" s="234"/>
      <c r="B203" s="232" t="s">
        <v>3599</v>
      </c>
      <c r="C203" s="233">
        <v>1</v>
      </c>
      <c r="D203" s="233">
        <v>1</v>
      </c>
      <c r="E203" s="235">
        <v>1.66</v>
      </c>
      <c r="F203" s="235"/>
      <c r="G203" s="235">
        <v>0.93</v>
      </c>
      <c r="H203" s="236">
        <f>ROUND(PRODUCT(C203:G203),2)</f>
        <v>1.54</v>
      </c>
    </row>
    <row r="204" spans="1:10" ht="19.899999999999999" customHeight="1">
      <c r="A204" s="200"/>
      <c r="B204" s="218"/>
      <c r="C204" s="219"/>
      <c r="D204" s="219"/>
      <c r="E204" s="193"/>
      <c r="F204" s="193"/>
      <c r="G204" s="193"/>
      <c r="H204" s="194">
        <f>J205-I205</f>
        <v>0.04</v>
      </c>
      <c r="I204" s="186"/>
      <c r="J204" s="186"/>
    </row>
    <row r="205" spans="1:10" ht="19.899999999999999" customHeight="1">
      <c r="A205" s="200"/>
      <c r="B205" s="218"/>
      <c r="C205" s="219"/>
      <c r="D205" s="219"/>
      <c r="E205" s="193"/>
      <c r="F205" s="193"/>
      <c r="G205" s="193" t="s">
        <v>1827</v>
      </c>
      <c r="H205" s="236">
        <f>J205+0.7</f>
        <v>63.5</v>
      </c>
      <c r="I205" s="186">
        <f>SUM(H191:H203)</f>
        <v>62.76</v>
      </c>
      <c r="J205" s="186">
        <f>ROUNDUP(I205,1)</f>
        <v>62.8</v>
      </c>
    </row>
    <row r="206" spans="1:10" s="211" customFormat="1" ht="25.15" customHeight="1">
      <c r="A206" s="207"/>
      <c r="B206" s="216"/>
      <c r="C206" s="220"/>
      <c r="D206" s="220"/>
      <c r="E206" s="184"/>
      <c r="F206" s="197" t="s">
        <v>2560</v>
      </c>
      <c r="G206" s="197">
        <f>H205</f>
        <v>63.5</v>
      </c>
      <c r="H206" s="198" t="s">
        <v>1861</v>
      </c>
      <c r="I206" s="199"/>
      <c r="J206" s="199"/>
    </row>
    <row r="207" spans="1:10" ht="24" customHeight="1">
      <c r="C207" s="223"/>
      <c r="D207" s="223"/>
    </row>
    <row r="208" spans="1:10" ht="24" customHeight="1">
      <c r="C208" s="223"/>
      <c r="D208" s="223"/>
    </row>
    <row r="209" spans="1:8" ht="66" hidden="1" customHeight="1">
      <c r="A209" s="224">
        <v>18.100000000000001</v>
      </c>
      <c r="B209" s="181" t="s">
        <v>3534</v>
      </c>
      <c r="C209" s="223"/>
      <c r="D209" s="223"/>
    </row>
    <row r="210" spans="1:8" ht="24" hidden="1" customHeight="1">
      <c r="B210" s="222" t="s">
        <v>3535</v>
      </c>
      <c r="C210" s="223"/>
      <c r="D210" s="223"/>
    </row>
    <row r="211" spans="1:8" ht="24" hidden="1" customHeight="1">
      <c r="B211" s="181" t="s">
        <v>3536</v>
      </c>
      <c r="C211" s="225">
        <v>2</v>
      </c>
      <c r="D211" s="225">
        <v>7</v>
      </c>
      <c r="E211" s="226">
        <v>1.81</v>
      </c>
      <c r="G211" s="174">
        <v>0.05</v>
      </c>
      <c r="H211" s="174">
        <f>C211*G211*E211*D211</f>
        <v>1.27</v>
      </c>
    </row>
    <row r="212" spans="1:8" ht="24" hidden="1" customHeight="1">
      <c r="B212" s="181" t="s">
        <v>3537</v>
      </c>
      <c r="C212" s="225">
        <v>2</v>
      </c>
      <c r="D212" s="225">
        <v>9</v>
      </c>
      <c r="E212" s="226">
        <v>1.81</v>
      </c>
      <c r="G212" s="174">
        <v>0.05</v>
      </c>
      <c r="H212" s="174">
        <f t="shared" ref="H212:H230" si="14">C212*G212*E212*D212</f>
        <v>1.63</v>
      </c>
    </row>
    <row r="213" spans="1:8" ht="24" hidden="1" customHeight="1">
      <c r="B213" s="181" t="s">
        <v>3538</v>
      </c>
      <c r="C213" s="225">
        <v>2</v>
      </c>
      <c r="D213" s="225">
        <v>1</v>
      </c>
      <c r="E213" s="226">
        <v>2.1</v>
      </c>
      <c r="G213" s="174">
        <v>0.05</v>
      </c>
      <c r="H213" s="174">
        <f t="shared" si="14"/>
        <v>0.21</v>
      </c>
    </row>
    <row r="214" spans="1:8" ht="24" hidden="1" customHeight="1">
      <c r="B214" s="181" t="s">
        <v>3539</v>
      </c>
      <c r="C214" s="225"/>
      <c r="D214" s="225"/>
      <c r="E214" s="226"/>
      <c r="F214" s="226"/>
      <c r="G214" s="226"/>
      <c r="H214" s="226"/>
    </row>
    <row r="215" spans="1:8" ht="24" hidden="1" customHeight="1">
      <c r="B215" s="227" t="s">
        <v>3540</v>
      </c>
      <c r="C215" s="228">
        <v>1</v>
      </c>
      <c r="D215" s="228">
        <v>1</v>
      </c>
      <c r="E215" s="226">
        <v>49.88</v>
      </c>
      <c r="F215" s="226"/>
      <c r="G215" s="226">
        <v>0.15</v>
      </c>
      <c r="H215" s="174">
        <f t="shared" ref="H215:H220" si="15">C215*G215*E215*D215</f>
        <v>7.48</v>
      </c>
    </row>
    <row r="216" spans="1:8" ht="24" hidden="1" customHeight="1">
      <c r="B216" s="227" t="s">
        <v>3541</v>
      </c>
      <c r="C216" s="228">
        <v>1</v>
      </c>
      <c r="D216" s="228">
        <v>1</v>
      </c>
      <c r="E216" s="226">
        <v>49.88</v>
      </c>
      <c r="F216" s="226"/>
      <c r="G216" s="226">
        <v>0.15</v>
      </c>
      <c r="H216" s="174">
        <f t="shared" si="15"/>
        <v>7.48</v>
      </c>
    </row>
    <row r="217" spans="1:8" ht="24" hidden="1" customHeight="1">
      <c r="B217" s="227" t="s">
        <v>3542</v>
      </c>
      <c r="C217" s="228">
        <v>2</v>
      </c>
      <c r="D217" s="228">
        <v>2</v>
      </c>
      <c r="E217" s="226">
        <v>13.22</v>
      </c>
      <c r="F217" s="226"/>
      <c r="G217" s="226">
        <v>0.15</v>
      </c>
      <c r="H217" s="174">
        <f t="shared" si="15"/>
        <v>7.93</v>
      </c>
    </row>
    <row r="218" spans="1:8" ht="24" hidden="1" customHeight="1">
      <c r="B218" s="227" t="s">
        <v>3542</v>
      </c>
      <c r="C218" s="228">
        <v>2</v>
      </c>
      <c r="D218" s="228">
        <v>2</v>
      </c>
      <c r="E218" s="226">
        <v>2.4</v>
      </c>
      <c r="F218" s="226"/>
      <c r="G218" s="226">
        <v>0.15</v>
      </c>
      <c r="H218" s="174">
        <f t="shared" si="15"/>
        <v>1.44</v>
      </c>
    </row>
    <row r="219" spans="1:8" ht="24" hidden="1" customHeight="1">
      <c r="B219" s="227" t="s">
        <v>3543</v>
      </c>
      <c r="C219" s="228">
        <v>2</v>
      </c>
      <c r="D219" s="228">
        <v>7</v>
      </c>
      <c r="E219" s="226">
        <v>4.2</v>
      </c>
      <c r="F219" s="226"/>
      <c r="G219" s="226">
        <v>0.15</v>
      </c>
      <c r="H219" s="174">
        <f t="shared" si="15"/>
        <v>8.82</v>
      </c>
    </row>
    <row r="220" spans="1:8" ht="24" hidden="1" customHeight="1">
      <c r="B220" s="227" t="s">
        <v>3544</v>
      </c>
      <c r="C220" s="228">
        <v>2</v>
      </c>
      <c r="D220" s="228">
        <v>1</v>
      </c>
      <c r="E220" s="229">
        <v>3.9649999999999999</v>
      </c>
      <c r="F220" s="226"/>
      <c r="G220" s="226">
        <v>0.15</v>
      </c>
      <c r="H220" s="174">
        <f t="shared" si="15"/>
        <v>1.19</v>
      </c>
    </row>
    <row r="221" spans="1:8" ht="24" hidden="1" customHeight="1">
      <c r="B221" s="222" t="s">
        <v>3545</v>
      </c>
      <c r="C221" s="223"/>
      <c r="D221" s="223"/>
    </row>
    <row r="222" spans="1:8" ht="24" hidden="1" customHeight="1">
      <c r="B222" s="227" t="s">
        <v>3540</v>
      </c>
      <c r="C222" s="228">
        <v>1</v>
      </c>
      <c r="D222" s="228">
        <v>1</v>
      </c>
      <c r="E222" s="174">
        <v>50.8</v>
      </c>
      <c r="F222" s="226"/>
      <c r="G222" s="226">
        <v>0.15</v>
      </c>
      <c r="H222" s="174">
        <f t="shared" si="14"/>
        <v>7.62</v>
      </c>
    </row>
    <row r="223" spans="1:8" ht="24" hidden="1" customHeight="1">
      <c r="B223" s="227" t="s">
        <v>3541</v>
      </c>
      <c r="C223" s="223">
        <v>1</v>
      </c>
      <c r="D223" s="223">
        <v>1</v>
      </c>
      <c r="E223" s="174">
        <v>48.96</v>
      </c>
      <c r="G223" s="226">
        <v>0.15</v>
      </c>
      <c r="H223" s="174">
        <f t="shared" si="14"/>
        <v>7.34</v>
      </c>
    </row>
    <row r="224" spans="1:8" ht="24" hidden="1" customHeight="1">
      <c r="B224" s="227" t="s">
        <v>3542</v>
      </c>
      <c r="C224" s="228">
        <v>2</v>
      </c>
      <c r="D224" s="228">
        <v>2</v>
      </c>
      <c r="E224" s="226">
        <v>13.22</v>
      </c>
      <c r="F224" s="226"/>
      <c r="G224" s="226">
        <v>0.15</v>
      </c>
      <c r="H224" s="174">
        <f t="shared" si="14"/>
        <v>7.93</v>
      </c>
    </row>
    <row r="225" spans="2:8" ht="24" hidden="1" customHeight="1">
      <c r="B225" s="227" t="s">
        <v>3543</v>
      </c>
      <c r="C225" s="228">
        <v>2</v>
      </c>
      <c r="D225" s="228">
        <v>7</v>
      </c>
      <c r="E225" s="226">
        <v>4.2</v>
      </c>
      <c r="F225" s="226"/>
      <c r="G225" s="226">
        <v>0.15</v>
      </c>
      <c r="H225" s="174">
        <f t="shared" si="14"/>
        <v>8.82</v>
      </c>
    </row>
    <row r="226" spans="2:8" ht="24" hidden="1" customHeight="1">
      <c r="B226" s="227" t="s">
        <v>3543</v>
      </c>
      <c r="C226" s="223">
        <v>2</v>
      </c>
      <c r="D226" s="223">
        <v>1</v>
      </c>
      <c r="E226" s="174">
        <v>2.1</v>
      </c>
      <c r="G226" s="174">
        <v>0.15</v>
      </c>
      <c r="H226" s="174">
        <f t="shared" si="14"/>
        <v>0.63</v>
      </c>
    </row>
    <row r="227" spans="2:8" ht="24" hidden="1" customHeight="1">
      <c r="B227" s="222" t="s">
        <v>3546</v>
      </c>
      <c r="C227" s="223">
        <v>1</v>
      </c>
      <c r="D227" s="223">
        <v>7</v>
      </c>
      <c r="E227" s="174">
        <v>1.81</v>
      </c>
      <c r="F227" s="174">
        <v>0.6</v>
      </c>
      <c r="H227" s="174">
        <f>F227*E227*D227*C227</f>
        <v>7.6</v>
      </c>
    </row>
    <row r="228" spans="2:8" ht="24" hidden="1" customHeight="1">
      <c r="B228" s="222" t="s">
        <v>3547</v>
      </c>
      <c r="C228" s="223">
        <v>2</v>
      </c>
      <c r="D228" s="223">
        <v>7</v>
      </c>
      <c r="E228" s="174">
        <v>0.6</v>
      </c>
      <c r="G228" s="230">
        <v>6.3E-2</v>
      </c>
      <c r="H228" s="174">
        <f t="shared" si="14"/>
        <v>0.53</v>
      </c>
    </row>
    <row r="229" spans="2:8" ht="24" hidden="1" customHeight="1">
      <c r="B229" s="222" t="s">
        <v>3548</v>
      </c>
      <c r="C229" s="223">
        <v>1</v>
      </c>
      <c r="D229" s="223">
        <v>9</v>
      </c>
      <c r="E229" s="174">
        <v>1.81</v>
      </c>
      <c r="F229" s="174">
        <v>0.6</v>
      </c>
      <c r="H229" s="174">
        <f>F229*E229*D229*C229</f>
        <v>9.77</v>
      </c>
    </row>
    <row r="230" spans="2:8" ht="24" hidden="1" customHeight="1">
      <c r="B230" s="222" t="s">
        <v>3547</v>
      </c>
      <c r="C230" s="223">
        <v>2</v>
      </c>
      <c r="D230" s="223">
        <v>9</v>
      </c>
      <c r="E230" s="174">
        <v>0.6</v>
      </c>
      <c r="G230" s="230">
        <v>6.3E-2</v>
      </c>
      <c r="H230" s="174">
        <f t="shared" si="14"/>
        <v>0.68</v>
      </c>
    </row>
    <row r="231" spans="2:8" ht="24" hidden="1" customHeight="1">
      <c r="B231" s="222" t="s">
        <v>3549</v>
      </c>
      <c r="C231" s="223"/>
      <c r="D231" s="223"/>
    </row>
    <row r="232" spans="2:8" ht="24" hidden="1" customHeight="1">
      <c r="B232" s="222" t="s">
        <v>3550</v>
      </c>
      <c r="C232" s="223">
        <v>1</v>
      </c>
      <c r="D232" s="223">
        <v>2</v>
      </c>
      <c r="E232" s="174">
        <v>4.3499999999999996</v>
      </c>
      <c r="F232" s="174">
        <v>3</v>
      </c>
      <c r="H232" s="174">
        <f t="shared" ref="H232:H244" si="16">F232*E232*D232*C232</f>
        <v>26.1</v>
      </c>
    </row>
    <row r="233" spans="2:8" ht="24" hidden="1" customHeight="1">
      <c r="B233" s="222" t="s">
        <v>3551</v>
      </c>
      <c r="C233" s="223">
        <v>1</v>
      </c>
      <c r="D233" s="223">
        <v>2</v>
      </c>
      <c r="E233" s="174">
        <v>4.3499999999999996</v>
      </c>
      <c r="F233" s="174">
        <v>1.5</v>
      </c>
      <c r="H233" s="174">
        <f t="shared" si="16"/>
        <v>13.05</v>
      </c>
    </row>
    <row r="234" spans="2:8" ht="24" hidden="1" customHeight="1">
      <c r="B234" s="222" t="s">
        <v>3552</v>
      </c>
      <c r="C234" s="223">
        <v>1</v>
      </c>
      <c r="D234" s="223">
        <v>1</v>
      </c>
      <c r="E234" s="174">
        <v>4.3499999999999996</v>
      </c>
      <c r="F234" s="174">
        <v>5.63</v>
      </c>
      <c r="H234" s="174">
        <f t="shared" si="16"/>
        <v>24.49</v>
      </c>
    </row>
    <row r="235" spans="2:8" ht="24" hidden="1" customHeight="1">
      <c r="B235" s="222" t="s">
        <v>3379</v>
      </c>
      <c r="C235" s="223">
        <v>1</v>
      </c>
      <c r="D235" s="223">
        <v>1</v>
      </c>
      <c r="E235" s="174">
        <v>3</v>
      </c>
      <c r="F235" s="174">
        <v>2.4</v>
      </c>
      <c r="H235" s="174">
        <f t="shared" si="16"/>
        <v>7.2</v>
      </c>
    </row>
    <row r="236" spans="2:8" ht="24" hidden="1" customHeight="1">
      <c r="B236" s="222" t="s">
        <v>3385</v>
      </c>
      <c r="C236" s="223">
        <v>1</v>
      </c>
      <c r="D236" s="223">
        <v>1</v>
      </c>
      <c r="E236" s="174">
        <v>3</v>
      </c>
      <c r="F236" s="174">
        <v>2.4</v>
      </c>
      <c r="H236" s="174">
        <f t="shared" si="16"/>
        <v>7.2</v>
      </c>
    </row>
    <row r="237" spans="2:8" ht="24" hidden="1" customHeight="1">
      <c r="B237" s="222" t="s">
        <v>3553</v>
      </c>
      <c r="C237" s="223">
        <v>1</v>
      </c>
      <c r="D237" s="223">
        <v>2</v>
      </c>
      <c r="E237" s="174">
        <v>1.1200000000000001</v>
      </c>
      <c r="F237" s="174">
        <v>2.4</v>
      </c>
      <c r="H237" s="174">
        <f t="shared" si="16"/>
        <v>5.38</v>
      </c>
    </row>
    <row r="238" spans="2:8" ht="24" hidden="1" customHeight="1">
      <c r="B238" s="222" t="s">
        <v>3554</v>
      </c>
      <c r="C238" s="223">
        <v>1</v>
      </c>
      <c r="D238" s="223">
        <v>1</v>
      </c>
      <c r="E238" s="174">
        <v>2.1</v>
      </c>
      <c r="F238" s="174">
        <v>13.22</v>
      </c>
      <c r="H238" s="174">
        <f t="shared" si="16"/>
        <v>27.76</v>
      </c>
    </row>
    <row r="239" spans="2:8" ht="24" hidden="1" customHeight="1">
      <c r="B239" s="222" t="s">
        <v>3555</v>
      </c>
      <c r="C239" s="223">
        <v>1</v>
      </c>
      <c r="D239" s="223">
        <v>1</v>
      </c>
      <c r="E239" s="174">
        <v>4.3499999999999996</v>
      </c>
      <c r="F239" s="174">
        <v>2.4</v>
      </c>
      <c r="H239" s="174">
        <f t="shared" si="16"/>
        <v>10.44</v>
      </c>
    </row>
    <row r="240" spans="2:8" ht="24" hidden="1" customHeight="1">
      <c r="B240" s="222" t="s">
        <v>3556</v>
      </c>
      <c r="C240" s="223">
        <v>1</v>
      </c>
      <c r="D240" s="223">
        <v>1</v>
      </c>
      <c r="E240" s="174">
        <v>4.3499999999999996</v>
      </c>
      <c r="F240" s="174">
        <v>3</v>
      </c>
      <c r="H240" s="174">
        <f t="shared" si="16"/>
        <v>13.05</v>
      </c>
    </row>
    <row r="241" spans="2:8" ht="24" hidden="1" customHeight="1">
      <c r="B241" s="222" t="s">
        <v>3557</v>
      </c>
      <c r="C241" s="223">
        <v>1</v>
      </c>
      <c r="D241" s="223">
        <v>1</v>
      </c>
      <c r="E241" s="230">
        <v>3.9649999999999999</v>
      </c>
      <c r="F241" s="174">
        <v>0.23</v>
      </c>
      <c r="H241" s="174">
        <f t="shared" si="16"/>
        <v>0.91</v>
      </c>
    </row>
    <row r="242" spans="2:8" ht="24" hidden="1" customHeight="1">
      <c r="B242" s="222" t="s">
        <v>3558</v>
      </c>
      <c r="C242" s="223">
        <v>1</v>
      </c>
      <c r="D242" s="223">
        <v>1</v>
      </c>
      <c r="E242" s="174">
        <v>3.54</v>
      </c>
      <c r="F242" s="174">
        <v>3</v>
      </c>
      <c r="H242" s="174">
        <f t="shared" si="16"/>
        <v>10.62</v>
      </c>
    </row>
    <row r="243" spans="2:8" ht="24" hidden="1" customHeight="1">
      <c r="B243" s="222" t="s">
        <v>3559</v>
      </c>
      <c r="C243" s="223">
        <v>1</v>
      </c>
      <c r="D243" s="223">
        <v>1</v>
      </c>
      <c r="E243" s="174">
        <v>50.8</v>
      </c>
      <c r="G243" s="174">
        <v>0.3</v>
      </c>
      <c r="H243" s="174">
        <f>C243*G243*E243*D243</f>
        <v>15.24</v>
      </c>
    </row>
    <row r="244" spans="2:8" ht="24" hidden="1" customHeight="1">
      <c r="B244" s="222" t="s">
        <v>3560</v>
      </c>
      <c r="C244" s="223">
        <v>1</v>
      </c>
      <c r="D244" s="223">
        <v>1</v>
      </c>
      <c r="E244" s="174">
        <v>10</v>
      </c>
      <c r="F244" s="174">
        <v>0.23</v>
      </c>
      <c r="H244" s="174">
        <f t="shared" si="16"/>
        <v>2.2999999999999998</v>
      </c>
    </row>
    <row r="245" spans="2:8" ht="24" hidden="1" customHeight="1">
      <c r="B245" s="222" t="s">
        <v>3561</v>
      </c>
      <c r="C245" s="223">
        <v>1</v>
      </c>
      <c r="D245" s="223">
        <v>1</v>
      </c>
      <c r="E245" s="174">
        <v>9.5399999999999991</v>
      </c>
      <c r="G245" s="174">
        <v>0.3</v>
      </c>
      <c r="H245" s="174">
        <f t="shared" ref="H245:H265" si="17">C245*G245*E245*D245</f>
        <v>2.86</v>
      </c>
    </row>
    <row r="246" spans="2:8" ht="24" hidden="1" customHeight="1">
      <c r="B246" s="222" t="s">
        <v>3562</v>
      </c>
      <c r="C246" s="223">
        <v>1</v>
      </c>
      <c r="D246" s="223">
        <v>1</v>
      </c>
      <c r="E246" s="174">
        <v>10.46</v>
      </c>
      <c r="G246" s="174">
        <v>0.3</v>
      </c>
      <c r="H246" s="174">
        <f t="shared" si="17"/>
        <v>3.14</v>
      </c>
    </row>
    <row r="247" spans="2:8" ht="24" hidden="1" customHeight="1">
      <c r="B247" s="222" t="s">
        <v>3563</v>
      </c>
      <c r="C247" s="223">
        <v>1</v>
      </c>
      <c r="D247" s="223">
        <v>1</v>
      </c>
      <c r="E247" s="174">
        <v>14.7</v>
      </c>
      <c r="G247" s="174">
        <v>0.19</v>
      </c>
      <c r="H247" s="174">
        <f t="shared" si="17"/>
        <v>2.79</v>
      </c>
    </row>
    <row r="248" spans="2:8" ht="24" hidden="1" customHeight="1">
      <c r="B248" s="222" t="s">
        <v>3551</v>
      </c>
      <c r="C248" s="223">
        <v>1</v>
      </c>
      <c r="D248" s="223">
        <v>1</v>
      </c>
      <c r="E248" s="174">
        <v>11.7</v>
      </c>
      <c r="G248" s="174">
        <v>0.19</v>
      </c>
      <c r="H248" s="174">
        <f t="shared" si="17"/>
        <v>2.2200000000000002</v>
      </c>
    </row>
    <row r="249" spans="2:8" ht="24" hidden="1" customHeight="1">
      <c r="B249" s="222" t="s">
        <v>3552</v>
      </c>
      <c r="C249" s="223">
        <v>1</v>
      </c>
      <c r="D249" s="223">
        <v>1</v>
      </c>
      <c r="E249" s="174">
        <v>19.96</v>
      </c>
      <c r="G249" s="174">
        <v>0.19</v>
      </c>
      <c r="H249" s="174">
        <f t="shared" si="17"/>
        <v>3.79</v>
      </c>
    </row>
    <row r="250" spans="2:8" ht="24" hidden="1" customHeight="1">
      <c r="B250" s="222" t="s">
        <v>3379</v>
      </c>
      <c r="C250" s="223">
        <v>1</v>
      </c>
      <c r="D250" s="223">
        <v>1</v>
      </c>
      <c r="E250" s="174">
        <v>10.8</v>
      </c>
      <c r="G250" s="174">
        <v>0.19</v>
      </c>
      <c r="H250" s="174">
        <f t="shared" si="17"/>
        <v>2.0499999999999998</v>
      </c>
    </row>
    <row r="251" spans="2:8" ht="24" hidden="1" customHeight="1">
      <c r="B251" s="222" t="s">
        <v>3385</v>
      </c>
      <c r="C251" s="223">
        <v>1</v>
      </c>
      <c r="D251" s="223">
        <v>1</v>
      </c>
      <c r="E251" s="174">
        <v>10.8</v>
      </c>
      <c r="G251" s="174">
        <v>0.19</v>
      </c>
      <c r="H251" s="174">
        <f t="shared" si="17"/>
        <v>2.0499999999999998</v>
      </c>
    </row>
    <row r="252" spans="2:8" ht="24" hidden="1" customHeight="1">
      <c r="B252" s="222" t="s">
        <v>3553</v>
      </c>
      <c r="C252" s="223">
        <v>1</v>
      </c>
      <c r="D252" s="223">
        <v>1</v>
      </c>
      <c r="E252" s="174">
        <v>7.04</v>
      </c>
      <c r="G252" s="174">
        <v>0.19</v>
      </c>
      <c r="H252" s="174">
        <f t="shared" si="17"/>
        <v>1.34</v>
      </c>
    </row>
    <row r="253" spans="2:8" ht="24" hidden="1" customHeight="1">
      <c r="B253" s="222" t="s">
        <v>3554</v>
      </c>
      <c r="C253" s="223">
        <v>1</v>
      </c>
      <c r="D253" s="223">
        <v>1</v>
      </c>
      <c r="E253" s="174">
        <v>30.64</v>
      </c>
      <c r="G253" s="174">
        <v>0.19</v>
      </c>
      <c r="H253" s="174">
        <f t="shared" si="17"/>
        <v>5.82</v>
      </c>
    </row>
    <row r="254" spans="2:8" ht="24" hidden="1" customHeight="1">
      <c r="B254" s="222" t="s">
        <v>3555</v>
      </c>
      <c r="C254" s="223">
        <v>1</v>
      </c>
      <c r="D254" s="223">
        <v>1</v>
      </c>
      <c r="E254" s="174">
        <v>13.5</v>
      </c>
      <c r="G254" s="174">
        <v>0.19</v>
      </c>
      <c r="H254" s="174">
        <f t="shared" si="17"/>
        <v>2.57</v>
      </c>
    </row>
    <row r="255" spans="2:8" ht="24" hidden="1" customHeight="1">
      <c r="B255" s="222" t="s">
        <v>3556</v>
      </c>
      <c r="C255" s="223">
        <v>1</v>
      </c>
      <c r="D255" s="223">
        <v>1</v>
      </c>
      <c r="E255" s="174">
        <v>14.7</v>
      </c>
      <c r="G255" s="174">
        <v>0.19</v>
      </c>
      <c r="H255" s="174">
        <f t="shared" si="17"/>
        <v>2.79</v>
      </c>
    </row>
    <row r="256" spans="2:8" ht="24" hidden="1" customHeight="1">
      <c r="B256" s="222" t="s">
        <v>3557</v>
      </c>
      <c r="C256" s="223">
        <v>1</v>
      </c>
      <c r="D256" s="223">
        <v>1</v>
      </c>
      <c r="E256" s="174">
        <v>8.4</v>
      </c>
      <c r="G256" s="174">
        <v>0.19</v>
      </c>
      <c r="H256" s="174">
        <f t="shared" si="17"/>
        <v>1.6</v>
      </c>
    </row>
    <row r="257" spans="2:8" ht="24" hidden="1" customHeight="1">
      <c r="B257" s="222" t="s">
        <v>3558</v>
      </c>
      <c r="C257" s="223">
        <v>1</v>
      </c>
      <c r="D257" s="223">
        <v>1</v>
      </c>
      <c r="E257" s="174">
        <v>13.08</v>
      </c>
      <c r="G257" s="174">
        <v>0.19</v>
      </c>
      <c r="H257" s="174">
        <f t="shared" si="17"/>
        <v>2.4900000000000002</v>
      </c>
    </row>
    <row r="258" spans="2:8" ht="24" hidden="1" customHeight="1">
      <c r="B258" s="222" t="s">
        <v>3564</v>
      </c>
      <c r="C258" s="223">
        <v>1</v>
      </c>
      <c r="D258" s="223">
        <v>1</v>
      </c>
      <c r="E258" s="174">
        <v>50.8</v>
      </c>
      <c r="G258" s="174">
        <v>0.3</v>
      </c>
      <c r="H258" s="174">
        <f t="shared" si="17"/>
        <v>15.24</v>
      </c>
    </row>
    <row r="259" spans="2:8" ht="24" hidden="1" customHeight="1">
      <c r="B259" s="222" t="s">
        <v>3565</v>
      </c>
      <c r="C259" s="223">
        <v>1</v>
      </c>
      <c r="D259" s="223">
        <v>2</v>
      </c>
      <c r="E259" s="174">
        <v>13.5</v>
      </c>
      <c r="G259" s="174">
        <v>0.19</v>
      </c>
      <c r="H259" s="174">
        <f t="shared" si="17"/>
        <v>5.13</v>
      </c>
    </row>
    <row r="260" spans="2:8" ht="24" hidden="1" customHeight="1">
      <c r="B260" s="222" t="s">
        <v>3566</v>
      </c>
      <c r="C260" s="223">
        <v>1</v>
      </c>
      <c r="D260" s="223">
        <v>2</v>
      </c>
      <c r="E260" s="174">
        <v>14.7</v>
      </c>
      <c r="G260" s="174">
        <v>0.19</v>
      </c>
      <c r="H260" s="174">
        <f t="shared" si="17"/>
        <v>5.59</v>
      </c>
    </row>
    <row r="261" spans="2:8" ht="24" hidden="1" customHeight="1">
      <c r="B261" s="222" t="s">
        <v>3567</v>
      </c>
      <c r="C261" s="223">
        <v>1</v>
      </c>
      <c r="D261" s="223">
        <v>2</v>
      </c>
      <c r="E261" s="174">
        <v>13.5</v>
      </c>
      <c r="G261" s="174">
        <v>0.19</v>
      </c>
      <c r="H261" s="174">
        <f t="shared" si="17"/>
        <v>5.13</v>
      </c>
    </row>
    <row r="262" spans="2:8" ht="24" hidden="1" customHeight="1">
      <c r="B262" s="222" t="s">
        <v>3568</v>
      </c>
      <c r="C262" s="223">
        <v>1</v>
      </c>
      <c r="D262" s="223">
        <v>1</v>
      </c>
      <c r="E262" s="174">
        <v>14.7</v>
      </c>
      <c r="G262" s="174">
        <v>0.19</v>
      </c>
      <c r="H262" s="174">
        <f t="shared" si="17"/>
        <v>2.79</v>
      </c>
    </row>
    <row r="263" spans="2:8" ht="24" hidden="1" customHeight="1">
      <c r="B263" s="222" t="s">
        <v>3569</v>
      </c>
      <c r="C263" s="223">
        <v>1</v>
      </c>
      <c r="D263" s="223">
        <v>1</v>
      </c>
      <c r="E263" s="174">
        <v>15.46</v>
      </c>
      <c r="G263" s="174">
        <v>0.19</v>
      </c>
      <c r="H263" s="174">
        <f t="shared" si="17"/>
        <v>2.94</v>
      </c>
    </row>
    <row r="264" spans="2:8" ht="24" hidden="1" customHeight="1">
      <c r="B264" s="222" t="s">
        <v>3570</v>
      </c>
      <c r="C264" s="223">
        <v>1</v>
      </c>
      <c r="D264" s="223">
        <v>1</v>
      </c>
      <c r="E264" s="174">
        <v>11.7</v>
      </c>
      <c r="G264" s="174">
        <v>0.19</v>
      </c>
      <c r="H264" s="174">
        <f t="shared" si="17"/>
        <v>2.2200000000000002</v>
      </c>
    </row>
    <row r="265" spans="2:8" ht="24" hidden="1" customHeight="1">
      <c r="B265" s="222" t="s">
        <v>3571</v>
      </c>
      <c r="C265" s="223">
        <v>1</v>
      </c>
      <c r="D265" s="223">
        <v>1</v>
      </c>
      <c r="E265" s="174">
        <v>16.36</v>
      </c>
      <c r="G265" s="174">
        <v>0.19</v>
      </c>
      <c r="H265" s="174">
        <f t="shared" si="17"/>
        <v>3.11</v>
      </c>
    </row>
    <row r="266" spans="2:8" ht="24" hidden="1" customHeight="1">
      <c r="B266" s="222" t="s">
        <v>3572</v>
      </c>
      <c r="C266" s="223"/>
      <c r="D266" s="223"/>
    </row>
    <row r="267" spans="2:8" ht="24" hidden="1" customHeight="1">
      <c r="B267" s="222" t="s">
        <v>3565</v>
      </c>
      <c r="C267" s="223">
        <v>1</v>
      </c>
      <c r="D267" s="223">
        <v>2</v>
      </c>
      <c r="E267" s="174">
        <v>4.3499999999999996</v>
      </c>
      <c r="F267" s="174">
        <v>2.4</v>
      </c>
      <c r="H267" s="174">
        <f>C267*D267*E267*F267</f>
        <v>20.88</v>
      </c>
    </row>
    <row r="268" spans="2:8" ht="24" hidden="1" customHeight="1">
      <c r="B268" s="222" t="s">
        <v>3566</v>
      </c>
      <c r="C268" s="223">
        <v>1</v>
      </c>
      <c r="D268" s="223">
        <v>2</v>
      </c>
      <c r="E268" s="174">
        <v>4.3499999999999996</v>
      </c>
      <c r="F268" s="174">
        <v>3</v>
      </c>
      <c r="H268" s="174">
        <f t="shared" ref="H268:H273" si="18">C268*D268*E268*F268</f>
        <v>26.1</v>
      </c>
    </row>
    <row r="269" spans="2:8" ht="24" hidden="1" customHeight="1">
      <c r="B269" s="222" t="s">
        <v>3567</v>
      </c>
      <c r="C269" s="223">
        <v>1</v>
      </c>
      <c r="D269" s="223">
        <v>2</v>
      </c>
      <c r="E269" s="174">
        <v>4.3499999999999996</v>
      </c>
      <c r="F269" s="174">
        <v>2.4</v>
      </c>
      <c r="H269" s="174">
        <f t="shared" si="18"/>
        <v>20.88</v>
      </c>
    </row>
    <row r="270" spans="2:8" ht="24" hidden="1" customHeight="1">
      <c r="B270" s="222" t="s">
        <v>3568</v>
      </c>
      <c r="C270" s="223">
        <v>1</v>
      </c>
      <c r="D270" s="223">
        <v>1</v>
      </c>
      <c r="E270" s="174">
        <v>4.3499999999999996</v>
      </c>
      <c r="F270" s="174">
        <v>3</v>
      </c>
      <c r="H270" s="174">
        <f t="shared" si="18"/>
        <v>13.05</v>
      </c>
    </row>
    <row r="271" spans="2:8" ht="24" hidden="1" customHeight="1">
      <c r="B271" s="222" t="s">
        <v>3569</v>
      </c>
      <c r="C271" s="223">
        <v>1</v>
      </c>
      <c r="D271" s="223">
        <v>1</v>
      </c>
      <c r="E271" s="174">
        <v>3</v>
      </c>
      <c r="F271" s="174">
        <v>4.7300000000000004</v>
      </c>
      <c r="H271" s="174">
        <f t="shared" si="18"/>
        <v>14.19</v>
      </c>
    </row>
    <row r="272" spans="2:8" ht="24" hidden="1" customHeight="1">
      <c r="B272" s="222" t="s">
        <v>3570</v>
      </c>
      <c r="C272" s="223">
        <v>1</v>
      </c>
      <c r="D272" s="223">
        <v>1</v>
      </c>
      <c r="E272" s="174">
        <v>4.3499999999999996</v>
      </c>
      <c r="F272" s="174">
        <v>1.5</v>
      </c>
      <c r="H272" s="174">
        <f t="shared" si="18"/>
        <v>6.53</v>
      </c>
    </row>
    <row r="273" spans="1:8" ht="24" hidden="1" customHeight="1">
      <c r="B273" s="222" t="s">
        <v>3571</v>
      </c>
      <c r="C273" s="223">
        <v>1</v>
      </c>
      <c r="D273" s="223">
        <v>1</v>
      </c>
      <c r="E273" s="174">
        <v>3.45</v>
      </c>
      <c r="F273" s="174">
        <v>4.7300000000000004</v>
      </c>
      <c r="H273" s="174">
        <f t="shared" si="18"/>
        <v>16.32</v>
      </c>
    </row>
    <row r="274" spans="1:8" ht="24" hidden="1" customHeight="1">
      <c r="B274" s="222" t="s">
        <v>3573</v>
      </c>
      <c r="C274" s="223"/>
      <c r="D274" s="223"/>
    </row>
    <row r="275" spans="1:8" ht="24" hidden="1" customHeight="1">
      <c r="B275" s="222" t="s">
        <v>3574</v>
      </c>
      <c r="C275" s="223">
        <v>1</v>
      </c>
      <c r="D275" s="223">
        <v>1</v>
      </c>
      <c r="E275" s="174">
        <v>13.5</v>
      </c>
      <c r="G275" s="174">
        <v>0.19</v>
      </c>
      <c r="H275" s="174">
        <f>C275*G275*E275*D275</f>
        <v>2.57</v>
      </c>
    </row>
    <row r="276" spans="1:8" ht="24" hidden="1" customHeight="1">
      <c r="B276" s="222" t="s">
        <v>3575</v>
      </c>
      <c r="C276" s="223">
        <v>1</v>
      </c>
      <c r="D276" s="223">
        <v>1</v>
      </c>
      <c r="E276" s="174">
        <v>15.34</v>
      </c>
      <c r="G276" s="174">
        <v>0.3</v>
      </c>
      <c r="H276" s="174">
        <f>C276*G276*E276*D276</f>
        <v>4.5999999999999996</v>
      </c>
    </row>
    <row r="277" spans="1:8" ht="24" hidden="1" customHeight="1">
      <c r="B277" s="222" t="s">
        <v>3576</v>
      </c>
      <c r="C277" s="223">
        <v>1</v>
      </c>
      <c r="D277" s="223">
        <v>1</v>
      </c>
      <c r="E277" s="174">
        <v>4.3499999999999996</v>
      </c>
      <c r="F277" s="174">
        <v>2.4</v>
      </c>
      <c r="H277" s="174">
        <f>C277*D277*E277*F277</f>
        <v>10.44</v>
      </c>
    </row>
    <row r="278" spans="1:8" ht="24" hidden="1" customHeight="1">
      <c r="B278" s="222" t="s">
        <v>3577</v>
      </c>
      <c r="C278" s="223">
        <v>1</v>
      </c>
      <c r="D278" s="223">
        <v>1</v>
      </c>
      <c r="E278" s="174">
        <v>1.46</v>
      </c>
      <c r="F278" s="174">
        <v>0.6</v>
      </c>
      <c r="H278" s="174">
        <f>C278*D278*E278*F278</f>
        <v>0.88</v>
      </c>
    </row>
    <row r="279" spans="1:8" ht="24" hidden="1" customHeight="1">
      <c r="B279" s="222" t="s">
        <v>3578</v>
      </c>
      <c r="C279" s="223">
        <v>1</v>
      </c>
      <c r="D279" s="223">
        <v>1</v>
      </c>
      <c r="E279" s="174">
        <v>0.6</v>
      </c>
      <c r="G279" s="230">
        <v>6.3E-2</v>
      </c>
      <c r="H279" s="174">
        <f>C279*G279*E279*D279</f>
        <v>0.04</v>
      </c>
    </row>
    <row r="280" spans="1:8" s="181" customFormat="1" ht="24" hidden="1" customHeight="1">
      <c r="A280" s="180"/>
      <c r="B280" s="181" t="s">
        <v>3579</v>
      </c>
      <c r="C280" s="225">
        <v>1</v>
      </c>
      <c r="D280" s="225">
        <v>2</v>
      </c>
      <c r="E280" s="226">
        <v>1.89</v>
      </c>
      <c r="F280" s="226"/>
      <c r="G280" s="226">
        <v>0.05</v>
      </c>
      <c r="H280" s="231">
        <f>C280*D280*E280*G280</f>
        <v>0.19</v>
      </c>
    </row>
    <row r="281" spans="1:8" s="181" customFormat="1" ht="24" hidden="1" customHeight="1">
      <c r="A281" s="180"/>
      <c r="B281" s="181" t="s">
        <v>3580</v>
      </c>
      <c r="C281" s="225">
        <v>2</v>
      </c>
      <c r="D281" s="225">
        <v>2</v>
      </c>
      <c r="E281" s="226">
        <v>2.19</v>
      </c>
      <c r="F281" s="226"/>
      <c r="G281" s="226">
        <v>0.05</v>
      </c>
      <c r="H281" s="231">
        <f>C281*D281*E281*G281</f>
        <v>0.44</v>
      </c>
    </row>
    <row r="282" spans="1:8" s="181" customFormat="1" ht="24" hidden="1" customHeight="1">
      <c r="A282" s="180"/>
      <c r="B282" s="181" t="s">
        <v>3581</v>
      </c>
      <c r="C282" s="225">
        <v>2</v>
      </c>
      <c r="D282" s="225">
        <v>2</v>
      </c>
      <c r="E282" s="226">
        <v>1.8</v>
      </c>
      <c r="F282" s="226"/>
      <c r="G282" s="226">
        <v>0.2</v>
      </c>
      <c r="H282" s="231">
        <f>C282*D282*E282*G282</f>
        <v>1.44</v>
      </c>
    </row>
    <row r="283" spans="1:8" s="181" customFormat="1" ht="24" hidden="1" customHeight="1">
      <c r="A283" s="180"/>
      <c r="B283" s="181" t="s">
        <v>3582</v>
      </c>
      <c r="C283" s="225">
        <v>1</v>
      </c>
      <c r="D283" s="225">
        <v>1</v>
      </c>
      <c r="E283" s="226">
        <v>4.0199999999999996</v>
      </c>
      <c r="F283" s="226">
        <v>1.2</v>
      </c>
      <c r="G283" s="226"/>
      <c r="H283" s="231">
        <f>C283*D283*E283*F283</f>
        <v>4.82</v>
      </c>
    </row>
    <row r="284" spans="1:8" s="181" customFormat="1" ht="24" hidden="1" customHeight="1">
      <c r="A284" s="180"/>
      <c r="B284" s="181" t="s">
        <v>3583</v>
      </c>
      <c r="C284" s="225">
        <v>1</v>
      </c>
      <c r="D284" s="225">
        <v>1</v>
      </c>
      <c r="E284" s="226">
        <v>4.0199999999999996</v>
      </c>
      <c r="F284" s="226"/>
      <c r="G284" s="226">
        <v>0.15</v>
      </c>
      <c r="H284" s="231">
        <f>C284*D284*E284*G284</f>
        <v>0.6</v>
      </c>
    </row>
    <row r="285" spans="1:8" s="181" customFormat="1" ht="24" hidden="1" customHeight="1">
      <c r="A285" s="180"/>
      <c r="B285" s="181" t="s">
        <v>3584</v>
      </c>
      <c r="C285" s="225">
        <v>1</v>
      </c>
      <c r="D285" s="225">
        <v>1</v>
      </c>
      <c r="E285" s="226">
        <v>3.05</v>
      </c>
      <c r="F285" s="226">
        <v>1.2</v>
      </c>
      <c r="G285" s="226"/>
      <c r="H285" s="231">
        <f>C285*D285*E285*F285</f>
        <v>3.66</v>
      </c>
    </row>
    <row r="286" spans="1:8" s="181" customFormat="1" ht="24" hidden="1" customHeight="1">
      <c r="A286" s="180"/>
      <c r="B286" s="181" t="s">
        <v>3583</v>
      </c>
      <c r="C286" s="225">
        <v>1</v>
      </c>
      <c r="D286" s="225">
        <v>1</v>
      </c>
      <c r="E286" s="226">
        <v>3.5</v>
      </c>
      <c r="F286" s="226"/>
      <c r="G286" s="226">
        <v>0.15</v>
      </c>
      <c r="H286" s="231">
        <f>C286*D286*E286*G286</f>
        <v>0.53</v>
      </c>
    </row>
    <row r="287" spans="1:8" s="181" customFormat="1" ht="24" hidden="1" customHeight="1">
      <c r="A287" s="180"/>
      <c r="B287" s="181" t="s">
        <v>3585</v>
      </c>
      <c r="C287" s="225">
        <v>1</v>
      </c>
      <c r="D287" s="225">
        <v>1</v>
      </c>
      <c r="E287" s="226">
        <v>2.4</v>
      </c>
      <c r="F287" s="226">
        <v>1.2</v>
      </c>
      <c r="G287" s="226"/>
      <c r="H287" s="231">
        <f>C287*D287*E287*F287</f>
        <v>2.88</v>
      </c>
    </row>
    <row r="288" spans="1:8" s="181" customFormat="1" ht="24" hidden="1" customHeight="1">
      <c r="A288" s="180"/>
      <c r="B288" s="181" t="s">
        <v>3586</v>
      </c>
      <c r="C288" s="225">
        <v>1</v>
      </c>
      <c r="D288" s="225">
        <v>1</v>
      </c>
      <c r="E288" s="226">
        <v>2.4</v>
      </c>
      <c r="F288" s="226">
        <v>0.23</v>
      </c>
      <c r="G288" s="226"/>
      <c r="H288" s="231">
        <f>C288*D288*E288*F288</f>
        <v>0.55000000000000004</v>
      </c>
    </row>
    <row r="289" spans="1:8" s="181" customFormat="1" ht="24" hidden="1" customHeight="1">
      <c r="A289" s="180"/>
      <c r="B289" s="181" t="s">
        <v>3583</v>
      </c>
      <c r="C289" s="225">
        <v>1</v>
      </c>
      <c r="D289" s="225">
        <v>1</v>
      </c>
      <c r="E289" s="226">
        <v>2.63</v>
      </c>
      <c r="F289" s="226"/>
      <c r="G289" s="226">
        <v>0.15</v>
      </c>
      <c r="H289" s="231">
        <f>C289*D289*E289*G289</f>
        <v>0.39</v>
      </c>
    </row>
    <row r="290" spans="1:8" s="181" customFormat="1" ht="24" hidden="1" customHeight="1">
      <c r="A290" s="180"/>
      <c r="B290" s="181" t="s">
        <v>3587</v>
      </c>
      <c r="C290" s="225">
        <v>1</v>
      </c>
      <c r="D290" s="225">
        <v>1</v>
      </c>
      <c r="E290" s="226">
        <v>1.2</v>
      </c>
      <c r="F290" s="226">
        <v>0.6</v>
      </c>
      <c r="G290" s="226"/>
      <c r="H290" s="231">
        <f>C290*D290*E290*F290</f>
        <v>0.72</v>
      </c>
    </row>
    <row r="291" spans="1:8" s="181" customFormat="1" ht="24" hidden="1" customHeight="1">
      <c r="A291" s="180"/>
      <c r="B291" s="181" t="s">
        <v>3588</v>
      </c>
      <c r="C291" s="225">
        <v>1</v>
      </c>
      <c r="D291" s="225">
        <v>1</v>
      </c>
      <c r="E291" s="226">
        <v>7.15</v>
      </c>
      <c r="F291" s="226"/>
      <c r="G291" s="226">
        <v>0.15</v>
      </c>
      <c r="H291" s="231">
        <f>C291*D291*E291*G291</f>
        <v>1.07</v>
      </c>
    </row>
    <row r="292" spans="1:8" s="181" customFormat="1" ht="24" hidden="1" customHeight="1">
      <c r="A292" s="180"/>
      <c r="B292" s="181" t="s">
        <v>3589</v>
      </c>
      <c r="C292" s="225">
        <v>1</v>
      </c>
      <c r="D292" s="225">
        <v>1</v>
      </c>
      <c r="E292" s="226">
        <v>2.4</v>
      </c>
      <c r="F292" s="226"/>
      <c r="G292" s="226">
        <v>0.13</v>
      </c>
      <c r="H292" s="231">
        <f>C292*D292*E292*G292</f>
        <v>0.31</v>
      </c>
    </row>
    <row r="293" spans="1:8" s="181" customFormat="1" ht="24" hidden="1" customHeight="1">
      <c r="A293" s="180"/>
      <c r="B293" s="181" t="s">
        <v>3590</v>
      </c>
      <c r="C293" s="225">
        <v>1</v>
      </c>
      <c r="D293" s="225">
        <v>2</v>
      </c>
      <c r="E293" s="226">
        <v>2.4900000000000002</v>
      </c>
      <c r="F293" s="226"/>
      <c r="G293" s="226">
        <v>0.1</v>
      </c>
      <c r="H293" s="231">
        <f>C293*D293*E293*G293</f>
        <v>0.5</v>
      </c>
    </row>
    <row r="294" spans="1:8" s="181" customFormat="1" ht="24" hidden="1" customHeight="1">
      <c r="A294" s="180"/>
      <c r="B294" s="181" t="s">
        <v>3591</v>
      </c>
      <c r="C294" s="225">
        <v>1</v>
      </c>
      <c r="D294" s="225">
        <v>1</v>
      </c>
      <c r="E294" s="226">
        <v>11.1</v>
      </c>
      <c r="F294" s="226"/>
      <c r="G294" s="226">
        <v>0.1</v>
      </c>
      <c r="H294" s="231">
        <f>C294*D294*E294*G294</f>
        <v>1.1100000000000001</v>
      </c>
    </row>
    <row r="295" spans="1:8" s="181" customFormat="1" ht="24" hidden="1" customHeight="1">
      <c r="A295" s="180"/>
      <c r="B295" s="181" t="s">
        <v>3592</v>
      </c>
      <c r="C295" s="225">
        <v>1</v>
      </c>
      <c r="D295" s="225">
        <v>2</v>
      </c>
      <c r="E295" s="226">
        <v>4.0199999999999996</v>
      </c>
      <c r="F295" s="226">
        <v>1.2</v>
      </c>
      <c r="G295" s="226"/>
      <c r="H295" s="231">
        <f>C295*D295*E295*F295</f>
        <v>9.65</v>
      </c>
    </row>
    <row r="296" spans="1:8" s="181" customFormat="1" ht="24" hidden="1" customHeight="1">
      <c r="A296" s="180"/>
      <c r="B296" s="181" t="s">
        <v>3593</v>
      </c>
      <c r="C296" s="225">
        <v>1</v>
      </c>
      <c r="D296" s="225">
        <v>1</v>
      </c>
      <c r="E296" s="226">
        <v>4.0199999999999996</v>
      </c>
      <c r="F296" s="226"/>
      <c r="G296" s="226">
        <v>0.15</v>
      </c>
      <c r="H296" s="231">
        <f>C296*D296*E296*G296</f>
        <v>0.6</v>
      </c>
    </row>
    <row r="297" spans="1:8" s="181" customFormat="1" ht="24" hidden="1" customHeight="1">
      <c r="A297" s="180"/>
      <c r="B297" s="181" t="s">
        <v>3594</v>
      </c>
      <c r="C297" s="225">
        <v>1</v>
      </c>
      <c r="D297" s="225">
        <v>1</v>
      </c>
      <c r="E297" s="226">
        <v>2.4</v>
      </c>
      <c r="F297" s="226">
        <v>1.2</v>
      </c>
      <c r="G297" s="226"/>
      <c r="H297" s="231">
        <f>C297*D297*E297*F297</f>
        <v>2.88</v>
      </c>
    </row>
    <row r="298" spans="1:8" s="181" customFormat="1" ht="24" hidden="1" customHeight="1">
      <c r="A298" s="180"/>
      <c r="B298" s="181" t="s">
        <v>3595</v>
      </c>
      <c r="C298" s="225">
        <v>1</v>
      </c>
      <c r="D298" s="225">
        <v>1</v>
      </c>
      <c r="E298" s="226">
        <v>7.15</v>
      </c>
      <c r="F298" s="226"/>
      <c r="G298" s="226">
        <v>0.15</v>
      </c>
      <c r="H298" s="231">
        <f>C298*D298*E298*G298</f>
        <v>1.07</v>
      </c>
    </row>
    <row r="299" spans="1:8" s="181" customFormat="1" ht="24" hidden="1" customHeight="1">
      <c r="A299" s="180"/>
      <c r="B299" s="181" t="s">
        <v>3596</v>
      </c>
      <c r="C299" s="225">
        <v>1</v>
      </c>
      <c r="D299" s="225">
        <v>1</v>
      </c>
      <c r="E299" s="226">
        <v>2.4</v>
      </c>
      <c r="F299" s="226">
        <v>0.23</v>
      </c>
      <c r="G299" s="226"/>
      <c r="H299" s="231">
        <f>C299*D299*E299*F299</f>
        <v>0.55000000000000004</v>
      </c>
    </row>
    <row r="300" spans="1:8" s="181" customFormat="1" ht="24" hidden="1" customHeight="1">
      <c r="A300" s="180"/>
      <c r="B300" s="181" t="s">
        <v>3597</v>
      </c>
      <c r="C300" s="225">
        <v>1</v>
      </c>
      <c r="D300" s="225">
        <v>1</v>
      </c>
      <c r="E300" s="226">
        <v>1</v>
      </c>
      <c r="F300" s="226">
        <v>0.23</v>
      </c>
      <c r="G300" s="226"/>
      <c r="H300" s="231">
        <f>C300*D300*E300*F300</f>
        <v>0.23</v>
      </c>
    </row>
    <row r="301" spans="1:8" s="181" customFormat="1" ht="24" hidden="1" customHeight="1">
      <c r="A301" s="180"/>
      <c r="C301" s="225"/>
      <c r="D301" s="225"/>
      <c r="E301" s="226"/>
      <c r="F301" s="226"/>
      <c r="G301" s="226"/>
      <c r="H301" s="231">
        <v>0.06</v>
      </c>
    </row>
    <row r="302" spans="1:8" ht="24" hidden="1" customHeight="1">
      <c r="C302" s="223"/>
      <c r="D302" s="223"/>
      <c r="G302" s="174" t="s">
        <v>2560</v>
      </c>
      <c r="H302" s="174">
        <f>SUM(H211:H301)</f>
        <v>500.5</v>
      </c>
    </row>
    <row r="303" spans="1:8" ht="24" hidden="1" customHeight="1">
      <c r="C303" s="223"/>
      <c r="D303" s="223"/>
    </row>
    <row r="304" spans="1:8" ht="24" hidden="1" customHeight="1">
      <c r="C304" s="223"/>
      <c r="D304" s="223"/>
    </row>
    <row r="305" spans="3:4" ht="24" hidden="1" customHeight="1">
      <c r="C305" s="223"/>
      <c r="D305" s="223"/>
    </row>
    <row r="306" spans="3:4" ht="24" hidden="1" customHeight="1">
      <c r="C306" s="223"/>
      <c r="D306" s="223"/>
    </row>
    <row r="307" spans="3:4" ht="24" hidden="1" customHeight="1">
      <c r="C307" s="223"/>
      <c r="D307" s="223"/>
    </row>
    <row r="308" spans="3:4" ht="24" hidden="1" customHeight="1">
      <c r="C308" s="223"/>
      <c r="D308" s="223"/>
    </row>
    <row r="309" spans="3:4" ht="24" hidden="1" customHeight="1">
      <c r="C309" s="223"/>
      <c r="D309" s="223"/>
    </row>
    <row r="310" spans="3:4" ht="24" hidden="1" customHeight="1">
      <c r="C310" s="223"/>
      <c r="D310" s="223"/>
    </row>
    <row r="311" spans="3:4" ht="24" hidden="1" customHeight="1">
      <c r="C311" s="223"/>
      <c r="D311" s="223"/>
    </row>
    <row r="312" spans="3:4" ht="24" hidden="1" customHeight="1">
      <c r="C312" s="223"/>
      <c r="D312" s="223"/>
    </row>
    <row r="313" spans="3:4" ht="24" hidden="1" customHeight="1">
      <c r="C313" s="223"/>
      <c r="D313" s="223"/>
    </row>
    <row r="314" spans="3:4" ht="24" hidden="1" customHeight="1">
      <c r="C314" s="223"/>
      <c r="D314" s="223"/>
    </row>
    <row r="315" spans="3:4" ht="24" hidden="1" customHeight="1">
      <c r="C315" s="223"/>
      <c r="D315" s="223"/>
    </row>
    <row r="316" spans="3:4" ht="24" hidden="1" customHeight="1">
      <c r="C316" s="223"/>
      <c r="D316" s="223"/>
    </row>
    <row r="317" spans="3:4" ht="24" hidden="1" customHeight="1">
      <c r="C317" s="223"/>
      <c r="D317" s="223"/>
    </row>
    <row r="318" spans="3:4" ht="24" hidden="1" customHeight="1">
      <c r="C318" s="223"/>
      <c r="D318" s="223"/>
    </row>
    <row r="319" spans="3:4" ht="24" customHeight="1">
      <c r="C319" s="223"/>
      <c r="D319" s="223"/>
    </row>
    <row r="320" spans="3:4" ht="24" customHeight="1">
      <c r="C320" s="223"/>
      <c r="D320" s="223"/>
    </row>
    <row r="321" spans="3:4" ht="24" customHeight="1">
      <c r="C321" s="223"/>
      <c r="D321" s="223"/>
    </row>
    <row r="322" spans="3:4" ht="24" customHeight="1">
      <c r="C322" s="223"/>
      <c r="D322" s="223"/>
    </row>
    <row r="323" spans="3:4" ht="24" customHeight="1">
      <c r="C323" s="223"/>
      <c r="D323" s="223"/>
    </row>
    <row r="324" spans="3:4" ht="24" customHeight="1">
      <c r="C324" s="223"/>
      <c r="D324" s="223"/>
    </row>
    <row r="325" spans="3:4" ht="24" customHeight="1">
      <c r="C325" s="223"/>
      <c r="D325" s="223"/>
    </row>
    <row r="326" spans="3:4" ht="24" customHeight="1">
      <c r="C326" s="223"/>
      <c r="D326" s="223"/>
    </row>
    <row r="327" spans="3:4" ht="24" customHeight="1">
      <c r="C327" s="223"/>
      <c r="D327" s="223"/>
    </row>
    <row r="328" spans="3:4" ht="24" customHeight="1">
      <c r="C328" s="223"/>
      <c r="D328" s="223"/>
    </row>
    <row r="329" spans="3:4" ht="24" customHeight="1">
      <c r="C329" s="223"/>
      <c r="D329" s="223"/>
    </row>
    <row r="330" spans="3:4" ht="24" customHeight="1">
      <c r="C330" s="223"/>
      <c r="D330" s="223"/>
    </row>
    <row r="331" spans="3:4" ht="24" customHeight="1">
      <c r="C331" s="223"/>
      <c r="D331" s="223"/>
    </row>
    <row r="332" spans="3:4" ht="24" customHeight="1">
      <c r="C332" s="223"/>
      <c r="D332" s="223"/>
    </row>
    <row r="333" spans="3:4" ht="24" customHeight="1">
      <c r="C333" s="223"/>
      <c r="D333" s="223"/>
    </row>
    <row r="334" spans="3:4" ht="24" customHeight="1">
      <c r="C334" s="223"/>
      <c r="D334" s="223"/>
    </row>
    <row r="335" spans="3:4" ht="24" customHeight="1">
      <c r="C335" s="223"/>
      <c r="D335" s="223"/>
    </row>
    <row r="336" spans="3:4" ht="24" customHeight="1">
      <c r="C336" s="223"/>
      <c r="D336" s="223"/>
    </row>
    <row r="337" spans="3:4" ht="24" customHeight="1">
      <c r="C337" s="223"/>
      <c r="D337" s="223"/>
    </row>
    <row r="338" spans="3:4" ht="24" customHeight="1">
      <c r="C338" s="223"/>
      <c r="D338" s="223"/>
    </row>
    <row r="339" spans="3:4" ht="24" customHeight="1">
      <c r="C339" s="223"/>
      <c r="D339" s="223"/>
    </row>
    <row r="340" spans="3:4" ht="24" customHeight="1">
      <c r="C340" s="223"/>
      <c r="D340" s="223"/>
    </row>
    <row r="341" spans="3:4" ht="24" customHeight="1">
      <c r="C341" s="223"/>
      <c r="D341" s="223"/>
    </row>
    <row r="342" spans="3:4" ht="24" customHeight="1">
      <c r="C342" s="223"/>
      <c r="D342" s="223"/>
    </row>
    <row r="343" spans="3:4" ht="24" customHeight="1">
      <c r="C343" s="223"/>
      <c r="D343" s="223"/>
    </row>
    <row r="344" spans="3:4" ht="24" customHeight="1">
      <c r="C344" s="223"/>
      <c r="D344" s="223"/>
    </row>
    <row r="345" spans="3:4" ht="24" customHeight="1">
      <c r="C345" s="223"/>
      <c r="D345" s="223"/>
    </row>
    <row r="346" spans="3:4" ht="24" customHeight="1">
      <c r="C346" s="223"/>
      <c r="D346" s="223"/>
    </row>
    <row r="347" spans="3:4" ht="24" customHeight="1">
      <c r="C347" s="223"/>
      <c r="D347" s="223"/>
    </row>
    <row r="348" spans="3:4" ht="24" customHeight="1">
      <c r="C348" s="223"/>
      <c r="D348" s="223"/>
    </row>
    <row r="349" spans="3:4" ht="24" customHeight="1">
      <c r="C349" s="223"/>
      <c r="D349" s="223"/>
    </row>
    <row r="350" spans="3:4" ht="24" customHeight="1">
      <c r="C350" s="223"/>
      <c r="D350" s="223"/>
    </row>
    <row r="351" spans="3:4" ht="24" customHeight="1">
      <c r="C351" s="223"/>
      <c r="D351" s="223"/>
    </row>
    <row r="352" spans="3:4" ht="24" customHeight="1">
      <c r="C352" s="223"/>
      <c r="D352" s="223"/>
    </row>
    <row r="353" spans="3:4" ht="24" customHeight="1">
      <c r="C353" s="223"/>
      <c r="D353" s="223"/>
    </row>
    <row r="354" spans="3:4" ht="24" customHeight="1">
      <c r="C354" s="223"/>
      <c r="D354" s="223"/>
    </row>
    <row r="355" spans="3:4" ht="24" customHeight="1">
      <c r="C355" s="223"/>
      <c r="D355" s="223"/>
    </row>
    <row r="356" spans="3:4" ht="24" customHeight="1">
      <c r="C356" s="223"/>
      <c r="D356" s="223"/>
    </row>
    <row r="357" spans="3:4" ht="24" customHeight="1">
      <c r="C357" s="223"/>
      <c r="D357" s="223"/>
    </row>
    <row r="358" spans="3:4" ht="24" customHeight="1"/>
    <row r="359" spans="3:4" ht="24" customHeight="1"/>
    <row r="360" spans="3:4" ht="24" customHeight="1"/>
    <row r="361" spans="3:4" ht="24" customHeight="1"/>
    <row r="362" spans="3:4" ht="24" customHeight="1"/>
    <row r="363" spans="3:4" ht="24" customHeight="1"/>
  </sheetData>
  <autoFilter ref="A8:M206">
    <filterColumn colId="2" showButton="0"/>
  </autoFilter>
  <mergeCells count="16">
    <mergeCell ref="B81:G81"/>
    <mergeCell ref="A1:H1"/>
    <mergeCell ref="A2:H2"/>
    <mergeCell ref="A4:B4"/>
    <mergeCell ref="B5:H5"/>
    <mergeCell ref="B6:H6"/>
    <mergeCell ref="A7:H7"/>
    <mergeCell ref="C8:D8"/>
    <mergeCell ref="B9:G9"/>
    <mergeCell ref="B42:G42"/>
    <mergeCell ref="B57:G57"/>
    <mergeCell ref="B95:G95"/>
    <mergeCell ref="B134:G134"/>
    <mergeCell ref="B153:G153"/>
    <mergeCell ref="B154:G154"/>
    <mergeCell ref="B189:G189"/>
  </mergeCells>
  <pageMargins left="0.7" right="0.7" top="0.7" bottom="0.4" header="0.31496062992126" footer="0.31496062992126"/>
  <pageSetup paperSize="9" orientation="portrait" r:id="rId1"/>
  <headerFooter>
    <oddHeader>Page &amp;P</oddHeader>
  </headerFooter>
</worksheet>
</file>

<file path=xl/worksheets/sheet5.xml><?xml version="1.0" encoding="utf-8"?>
<worksheet xmlns="http://schemas.openxmlformats.org/spreadsheetml/2006/main" xmlns:r="http://schemas.openxmlformats.org/officeDocument/2006/relationships">
  <dimension ref="A1:M2126"/>
  <sheetViews>
    <sheetView showZeros="0" view="pageBreakPreview" topLeftCell="A2060" zoomScaleSheetLayoutView="100" workbookViewId="0">
      <selection activeCell="G2074" sqref="G2074"/>
    </sheetView>
  </sheetViews>
  <sheetFormatPr defaultColWidth="8.88671875" defaultRowHeight="20.100000000000001" customHeight="1"/>
  <cols>
    <col min="1" max="1" width="5.77734375" style="180" customWidth="1"/>
    <col min="2" max="2" width="33.21875" style="181" customWidth="1"/>
    <col min="3" max="4" width="3.6640625" style="186" customWidth="1"/>
    <col min="5" max="5" width="7.21875" style="359" customWidth="1"/>
    <col min="6" max="6" width="7.21875" style="180" customWidth="1"/>
    <col min="7" max="7" width="7.21875" style="241" customWidth="1"/>
    <col min="8" max="8" width="7.21875" style="360" customWidth="1"/>
    <col min="9" max="256" width="8.88671875" style="181"/>
    <col min="257" max="257" width="5.77734375" style="181" customWidth="1"/>
    <col min="258" max="258" width="33.21875" style="181" customWidth="1"/>
    <col min="259" max="260" width="3.6640625" style="181" customWidth="1"/>
    <col min="261" max="264" width="7.21875" style="181" customWidth="1"/>
    <col min="265" max="512" width="8.88671875" style="181"/>
    <col min="513" max="513" width="5.77734375" style="181" customWidth="1"/>
    <col min="514" max="514" width="33.21875" style="181" customWidth="1"/>
    <col min="515" max="516" width="3.6640625" style="181" customWidth="1"/>
    <col min="517" max="520" width="7.21875" style="181" customWidth="1"/>
    <col min="521" max="768" width="8.88671875" style="181"/>
    <col min="769" max="769" width="5.77734375" style="181" customWidth="1"/>
    <col min="770" max="770" width="33.21875" style="181" customWidth="1"/>
    <col min="771" max="772" width="3.6640625" style="181" customWidth="1"/>
    <col min="773" max="776" width="7.21875" style="181" customWidth="1"/>
    <col min="777" max="1024" width="8.88671875" style="181"/>
    <col min="1025" max="1025" width="5.77734375" style="181" customWidth="1"/>
    <col min="1026" max="1026" width="33.21875" style="181" customWidth="1"/>
    <col min="1027" max="1028" width="3.6640625" style="181" customWidth="1"/>
    <col min="1029" max="1032" width="7.21875" style="181" customWidth="1"/>
    <col min="1033" max="1280" width="8.88671875" style="181"/>
    <col min="1281" max="1281" width="5.77734375" style="181" customWidth="1"/>
    <col min="1282" max="1282" width="33.21875" style="181" customWidth="1"/>
    <col min="1283" max="1284" width="3.6640625" style="181" customWidth="1"/>
    <col min="1285" max="1288" width="7.21875" style="181" customWidth="1"/>
    <col min="1289" max="1536" width="8.88671875" style="181"/>
    <col min="1537" max="1537" width="5.77734375" style="181" customWidth="1"/>
    <col min="1538" max="1538" width="33.21875" style="181" customWidth="1"/>
    <col min="1539" max="1540" width="3.6640625" style="181" customWidth="1"/>
    <col min="1541" max="1544" width="7.21875" style="181" customWidth="1"/>
    <col min="1545" max="1792" width="8.88671875" style="181"/>
    <col min="1793" max="1793" width="5.77734375" style="181" customWidth="1"/>
    <col min="1794" max="1794" width="33.21875" style="181" customWidth="1"/>
    <col min="1795" max="1796" width="3.6640625" style="181" customWidth="1"/>
    <col min="1797" max="1800" width="7.21875" style="181" customWidth="1"/>
    <col min="1801" max="2048" width="8.88671875" style="181"/>
    <col min="2049" max="2049" width="5.77734375" style="181" customWidth="1"/>
    <col min="2050" max="2050" width="33.21875" style="181" customWidth="1"/>
    <col min="2051" max="2052" width="3.6640625" style="181" customWidth="1"/>
    <col min="2053" max="2056" width="7.21875" style="181" customWidth="1"/>
    <col min="2057" max="2304" width="8.88671875" style="181"/>
    <col min="2305" max="2305" width="5.77734375" style="181" customWidth="1"/>
    <col min="2306" max="2306" width="33.21875" style="181" customWidth="1"/>
    <col min="2307" max="2308" width="3.6640625" style="181" customWidth="1"/>
    <col min="2309" max="2312" width="7.21875" style="181" customWidth="1"/>
    <col min="2313" max="2560" width="8.88671875" style="181"/>
    <col min="2561" max="2561" width="5.77734375" style="181" customWidth="1"/>
    <col min="2562" max="2562" width="33.21875" style="181" customWidth="1"/>
    <col min="2563" max="2564" width="3.6640625" style="181" customWidth="1"/>
    <col min="2565" max="2568" width="7.21875" style="181" customWidth="1"/>
    <col min="2569" max="2816" width="8.88671875" style="181"/>
    <col min="2817" max="2817" width="5.77734375" style="181" customWidth="1"/>
    <col min="2818" max="2818" width="33.21875" style="181" customWidth="1"/>
    <col min="2819" max="2820" width="3.6640625" style="181" customWidth="1"/>
    <col min="2821" max="2824" width="7.21875" style="181" customWidth="1"/>
    <col min="2825" max="3072" width="8.88671875" style="181"/>
    <col min="3073" max="3073" width="5.77734375" style="181" customWidth="1"/>
    <col min="3074" max="3074" width="33.21875" style="181" customWidth="1"/>
    <col min="3075" max="3076" width="3.6640625" style="181" customWidth="1"/>
    <col min="3077" max="3080" width="7.21875" style="181" customWidth="1"/>
    <col min="3081" max="3328" width="8.88671875" style="181"/>
    <col min="3329" max="3329" width="5.77734375" style="181" customWidth="1"/>
    <col min="3330" max="3330" width="33.21875" style="181" customWidth="1"/>
    <col min="3331" max="3332" width="3.6640625" style="181" customWidth="1"/>
    <col min="3333" max="3336" width="7.21875" style="181" customWidth="1"/>
    <col min="3337" max="3584" width="8.88671875" style="181"/>
    <col min="3585" max="3585" width="5.77734375" style="181" customWidth="1"/>
    <col min="3586" max="3586" width="33.21875" style="181" customWidth="1"/>
    <col min="3587" max="3588" width="3.6640625" style="181" customWidth="1"/>
    <col min="3589" max="3592" width="7.21875" style="181" customWidth="1"/>
    <col min="3593" max="3840" width="8.88671875" style="181"/>
    <col min="3841" max="3841" width="5.77734375" style="181" customWidth="1"/>
    <col min="3842" max="3842" width="33.21875" style="181" customWidth="1"/>
    <col min="3843" max="3844" width="3.6640625" style="181" customWidth="1"/>
    <col min="3845" max="3848" width="7.21875" style="181" customWidth="1"/>
    <col min="3849" max="4096" width="8.88671875" style="181"/>
    <col min="4097" max="4097" width="5.77734375" style="181" customWidth="1"/>
    <col min="4098" max="4098" width="33.21875" style="181" customWidth="1"/>
    <col min="4099" max="4100" width="3.6640625" style="181" customWidth="1"/>
    <col min="4101" max="4104" width="7.21875" style="181" customWidth="1"/>
    <col min="4105" max="4352" width="8.88671875" style="181"/>
    <col min="4353" max="4353" width="5.77734375" style="181" customWidth="1"/>
    <col min="4354" max="4354" width="33.21875" style="181" customWidth="1"/>
    <col min="4355" max="4356" width="3.6640625" style="181" customWidth="1"/>
    <col min="4357" max="4360" width="7.21875" style="181" customWidth="1"/>
    <col min="4361" max="4608" width="8.88671875" style="181"/>
    <col min="4609" max="4609" width="5.77734375" style="181" customWidth="1"/>
    <col min="4610" max="4610" width="33.21875" style="181" customWidth="1"/>
    <col min="4611" max="4612" width="3.6640625" style="181" customWidth="1"/>
    <col min="4613" max="4616" width="7.21875" style="181" customWidth="1"/>
    <col min="4617" max="4864" width="8.88671875" style="181"/>
    <col min="4865" max="4865" width="5.77734375" style="181" customWidth="1"/>
    <col min="4866" max="4866" width="33.21875" style="181" customWidth="1"/>
    <col min="4867" max="4868" width="3.6640625" style="181" customWidth="1"/>
    <col min="4869" max="4872" width="7.21875" style="181" customWidth="1"/>
    <col min="4873" max="5120" width="8.88671875" style="181"/>
    <col min="5121" max="5121" width="5.77734375" style="181" customWidth="1"/>
    <col min="5122" max="5122" width="33.21875" style="181" customWidth="1"/>
    <col min="5123" max="5124" width="3.6640625" style="181" customWidth="1"/>
    <col min="5125" max="5128" width="7.21875" style="181" customWidth="1"/>
    <col min="5129" max="5376" width="8.88671875" style="181"/>
    <col min="5377" max="5377" width="5.77734375" style="181" customWidth="1"/>
    <col min="5378" max="5378" width="33.21875" style="181" customWidth="1"/>
    <col min="5379" max="5380" width="3.6640625" style="181" customWidth="1"/>
    <col min="5381" max="5384" width="7.21875" style="181" customWidth="1"/>
    <col min="5385" max="5632" width="8.88671875" style="181"/>
    <col min="5633" max="5633" width="5.77734375" style="181" customWidth="1"/>
    <col min="5634" max="5634" width="33.21875" style="181" customWidth="1"/>
    <col min="5635" max="5636" width="3.6640625" style="181" customWidth="1"/>
    <col min="5637" max="5640" width="7.21875" style="181" customWidth="1"/>
    <col min="5641" max="5888" width="8.88671875" style="181"/>
    <col min="5889" max="5889" width="5.77734375" style="181" customWidth="1"/>
    <col min="5890" max="5890" width="33.21875" style="181" customWidth="1"/>
    <col min="5891" max="5892" width="3.6640625" style="181" customWidth="1"/>
    <col min="5893" max="5896" width="7.21875" style="181" customWidth="1"/>
    <col min="5897" max="6144" width="8.88671875" style="181"/>
    <col min="6145" max="6145" width="5.77734375" style="181" customWidth="1"/>
    <col min="6146" max="6146" width="33.21875" style="181" customWidth="1"/>
    <col min="6147" max="6148" width="3.6640625" style="181" customWidth="1"/>
    <col min="6149" max="6152" width="7.21875" style="181" customWidth="1"/>
    <col min="6153" max="6400" width="8.88671875" style="181"/>
    <col min="6401" max="6401" width="5.77734375" style="181" customWidth="1"/>
    <col min="6402" max="6402" width="33.21875" style="181" customWidth="1"/>
    <col min="6403" max="6404" width="3.6640625" style="181" customWidth="1"/>
    <col min="6405" max="6408" width="7.21875" style="181" customWidth="1"/>
    <col min="6409" max="6656" width="8.88671875" style="181"/>
    <col min="6657" max="6657" width="5.77734375" style="181" customWidth="1"/>
    <col min="6658" max="6658" width="33.21875" style="181" customWidth="1"/>
    <col min="6659" max="6660" width="3.6640625" style="181" customWidth="1"/>
    <col min="6661" max="6664" width="7.21875" style="181" customWidth="1"/>
    <col min="6665" max="6912" width="8.88671875" style="181"/>
    <col min="6913" max="6913" width="5.77734375" style="181" customWidth="1"/>
    <col min="6914" max="6914" width="33.21875" style="181" customWidth="1"/>
    <col min="6915" max="6916" width="3.6640625" style="181" customWidth="1"/>
    <col min="6917" max="6920" width="7.21875" style="181" customWidth="1"/>
    <col min="6921" max="7168" width="8.88671875" style="181"/>
    <col min="7169" max="7169" width="5.77734375" style="181" customWidth="1"/>
    <col min="7170" max="7170" width="33.21875" style="181" customWidth="1"/>
    <col min="7171" max="7172" width="3.6640625" style="181" customWidth="1"/>
    <col min="7173" max="7176" width="7.21875" style="181" customWidth="1"/>
    <col min="7177" max="7424" width="8.88671875" style="181"/>
    <col min="7425" max="7425" width="5.77734375" style="181" customWidth="1"/>
    <col min="7426" max="7426" width="33.21875" style="181" customWidth="1"/>
    <col min="7427" max="7428" width="3.6640625" style="181" customWidth="1"/>
    <col min="7429" max="7432" width="7.21875" style="181" customWidth="1"/>
    <col min="7433" max="7680" width="8.88671875" style="181"/>
    <col min="7681" max="7681" width="5.77734375" style="181" customWidth="1"/>
    <col min="7682" max="7682" width="33.21875" style="181" customWidth="1"/>
    <col min="7683" max="7684" width="3.6640625" style="181" customWidth="1"/>
    <col min="7685" max="7688" width="7.21875" style="181" customWidth="1"/>
    <col min="7689" max="7936" width="8.88671875" style="181"/>
    <col min="7937" max="7937" width="5.77734375" style="181" customWidth="1"/>
    <col min="7938" max="7938" width="33.21875" style="181" customWidth="1"/>
    <col min="7939" max="7940" width="3.6640625" style="181" customWidth="1"/>
    <col min="7941" max="7944" width="7.21875" style="181" customWidth="1"/>
    <col min="7945" max="8192" width="8.88671875" style="181"/>
    <col min="8193" max="8193" width="5.77734375" style="181" customWidth="1"/>
    <col min="8194" max="8194" width="33.21875" style="181" customWidth="1"/>
    <col min="8195" max="8196" width="3.6640625" style="181" customWidth="1"/>
    <col min="8197" max="8200" width="7.21875" style="181" customWidth="1"/>
    <col min="8201" max="8448" width="8.88671875" style="181"/>
    <col min="8449" max="8449" width="5.77734375" style="181" customWidth="1"/>
    <col min="8450" max="8450" width="33.21875" style="181" customWidth="1"/>
    <col min="8451" max="8452" width="3.6640625" style="181" customWidth="1"/>
    <col min="8453" max="8456" width="7.21875" style="181" customWidth="1"/>
    <col min="8457" max="8704" width="8.88671875" style="181"/>
    <col min="8705" max="8705" width="5.77734375" style="181" customWidth="1"/>
    <col min="8706" max="8706" width="33.21875" style="181" customWidth="1"/>
    <col min="8707" max="8708" width="3.6640625" style="181" customWidth="1"/>
    <col min="8709" max="8712" width="7.21875" style="181" customWidth="1"/>
    <col min="8713" max="8960" width="8.88671875" style="181"/>
    <col min="8961" max="8961" width="5.77734375" style="181" customWidth="1"/>
    <col min="8962" max="8962" width="33.21875" style="181" customWidth="1"/>
    <col min="8963" max="8964" width="3.6640625" style="181" customWidth="1"/>
    <col min="8965" max="8968" width="7.21875" style="181" customWidth="1"/>
    <col min="8969" max="9216" width="8.88671875" style="181"/>
    <col min="9217" max="9217" width="5.77734375" style="181" customWidth="1"/>
    <col min="9218" max="9218" width="33.21875" style="181" customWidth="1"/>
    <col min="9219" max="9220" width="3.6640625" style="181" customWidth="1"/>
    <col min="9221" max="9224" width="7.21875" style="181" customWidth="1"/>
    <col min="9225" max="9472" width="8.88671875" style="181"/>
    <col min="9473" max="9473" width="5.77734375" style="181" customWidth="1"/>
    <col min="9474" max="9474" width="33.21875" style="181" customWidth="1"/>
    <col min="9475" max="9476" width="3.6640625" style="181" customWidth="1"/>
    <col min="9477" max="9480" width="7.21875" style="181" customWidth="1"/>
    <col min="9481" max="9728" width="8.88671875" style="181"/>
    <col min="9729" max="9729" width="5.77734375" style="181" customWidth="1"/>
    <col min="9730" max="9730" width="33.21875" style="181" customWidth="1"/>
    <col min="9731" max="9732" width="3.6640625" style="181" customWidth="1"/>
    <col min="9733" max="9736" width="7.21875" style="181" customWidth="1"/>
    <col min="9737" max="9984" width="8.88671875" style="181"/>
    <col min="9985" max="9985" width="5.77734375" style="181" customWidth="1"/>
    <col min="9986" max="9986" width="33.21875" style="181" customWidth="1"/>
    <col min="9987" max="9988" width="3.6640625" style="181" customWidth="1"/>
    <col min="9989" max="9992" width="7.21875" style="181" customWidth="1"/>
    <col min="9993" max="10240" width="8.88671875" style="181"/>
    <col min="10241" max="10241" width="5.77734375" style="181" customWidth="1"/>
    <col min="10242" max="10242" width="33.21875" style="181" customWidth="1"/>
    <col min="10243" max="10244" width="3.6640625" style="181" customWidth="1"/>
    <col min="10245" max="10248" width="7.21875" style="181" customWidth="1"/>
    <col min="10249" max="10496" width="8.88671875" style="181"/>
    <col min="10497" max="10497" width="5.77734375" style="181" customWidth="1"/>
    <col min="10498" max="10498" width="33.21875" style="181" customWidth="1"/>
    <col min="10499" max="10500" width="3.6640625" style="181" customWidth="1"/>
    <col min="10501" max="10504" width="7.21875" style="181" customWidth="1"/>
    <col min="10505" max="10752" width="8.88671875" style="181"/>
    <col min="10753" max="10753" width="5.77734375" style="181" customWidth="1"/>
    <col min="10754" max="10754" width="33.21875" style="181" customWidth="1"/>
    <col min="10755" max="10756" width="3.6640625" style="181" customWidth="1"/>
    <col min="10757" max="10760" width="7.21875" style="181" customWidth="1"/>
    <col min="10761" max="11008" width="8.88671875" style="181"/>
    <col min="11009" max="11009" width="5.77734375" style="181" customWidth="1"/>
    <col min="11010" max="11010" width="33.21875" style="181" customWidth="1"/>
    <col min="11011" max="11012" width="3.6640625" style="181" customWidth="1"/>
    <col min="11013" max="11016" width="7.21875" style="181" customWidth="1"/>
    <col min="11017" max="11264" width="8.88671875" style="181"/>
    <col min="11265" max="11265" width="5.77734375" style="181" customWidth="1"/>
    <col min="11266" max="11266" width="33.21875" style="181" customWidth="1"/>
    <col min="11267" max="11268" width="3.6640625" style="181" customWidth="1"/>
    <col min="11269" max="11272" width="7.21875" style="181" customWidth="1"/>
    <col min="11273" max="11520" width="8.88671875" style="181"/>
    <col min="11521" max="11521" width="5.77734375" style="181" customWidth="1"/>
    <col min="11522" max="11522" width="33.21875" style="181" customWidth="1"/>
    <col min="11523" max="11524" width="3.6640625" style="181" customWidth="1"/>
    <col min="11525" max="11528" width="7.21875" style="181" customWidth="1"/>
    <col min="11529" max="11776" width="8.88671875" style="181"/>
    <col min="11777" max="11777" width="5.77734375" style="181" customWidth="1"/>
    <col min="11778" max="11778" width="33.21875" style="181" customWidth="1"/>
    <col min="11779" max="11780" width="3.6640625" style="181" customWidth="1"/>
    <col min="11781" max="11784" width="7.21875" style="181" customWidth="1"/>
    <col min="11785" max="12032" width="8.88671875" style="181"/>
    <col min="12033" max="12033" width="5.77734375" style="181" customWidth="1"/>
    <col min="12034" max="12034" width="33.21875" style="181" customWidth="1"/>
    <col min="12035" max="12036" width="3.6640625" style="181" customWidth="1"/>
    <col min="12037" max="12040" width="7.21875" style="181" customWidth="1"/>
    <col min="12041" max="12288" width="8.88671875" style="181"/>
    <col min="12289" max="12289" width="5.77734375" style="181" customWidth="1"/>
    <col min="12290" max="12290" width="33.21875" style="181" customWidth="1"/>
    <col min="12291" max="12292" width="3.6640625" style="181" customWidth="1"/>
    <col min="12293" max="12296" width="7.21875" style="181" customWidth="1"/>
    <col min="12297" max="12544" width="8.88671875" style="181"/>
    <col min="12545" max="12545" width="5.77734375" style="181" customWidth="1"/>
    <col min="12546" max="12546" width="33.21875" style="181" customWidth="1"/>
    <col min="12547" max="12548" width="3.6640625" style="181" customWidth="1"/>
    <col min="12549" max="12552" width="7.21875" style="181" customWidth="1"/>
    <col min="12553" max="12800" width="8.88671875" style="181"/>
    <col min="12801" max="12801" width="5.77734375" style="181" customWidth="1"/>
    <col min="12802" max="12802" width="33.21875" style="181" customWidth="1"/>
    <col min="12803" max="12804" width="3.6640625" style="181" customWidth="1"/>
    <col min="12805" max="12808" width="7.21875" style="181" customWidth="1"/>
    <col min="12809" max="13056" width="8.88671875" style="181"/>
    <col min="13057" max="13057" width="5.77734375" style="181" customWidth="1"/>
    <col min="13058" max="13058" width="33.21875" style="181" customWidth="1"/>
    <col min="13059" max="13060" width="3.6640625" style="181" customWidth="1"/>
    <col min="13061" max="13064" width="7.21875" style="181" customWidth="1"/>
    <col min="13065" max="13312" width="8.88671875" style="181"/>
    <col min="13313" max="13313" width="5.77734375" style="181" customWidth="1"/>
    <col min="13314" max="13314" width="33.21875" style="181" customWidth="1"/>
    <col min="13315" max="13316" width="3.6640625" style="181" customWidth="1"/>
    <col min="13317" max="13320" width="7.21875" style="181" customWidth="1"/>
    <col min="13321" max="13568" width="8.88671875" style="181"/>
    <col min="13569" max="13569" width="5.77734375" style="181" customWidth="1"/>
    <col min="13570" max="13570" width="33.21875" style="181" customWidth="1"/>
    <col min="13571" max="13572" width="3.6640625" style="181" customWidth="1"/>
    <col min="13573" max="13576" width="7.21875" style="181" customWidth="1"/>
    <col min="13577" max="13824" width="8.88671875" style="181"/>
    <col min="13825" max="13825" width="5.77734375" style="181" customWidth="1"/>
    <col min="13826" max="13826" width="33.21875" style="181" customWidth="1"/>
    <col min="13827" max="13828" width="3.6640625" style="181" customWidth="1"/>
    <col min="13829" max="13832" width="7.21875" style="181" customWidth="1"/>
    <col min="13833" max="14080" width="8.88671875" style="181"/>
    <col min="14081" max="14081" width="5.77734375" style="181" customWidth="1"/>
    <col min="14082" max="14082" width="33.21875" style="181" customWidth="1"/>
    <col min="14083" max="14084" width="3.6640625" style="181" customWidth="1"/>
    <col min="14085" max="14088" width="7.21875" style="181" customWidth="1"/>
    <col min="14089" max="14336" width="8.88671875" style="181"/>
    <col min="14337" max="14337" width="5.77734375" style="181" customWidth="1"/>
    <col min="14338" max="14338" width="33.21875" style="181" customWidth="1"/>
    <col min="14339" max="14340" width="3.6640625" style="181" customWidth="1"/>
    <col min="14341" max="14344" width="7.21875" style="181" customWidth="1"/>
    <col min="14345" max="14592" width="8.88671875" style="181"/>
    <col min="14593" max="14593" width="5.77734375" style="181" customWidth="1"/>
    <col min="14594" max="14594" width="33.21875" style="181" customWidth="1"/>
    <col min="14595" max="14596" width="3.6640625" style="181" customWidth="1"/>
    <col min="14597" max="14600" width="7.21875" style="181" customWidth="1"/>
    <col min="14601" max="14848" width="8.88671875" style="181"/>
    <col min="14849" max="14849" width="5.77734375" style="181" customWidth="1"/>
    <col min="14850" max="14850" width="33.21875" style="181" customWidth="1"/>
    <col min="14851" max="14852" width="3.6640625" style="181" customWidth="1"/>
    <col min="14853" max="14856" width="7.21875" style="181" customWidth="1"/>
    <col min="14857" max="15104" width="8.88671875" style="181"/>
    <col min="15105" max="15105" width="5.77734375" style="181" customWidth="1"/>
    <col min="15106" max="15106" width="33.21875" style="181" customWidth="1"/>
    <col min="15107" max="15108" width="3.6640625" style="181" customWidth="1"/>
    <col min="15109" max="15112" width="7.21875" style="181" customWidth="1"/>
    <col min="15113" max="15360" width="8.88671875" style="181"/>
    <col min="15361" max="15361" width="5.77734375" style="181" customWidth="1"/>
    <col min="15362" max="15362" width="33.21875" style="181" customWidth="1"/>
    <col min="15363" max="15364" width="3.6640625" style="181" customWidth="1"/>
    <col min="15365" max="15368" width="7.21875" style="181" customWidth="1"/>
    <col min="15369" max="15616" width="8.88671875" style="181"/>
    <col min="15617" max="15617" width="5.77734375" style="181" customWidth="1"/>
    <col min="15618" max="15618" width="33.21875" style="181" customWidth="1"/>
    <col min="15619" max="15620" width="3.6640625" style="181" customWidth="1"/>
    <col min="15621" max="15624" width="7.21875" style="181" customWidth="1"/>
    <col min="15625" max="15872" width="8.88671875" style="181"/>
    <col min="15873" max="15873" width="5.77734375" style="181" customWidth="1"/>
    <col min="15874" max="15874" width="33.21875" style="181" customWidth="1"/>
    <col min="15875" max="15876" width="3.6640625" style="181" customWidth="1"/>
    <col min="15877" max="15880" width="7.21875" style="181" customWidth="1"/>
    <col min="15881" max="16128" width="8.88671875" style="181"/>
    <col min="16129" max="16129" width="5.77734375" style="181" customWidth="1"/>
    <col min="16130" max="16130" width="33.21875" style="181" customWidth="1"/>
    <col min="16131" max="16132" width="3.6640625" style="181" customWidth="1"/>
    <col min="16133" max="16136" width="7.21875" style="181" customWidth="1"/>
    <col min="16137" max="16384" width="8.88671875" style="181"/>
  </cols>
  <sheetData>
    <row r="1" spans="1:10" s="211" customFormat="1" ht="19.899999999999999" customHeight="1">
      <c r="A1" s="998" t="str">
        <f>'Below Basement Detail'!A1:H1</f>
        <v>TAMILNADU POLICE HOUSING CORPORATION LIMITED.,</v>
      </c>
      <c r="B1" s="998"/>
      <c r="C1" s="998"/>
      <c r="D1" s="998"/>
      <c r="E1" s="998"/>
      <c r="F1" s="998"/>
      <c r="G1" s="998"/>
      <c r="H1" s="998"/>
    </row>
    <row r="2" spans="1:10" s="211" customFormat="1" ht="19.899999999999999" customHeight="1">
      <c r="A2" s="998" t="str">
        <f>'Below Basement Detail'!A2:H2</f>
        <v>TRICHY DIVISION, TRICHY.</v>
      </c>
      <c r="B2" s="998"/>
      <c r="C2" s="998"/>
      <c r="D2" s="998"/>
      <c r="E2" s="998"/>
      <c r="F2" s="998"/>
      <c r="G2" s="998"/>
      <c r="H2" s="998"/>
    </row>
    <row r="3" spans="1:10" s="174" customFormat="1" ht="7.9" customHeight="1">
      <c r="A3" s="221"/>
      <c r="B3" s="222"/>
      <c r="E3" s="238"/>
      <c r="F3" s="221"/>
      <c r="G3" s="239"/>
      <c r="H3" s="238"/>
    </row>
    <row r="4" spans="1:10" s="174" customFormat="1" ht="19.899999999999999" customHeight="1">
      <c r="A4" s="999" t="s">
        <v>3479</v>
      </c>
      <c r="B4" s="999"/>
      <c r="C4" s="228"/>
      <c r="D4" s="228"/>
      <c r="E4" s="240"/>
      <c r="F4" s="179"/>
      <c r="G4" s="241"/>
      <c r="H4" s="240"/>
    </row>
    <row r="5" spans="1:10" s="174" customFormat="1" ht="60" customHeight="1">
      <c r="A5" s="179"/>
      <c r="B5" s="1038" t="e">
        <f>'Below Basement Detail'!B5:H5</f>
        <v>#REF!</v>
      </c>
      <c r="C5" s="1038"/>
      <c r="D5" s="1038"/>
      <c r="E5" s="1038"/>
      <c r="F5" s="1038"/>
      <c r="G5" s="1038"/>
      <c r="H5" s="1038"/>
    </row>
    <row r="6" spans="1:10" ht="7.9" customHeight="1">
      <c r="B6" s="1001"/>
      <c r="C6" s="1001"/>
      <c r="D6" s="1001"/>
      <c r="E6" s="1001"/>
      <c r="F6" s="1001"/>
      <c r="G6" s="1001"/>
      <c r="H6" s="1001"/>
    </row>
    <row r="7" spans="1:10" ht="19.899999999999999" customHeight="1">
      <c r="B7" s="1037" t="s">
        <v>3600</v>
      </c>
      <c r="C7" s="1037"/>
      <c r="D7" s="1037"/>
      <c r="E7" s="1037"/>
      <c r="F7" s="1037"/>
      <c r="G7" s="1037"/>
      <c r="H7" s="242"/>
    </row>
    <row r="8" spans="1:10" s="199" customFormat="1" ht="40.15" customHeight="1">
      <c r="A8" s="183" t="s">
        <v>3601</v>
      </c>
      <c r="B8" s="183" t="s">
        <v>1449</v>
      </c>
      <c r="C8" s="1039" t="s">
        <v>838</v>
      </c>
      <c r="D8" s="1040"/>
      <c r="E8" s="183" t="s">
        <v>3482</v>
      </c>
      <c r="F8" s="183" t="s">
        <v>1261</v>
      </c>
      <c r="G8" s="243" t="s">
        <v>3483</v>
      </c>
      <c r="H8" s="185" t="s">
        <v>1720</v>
      </c>
    </row>
    <row r="9" spans="1:10" s="186" customFormat="1" ht="20.100000000000001" customHeight="1">
      <c r="A9" s="244">
        <v>8.1</v>
      </c>
      <c r="B9" s="992" t="s">
        <v>3520</v>
      </c>
      <c r="C9" s="993"/>
      <c r="D9" s="993"/>
      <c r="E9" s="993"/>
      <c r="F9" s="993"/>
      <c r="G9" s="994"/>
      <c r="H9" s="205"/>
    </row>
    <row r="10" spans="1:10" s="186" customFormat="1" ht="19.149999999999999" customHeight="1">
      <c r="A10" s="244"/>
      <c r="B10" s="216" t="s">
        <v>3602</v>
      </c>
      <c r="C10" s="245"/>
      <c r="D10" s="245"/>
      <c r="E10" s="193"/>
      <c r="F10" s="193"/>
      <c r="G10" s="213"/>
      <c r="H10" s="194"/>
    </row>
    <row r="11" spans="1:10" s="186" customFormat="1" ht="19.5" customHeight="1">
      <c r="A11" s="244"/>
      <c r="B11" s="192" t="s">
        <v>3499</v>
      </c>
      <c r="C11" s="190">
        <v>1</v>
      </c>
      <c r="D11" s="190">
        <v>8</v>
      </c>
      <c r="E11" s="193">
        <v>0.23</v>
      </c>
      <c r="F11" s="193">
        <v>0.38</v>
      </c>
      <c r="G11" s="193">
        <v>2.85</v>
      </c>
      <c r="H11" s="194">
        <f>ROUND(PRODUCT(C11:G11),2)</f>
        <v>1.99</v>
      </c>
      <c r="J11" s="186">
        <v>1.99</v>
      </c>
    </row>
    <row r="12" spans="1:10" s="186" customFormat="1" ht="19.5" customHeight="1">
      <c r="A12" s="244"/>
      <c r="B12" s="192" t="s">
        <v>3500</v>
      </c>
      <c r="C12" s="190">
        <v>1</v>
      </c>
      <c r="D12" s="190">
        <v>1</v>
      </c>
      <c r="E12" s="193">
        <v>0.23</v>
      </c>
      <c r="F12" s="193">
        <v>0.45</v>
      </c>
      <c r="G12" s="193">
        <v>2.85</v>
      </c>
      <c r="H12" s="194">
        <f t="shared" ref="H12:H59" si="0">ROUND(PRODUCT(C12:G12),2)</f>
        <v>0.28999999999999998</v>
      </c>
      <c r="J12" s="186">
        <v>0.28999999999999998</v>
      </c>
    </row>
    <row r="13" spans="1:10" s="186" customFormat="1" ht="19.5" customHeight="1">
      <c r="A13" s="244"/>
      <c r="B13" s="192" t="s">
        <v>3501</v>
      </c>
      <c r="C13" s="190">
        <v>1</v>
      </c>
      <c r="D13" s="190">
        <v>8</v>
      </c>
      <c r="E13" s="193">
        <v>0.23</v>
      </c>
      <c r="F13" s="193">
        <v>0.45</v>
      </c>
      <c r="G13" s="193">
        <v>2.85</v>
      </c>
      <c r="H13" s="194">
        <f t="shared" si="0"/>
        <v>2.36</v>
      </c>
      <c r="J13" s="186">
        <v>2.36</v>
      </c>
    </row>
    <row r="14" spans="1:10" s="186" customFormat="1" ht="19.5" customHeight="1">
      <c r="A14" s="244"/>
      <c r="B14" s="192" t="s">
        <v>3502</v>
      </c>
      <c r="C14" s="190">
        <v>1</v>
      </c>
      <c r="D14" s="233">
        <v>2</v>
      </c>
      <c r="E14" s="193">
        <v>0.23</v>
      </c>
      <c r="F14" s="193">
        <v>0.45</v>
      </c>
      <c r="G14" s="193">
        <v>2.85</v>
      </c>
      <c r="H14" s="194">
        <f t="shared" si="0"/>
        <v>0.59</v>
      </c>
      <c r="J14" s="186">
        <v>0.88</v>
      </c>
    </row>
    <row r="15" spans="1:10" s="237" customFormat="1" ht="19.5" customHeight="1">
      <c r="A15" s="246"/>
      <c r="B15" s="232" t="s">
        <v>3599</v>
      </c>
      <c r="C15" s="233">
        <v>1</v>
      </c>
      <c r="D15" s="233">
        <v>1</v>
      </c>
      <c r="E15" s="235">
        <v>0.23</v>
      </c>
      <c r="F15" s="235">
        <v>0.6</v>
      </c>
      <c r="G15" s="235">
        <v>2.85</v>
      </c>
      <c r="H15" s="236">
        <f>ROUND(PRODUCT(C15:G15),2)</f>
        <v>0.39</v>
      </c>
      <c r="J15" s="237">
        <v>0.88</v>
      </c>
    </row>
    <row r="16" spans="1:10" s="186" customFormat="1" ht="19.5" customHeight="1">
      <c r="A16" s="244"/>
      <c r="B16" s="189" t="s">
        <v>3603</v>
      </c>
      <c r="C16" s="219"/>
      <c r="D16" s="219"/>
      <c r="E16" s="193"/>
      <c r="F16" s="193"/>
      <c r="G16" s="213"/>
      <c r="H16" s="194">
        <f t="shared" si="0"/>
        <v>0</v>
      </c>
      <c r="J16" s="186">
        <v>0</v>
      </c>
    </row>
    <row r="17" spans="1:10" s="186" customFormat="1" ht="19.5" customHeight="1">
      <c r="A17" s="244"/>
      <c r="B17" s="218" t="s">
        <v>3604</v>
      </c>
      <c r="C17" s="219">
        <v>1</v>
      </c>
      <c r="D17" s="219">
        <v>2</v>
      </c>
      <c r="E17" s="193">
        <v>1.81</v>
      </c>
      <c r="F17" s="193">
        <v>0.23</v>
      </c>
      <c r="G17" s="193">
        <v>0.05</v>
      </c>
      <c r="H17" s="194">
        <f t="shared" si="0"/>
        <v>0.04</v>
      </c>
      <c r="I17" s="225">
        <f>SUM(D11:D12)</f>
        <v>9</v>
      </c>
      <c r="J17" s="186">
        <v>0.04</v>
      </c>
    </row>
    <row r="18" spans="1:10" s="186" customFormat="1" ht="19.5" customHeight="1">
      <c r="A18" s="244"/>
      <c r="B18" s="218" t="s">
        <v>3605</v>
      </c>
      <c r="C18" s="219">
        <v>1</v>
      </c>
      <c r="D18" s="219">
        <v>2</v>
      </c>
      <c r="E18" s="193">
        <v>1.96</v>
      </c>
      <c r="F18" s="193">
        <v>0.23</v>
      </c>
      <c r="G18" s="193">
        <v>0.05</v>
      </c>
      <c r="H18" s="194">
        <f t="shared" si="0"/>
        <v>0.05</v>
      </c>
      <c r="I18" s="225"/>
      <c r="J18" s="186">
        <v>0.05</v>
      </c>
    </row>
    <row r="19" spans="1:10" s="186" customFormat="1" ht="19.5" customHeight="1">
      <c r="A19" s="244"/>
      <c r="B19" s="218" t="s">
        <v>3606</v>
      </c>
      <c r="C19" s="219">
        <v>1</v>
      </c>
      <c r="D19" s="219">
        <v>1</v>
      </c>
      <c r="E19" s="193">
        <v>2.2599999999999998</v>
      </c>
      <c r="F19" s="193">
        <v>0.23</v>
      </c>
      <c r="G19" s="193">
        <v>0.05</v>
      </c>
      <c r="H19" s="194">
        <f t="shared" si="0"/>
        <v>0.03</v>
      </c>
      <c r="I19" s="225"/>
      <c r="J19" s="186">
        <v>0.03</v>
      </c>
    </row>
    <row r="20" spans="1:10" s="186" customFormat="1" ht="19.5" customHeight="1">
      <c r="A20" s="244"/>
      <c r="B20" s="218" t="s">
        <v>3607</v>
      </c>
      <c r="C20" s="219">
        <v>1</v>
      </c>
      <c r="D20" s="219">
        <v>1</v>
      </c>
      <c r="E20" s="193">
        <v>1.51</v>
      </c>
      <c r="F20" s="193">
        <v>0.23</v>
      </c>
      <c r="G20" s="193">
        <v>0.05</v>
      </c>
      <c r="H20" s="194">
        <f>ROUND(PRODUCT(C20:G20),2)</f>
        <v>0.02</v>
      </c>
      <c r="I20" s="225"/>
      <c r="J20" s="186">
        <v>0.02</v>
      </c>
    </row>
    <row r="21" spans="1:10" s="186" customFormat="1" ht="19.5" customHeight="1">
      <c r="A21" s="244"/>
      <c r="B21" s="216" t="s">
        <v>3608</v>
      </c>
      <c r="C21" s="219"/>
      <c r="D21" s="219"/>
      <c r="E21" s="193"/>
      <c r="F21" s="193"/>
      <c r="G21" s="213"/>
      <c r="H21" s="194">
        <f t="shared" si="0"/>
        <v>0</v>
      </c>
      <c r="I21" s="225"/>
      <c r="J21" s="186">
        <v>0</v>
      </c>
    </row>
    <row r="22" spans="1:10" s="186" customFormat="1" ht="19.5" customHeight="1">
      <c r="A22" s="187"/>
      <c r="B22" s="218" t="s">
        <v>3604</v>
      </c>
      <c r="C22" s="219">
        <v>1</v>
      </c>
      <c r="D22" s="219">
        <v>2</v>
      </c>
      <c r="E22" s="193">
        <v>1.81</v>
      </c>
      <c r="F22" s="193">
        <v>0.23</v>
      </c>
      <c r="G22" s="193">
        <v>0.15</v>
      </c>
      <c r="H22" s="194">
        <f t="shared" si="0"/>
        <v>0.12</v>
      </c>
      <c r="J22" s="186">
        <v>0.12</v>
      </c>
    </row>
    <row r="23" spans="1:10" s="186" customFormat="1" ht="19.5" customHeight="1">
      <c r="A23" s="187"/>
      <c r="B23" s="218" t="s">
        <v>3605</v>
      </c>
      <c r="C23" s="219">
        <v>1</v>
      </c>
      <c r="D23" s="219">
        <v>2</v>
      </c>
      <c r="E23" s="193">
        <v>1.96</v>
      </c>
      <c r="F23" s="193">
        <v>0.23</v>
      </c>
      <c r="G23" s="193">
        <v>0.15</v>
      </c>
      <c r="H23" s="194">
        <f t="shared" si="0"/>
        <v>0.14000000000000001</v>
      </c>
      <c r="J23" s="186">
        <v>0.14000000000000001</v>
      </c>
    </row>
    <row r="24" spans="1:10" s="186" customFormat="1" ht="19.5" customHeight="1">
      <c r="A24" s="187"/>
      <c r="B24" s="218" t="s">
        <v>3606</v>
      </c>
      <c r="C24" s="219">
        <v>1</v>
      </c>
      <c r="D24" s="219">
        <v>1</v>
      </c>
      <c r="E24" s="193">
        <v>2.2599999999999998</v>
      </c>
      <c r="F24" s="193">
        <v>0.23</v>
      </c>
      <c r="G24" s="193">
        <v>0.15</v>
      </c>
      <c r="H24" s="194">
        <f t="shared" si="0"/>
        <v>0.08</v>
      </c>
      <c r="J24" s="186">
        <v>0.08</v>
      </c>
    </row>
    <row r="25" spans="1:10" s="186" customFormat="1" ht="19.5" customHeight="1">
      <c r="A25" s="187"/>
      <c r="B25" s="218" t="s">
        <v>3607</v>
      </c>
      <c r="C25" s="219">
        <v>1</v>
      </c>
      <c r="D25" s="219">
        <v>1</v>
      </c>
      <c r="E25" s="193">
        <v>1.51</v>
      </c>
      <c r="F25" s="193">
        <v>0.23</v>
      </c>
      <c r="G25" s="193">
        <v>0.15</v>
      </c>
      <c r="H25" s="194">
        <f t="shared" si="0"/>
        <v>0.05</v>
      </c>
      <c r="J25" s="186">
        <v>0.05</v>
      </c>
    </row>
    <row r="26" spans="1:10" s="186" customFormat="1" ht="19.5" customHeight="1">
      <c r="A26" s="187"/>
      <c r="B26" s="218" t="s">
        <v>3609</v>
      </c>
      <c r="C26" s="219">
        <v>1</v>
      </c>
      <c r="D26" s="219">
        <v>1</v>
      </c>
      <c r="E26" s="193">
        <v>2.1</v>
      </c>
      <c r="F26" s="193">
        <v>0.23</v>
      </c>
      <c r="G26" s="193">
        <v>0.15</v>
      </c>
      <c r="H26" s="194">
        <f t="shared" si="0"/>
        <v>7.0000000000000007E-2</v>
      </c>
      <c r="J26" s="186">
        <v>7.0000000000000007E-2</v>
      </c>
    </row>
    <row r="27" spans="1:10" s="186" customFormat="1" ht="19.5" customHeight="1">
      <c r="A27" s="187"/>
      <c r="B27" s="218" t="s">
        <v>3483</v>
      </c>
      <c r="C27" s="219">
        <v>1</v>
      </c>
      <c r="D27" s="219">
        <v>2</v>
      </c>
      <c r="E27" s="193">
        <v>1.46</v>
      </c>
      <c r="F27" s="193">
        <v>0.23</v>
      </c>
      <c r="G27" s="193">
        <v>0.15</v>
      </c>
      <c r="H27" s="194">
        <f t="shared" si="0"/>
        <v>0.1</v>
      </c>
      <c r="J27" s="186">
        <v>0.1</v>
      </c>
    </row>
    <row r="28" spans="1:10" s="186" customFormat="1" ht="19.5" customHeight="1">
      <c r="A28" s="187"/>
      <c r="B28" s="218" t="s">
        <v>3610</v>
      </c>
      <c r="C28" s="219">
        <v>1</v>
      </c>
      <c r="D28" s="219">
        <v>1</v>
      </c>
      <c r="E28" s="193">
        <v>1.21</v>
      </c>
      <c r="F28" s="193">
        <v>0.23</v>
      </c>
      <c r="G28" s="193">
        <v>0.15</v>
      </c>
      <c r="H28" s="194">
        <f t="shared" si="0"/>
        <v>0.04</v>
      </c>
      <c r="J28" s="186">
        <v>0.04</v>
      </c>
    </row>
    <row r="29" spans="1:10" s="186" customFormat="1" ht="19.5" customHeight="1">
      <c r="A29" s="187"/>
      <c r="B29" s="218" t="s">
        <v>3611</v>
      </c>
      <c r="C29" s="219">
        <v>1</v>
      </c>
      <c r="D29" s="219">
        <v>1</v>
      </c>
      <c r="E29" s="193">
        <v>1.21</v>
      </c>
      <c r="F29" s="193">
        <v>0.23</v>
      </c>
      <c r="G29" s="193">
        <v>0.15</v>
      </c>
      <c r="H29" s="194">
        <f t="shared" si="0"/>
        <v>0.04</v>
      </c>
      <c r="J29" s="186">
        <v>0.04</v>
      </c>
    </row>
    <row r="30" spans="1:10" s="186" customFormat="1" ht="19.5" customHeight="1">
      <c r="A30" s="187"/>
      <c r="B30" s="218" t="s">
        <v>3612</v>
      </c>
      <c r="C30" s="219">
        <v>1</v>
      </c>
      <c r="D30" s="219">
        <v>1</v>
      </c>
      <c r="E30" s="193">
        <v>4.3499999999999996</v>
      </c>
      <c r="F30" s="193">
        <v>0.6</v>
      </c>
      <c r="G30" s="193">
        <v>0.05</v>
      </c>
      <c r="H30" s="194">
        <f t="shared" si="0"/>
        <v>0.13</v>
      </c>
      <c r="J30" s="186">
        <v>0.13</v>
      </c>
    </row>
    <row r="31" spans="1:10" s="186" customFormat="1" ht="19.5" customHeight="1">
      <c r="A31" s="244"/>
      <c r="B31" s="192" t="s">
        <v>3496</v>
      </c>
      <c r="C31" s="190">
        <v>1</v>
      </c>
      <c r="D31" s="190">
        <v>1</v>
      </c>
      <c r="E31" s="193">
        <v>2.4</v>
      </c>
      <c r="F31" s="193">
        <v>0.23</v>
      </c>
      <c r="G31" s="193">
        <v>0.15</v>
      </c>
      <c r="H31" s="194">
        <f>ROUND(PRODUCT(C31:G31),2)</f>
        <v>0.08</v>
      </c>
      <c r="J31" s="186">
        <v>0.08</v>
      </c>
    </row>
    <row r="32" spans="1:10" s="186" customFormat="1" ht="19.5" customHeight="1">
      <c r="A32" s="244"/>
      <c r="B32" s="216" t="s">
        <v>3577</v>
      </c>
      <c r="C32" s="219"/>
      <c r="D32" s="219"/>
      <c r="E32" s="193"/>
      <c r="F32" s="193"/>
      <c r="G32" s="213"/>
      <c r="H32" s="194">
        <f t="shared" si="0"/>
        <v>0</v>
      </c>
      <c r="I32" s="225"/>
      <c r="J32" s="186">
        <v>0</v>
      </c>
    </row>
    <row r="33" spans="1:10" s="186" customFormat="1" ht="19.5" customHeight="1">
      <c r="A33" s="244"/>
      <c r="B33" s="218" t="s">
        <v>3604</v>
      </c>
      <c r="C33" s="219">
        <v>1</v>
      </c>
      <c r="D33" s="219">
        <v>2</v>
      </c>
      <c r="E33" s="193">
        <v>1.81</v>
      </c>
      <c r="F33" s="193">
        <v>0.6</v>
      </c>
      <c r="G33" s="213">
        <v>6.3E-2</v>
      </c>
      <c r="H33" s="194">
        <f t="shared" si="0"/>
        <v>0.14000000000000001</v>
      </c>
      <c r="I33" s="225"/>
      <c r="J33" s="186">
        <v>0.14000000000000001</v>
      </c>
    </row>
    <row r="34" spans="1:10" s="186" customFormat="1" ht="19.5" customHeight="1">
      <c r="A34" s="244"/>
      <c r="B34" s="218" t="s">
        <v>3605</v>
      </c>
      <c r="C34" s="219">
        <v>1</v>
      </c>
      <c r="D34" s="219">
        <v>2</v>
      </c>
      <c r="E34" s="193">
        <v>1.96</v>
      </c>
      <c r="F34" s="193">
        <v>0.6</v>
      </c>
      <c r="G34" s="213">
        <v>6.3E-2</v>
      </c>
      <c r="H34" s="194">
        <f t="shared" si="0"/>
        <v>0.15</v>
      </c>
      <c r="I34" s="225"/>
      <c r="J34" s="186">
        <v>0.15</v>
      </c>
    </row>
    <row r="35" spans="1:10" s="186" customFormat="1" ht="19.5" customHeight="1">
      <c r="A35" s="244"/>
      <c r="B35" s="218" t="s">
        <v>3613</v>
      </c>
      <c r="C35" s="219"/>
      <c r="D35" s="219"/>
      <c r="E35" s="193"/>
      <c r="F35" s="193"/>
      <c r="G35" s="213"/>
      <c r="H35" s="194">
        <f t="shared" si="0"/>
        <v>0</v>
      </c>
      <c r="I35" s="225"/>
      <c r="J35" s="186">
        <v>0</v>
      </c>
    </row>
    <row r="36" spans="1:10" s="186" customFormat="1" ht="19.5" customHeight="1">
      <c r="A36" s="244"/>
      <c r="B36" s="218" t="s">
        <v>3506</v>
      </c>
      <c r="C36" s="219">
        <v>1</v>
      </c>
      <c r="D36" s="219">
        <v>1</v>
      </c>
      <c r="E36" s="193">
        <v>4.3499999999999996</v>
      </c>
      <c r="F36" s="193">
        <v>0.6</v>
      </c>
      <c r="G36" s="193">
        <v>0.05</v>
      </c>
      <c r="H36" s="194">
        <f t="shared" si="0"/>
        <v>0.13</v>
      </c>
      <c r="I36" s="225"/>
      <c r="J36" s="186">
        <v>0.13</v>
      </c>
    </row>
    <row r="37" spans="1:10" s="186" customFormat="1" ht="19.5" customHeight="1">
      <c r="A37" s="244"/>
      <c r="B37" s="218" t="s">
        <v>3508</v>
      </c>
      <c r="C37" s="219">
        <v>1</v>
      </c>
      <c r="D37" s="219">
        <v>1</v>
      </c>
      <c r="E37" s="193">
        <v>4.3499999999999996</v>
      </c>
      <c r="F37" s="193">
        <v>0.6</v>
      </c>
      <c r="G37" s="193">
        <v>0.05</v>
      </c>
      <c r="H37" s="194">
        <f t="shared" si="0"/>
        <v>0.13</v>
      </c>
      <c r="I37" s="225"/>
      <c r="J37" s="186">
        <v>0.13</v>
      </c>
    </row>
    <row r="38" spans="1:10" s="186" customFormat="1" ht="19.5" customHeight="1">
      <c r="A38" s="244"/>
      <c r="B38" s="189" t="s">
        <v>3296</v>
      </c>
      <c r="C38" s="219"/>
      <c r="D38" s="219"/>
      <c r="E38" s="193"/>
      <c r="F38" s="193"/>
      <c r="G38" s="213"/>
      <c r="H38" s="194">
        <f t="shared" si="0"/>
        <v>0</v>
      </c>
      <c r="I38" s="225"/>
      <c r="J38" s="186">
        <v>0</v>
      </c>
    </row>
    <row r="39" spans="1:10" s="186" customFormat="1" ht="19.5" customHeight="1">
      <c r="A39" s="244"/>
      <c r="B39" s="192" t="s">
        <v>3614</v>
      </c>
      <c r="C39" s="190">
        <v>1</v>
      </c>
      <c r="D39" s="190">
        <v>1</v>
      </c>
      <c r="E39" s="187">
        <v>3.8460000000000001</v>
      </c>
      <c r="F39" s="194">
        <v>1.2</v>
      </c>
      <c r="G39" s="193">
        <v>0.15</v>
      </c>
      <c r="H39" s="194">
        <f t="shared" si="0"/>
        <v>0.69</v>
      </c>
      <c r="I39" s="225"/>
      <c r="J39" s="186">
        <v>0.69</v>
      </c>
    </row>
    <row r="40" spans="1:10" s="186" customFormat="1" ht="19.5" customHeight="1">
      <c r="A40" s="244"/>
      <c r="B40" s="192" t="s">
        <v>3615</v>
      </c>
      <c r="C40" s="190">
        <v>1</v>
      </c>
      <c r="D40" s="190">
        <v>1</v>
      </c>
      <c r="E40" s="194">
        <v>2.4</v>
      </c>
      <c r="F40" s="194">
        <v>1.71</v>
      </c>
      <c r="G40" s="193">
        <v>0.15</v>
      </c>
      <c r="H40" s="194">
        <f t="shared" si="0"/>
        <v>0.62</v>
      </c>
      <c r="I40" s="225"/>
      <c r="J40" s="186">
        <v>0.62</v>
      </c>
    </row>
    <row r="41" spans="1:10" s="186" customFormat="1" ht="19.5" customHeight="1">
      <c r="A41" s="244"/>
      <c r="B41" s="192" t="s">
        <v>3616</v>
      </c>
      <c r="C41" s="190">
        <v>0.5</v>
      </c>
      <c r="D41" s="190">
        <v>11</v>
      </c>
      <c r="E41" s="194">
        <v>1.2</v>
      </c>
      <c r="F41" s="194">
        <v>0.3</v>
      </c>
      <c r="G41" s="213">
        <v>0.157</v>
      </c>
      <c r="H41" s="194">
        <f t="shared" si="0"/>
        <v>0.31</v>
      </c>
      <c r="I41" s="225"/>
      <c r="J41" s="186">
        <v>0.31</v>
      </c>
    </row>
    <row r="42" spans="1:10" s="186" customFormat="1" ht="19.5" customHeight="1">
      <c r="A42" s="244"/>
      <c r="B42" s="192" t="s">
        <v>3617</v>
      </c>
      <c r="C42" s="190">
        <v>1</v>
      </c>
      <c r="D42" s="190">
        <v>1</v>
      </c>
      <c r="E42" s="194">
        <v>2.4</v>
      </c>
      <c r="F42" s="187">
        <v>0.23</v>
      </c>
      <c r="G42" s="193">
        <v>0.3</v>
      </c>
      <c r="H42" s="194">
        <f t="shared" si="0"/>
        <v>0.17</v>
      </c>
      <c r="I42" s="225"/>
      <c r="J42" s="186">
        <v>0.17</v>
      </c>
    </row>
    <row r="43" spans="1:10" s="186" customFormat="1" ht="19.5" customHeight="1">
      <c r="A43" s="244"/>
      <c r="B43" s="192" t="s">
        <v>3618</v>
      </c>
      <c r="C43" s="190">
        <v>1</v>
      </c>
      <c r="D43" s="190">
        <v>1</v>
      </c>
      <c r="E43" s="187">
        <v>3.048</v>
      </c>
      <c r="F43" s="194">
        <v>1.2</v>
      </c>
      <c r="G43" s="193">
        <f>+G39</f>
        <v>0.15</v>
      </c>
      <c r="H43" s="194">
        <f t="shared" si="0"/>
        <v>0.55000000000000004</v>
      </c>
      <c r="I43" s="225"/>
      <c r="J43" s="186">
        <v>0.55000000000000004</v>
      </c>
    </row>
    <row r="44" spans="1:10" s="186" customFormat="1" ht="19.5" customHeight="1">
      <c r="A44" s="244"/>
      <c r="B44" s="192" t="s">
        <v>3616</v>
      </c>
      <c r="C44" s="190">
        <v>0.5</v>
      </c>
      <c r="D44" s="190">
        <v>9</v>
      </c>
      <c r="E44" s="194">
        <v>1.2</v>
      </c>
      <c r="F44" s="194">
        <v>0.3</v>
      </c>
      <c r="G44" s="213">
        <v>0.157</v>
      </c>
      <c r="H44" s="194">
        <f t="shared" si="0"/>
        <v>0.25</v>
      </c>
      <c r="I44" s="225"/>
      <c r="J44" s="186">
        <v>0.25</v>
      </c>
    </row>
    <row r="45" spans="1:10" s="186" customFormat="1" ht="19.5" customHeight="1">
      <c r="A45" s="244"/>
      <c r="B45" s="192" t="s">
        <v>3619</v>
      </c>
      <c r="C45" s="190">
        <v>1</v>
      </c>
      <c r="D45" s="190">
        <v>1</v>
      </c>
      <c r="E45" s="194">
        <v>2.86</v>
      </c>
      <c r="F45" s="194">
        <v>2.4</v>
      </c>
      <c r="G45" s="213">
        <v>0.125</v>
      </c>
      <c r="H45" s="194">
        <f t="shared" si="0"/>
        <v>0.86</v>
      </c>
      <c r="I45" s="225"/>
      <c r="J45" s="186">
        <v>0.86</v>
      </c>
    </row>
    <row r="46" spans="1:10" s="186" customFormat="1" ht="19.5" customHeight="1">
      <c r="A46" s="244"/>
      <c r="B46" s="192" t="s">
        <v>4955</v>
      </c>
      <c r="C46" s="190">
        <v>1</v>
      </c>
      <c r="D46" s="190">
        <v>1</v>
      </c>
      <c r="E46" s="194">
        <v>11.72</v>
      </c>
      <c r="F46" s="194">
        <v>15.18</v>
      </c>
      <c r="G46" s="213">
        <v>0.1</v>
      </c>
      <c r="H46" s="194">
        <f>ROUND(PRODUCT(C46:G46),2)</f>
        <v>17.79</v>
      </c>
      <c r="I46" s="225"/>
    </row>
    <row r="47" spans="1:10" s="186" customFormat="1" ht="19.5" customHeight="1">
      <c r="A47" s="244"/>
      <c r="B47" s="216" t="s">
        <v>3620</v>
      </c>
      <c r="C47" s="219"/>
      <c r="D47" s="219"/>
      <c r="E47" s="193"/>
      <c r="F47" s="193"/>
      <c r="G47" s="213"/>
      <c r="H47" s="194">
        <f t="shared" si="0"/>
        <v>0</v>
      </c>
      <c r="I47" s="225"/>
      <c r="J47" s="186">
        <v>0</v>
      </c>
    </row>
    <row r="48" spans="1:10" s="186" customFormat="1" ht="19.5" customHeight="1">
      <c r="A48" s="244"/>
      <c r="B48" s="218" t="s">
        <v>3621</v>
      </c>
      <c r="C48" s="219">
        <v>1</v>
      </c>
      <c r="D48" s="219">
        <v>1</v>
      </c>
      <c r="E48" s="193">
        <v>52.88</v>
      </c>
      <c r="F48" s="193">
        <v>0.23</v>
      </c>
      <c r="G48" s="213">
        <v>0.22500000000000001</v>
      </c>
      <c r="H48" s="194">
        <f t="shared" si="0"/>
        <v>2.74</v>
      </c>
      <c r="I48" s="225"/>
      <c r="J48" s="186">
        <v>2.74</v>
      </c>
    </row>
    <row r="49" spans="1:10" s="186" customFormat="1" ht="19.5" customHeight="1">
      <c r="A49" s="244"/>
      <c r="B49" s="218" t="s">
        <v>3532</v>
      </c>
      <c r="C49" s="219">
        <v>1</v>
      </c>
      <c r="D49" s="219">
        <v>1</v>
      </c>
      <c r="E49" s="193">
        <v>14.95</v>
      </c>
      <c r="F49" s="193">
        <v>0.23</v>
      </c>
      <c r="G49" s="193">
        <v>7.0000000000000007E-2</v>
      </c>
      <c r="H49" s="194">
        <f t="shared" si="0"/>
        <v>0.24</v>
      </c>
      <c r="I49" s="225"/>
      <c r="J49" s="186">
        <v>0.24</v>
      </c>
    </row>
    <row r="50" spans="1:10" s="186" customFormat="1" ht="19.5" customHeight="1">
      <c r="A50" s="244"/>
      <c r="B50" s="218" t="s">
        <v>3532</v>
      </c>
      <c r="C50" s="219">
        <v>1</v>
      </c>
      <c r="D50" s="219">
        <v>1</v>
      </c>
      <c r="E50" s="193">
        <v>14.95</v>
      </c>
      <c r="F50" s="193">
        <v>0.23</v>
      </c>
      <c r="G50" s="193">
        <v>0.22</v>
      </c>
      <c r="H50" s="194">
        <f t="shared" si="0"/>
        <v>0.76</v>
      </c>
      <c r="I50" s="225"/>
      <c r="J50" s="186">
        <v>0.76</v>
      </c>
    </row>
    <row r="51" spans="1:10" s="186" customFormat="1" ht="19.5" customHeight="1">
      <c r="A51" s="244"/>
      <c r="B51" s="218" t="s">
        <v>3622</v>
      </c>
      <c r="C51" s="219">
        <v>1</v>
      </c>
      <c r="D51" s="219">
        <v>2</v>
      </c>
      <c r="E51" s="193">
        <v>10.1</v>
      </c>
      <c r="F51" s="193">
        <v>0.23</v>
      </c>
      <c r="G51" s="213">
        <v>0.32500000000000001</v>
      </c>
      <c r="H51" s="194">
        <f t="shared" si="0"/>
        <v>1.51</v>
      </c>
      <c r="I51" s="225"/>
      <c r="J51" s="186">
        <v>1.51</v>
      </c>
    </row>
    <row r="52" spans="1:10" s="186" customFormat="1" ht="19.5" customHeight="1">
      <c r="A52" s="244"/>
      <c r="B52" s="218" t="s">
        <v>3623</v>
      </c>
      <c r="C52" s="219">
        <v>1</v>
      </c>
      <c r="D52" s="219">
        <v>2</v>
      </c>
      <c r="E52" s="193">
        <v>3</v>
      </c>
      <c r="F52" s="193">
        <v>0.23</v>
      </c>
      <c r="G52" s="213">
        <v>0.22500000000000001</v>
      </c>
      <c r="H52" s="194">
        <f t="shared" si="0"/>
        <v>0.31</v>
      </c>
      <c r="I52" s="225"/>
      <c r="J52" s="186">
        <v>0.31</v>
      </c>
    </row>
    <row r="53" spans="1:10" s="186" customFormat="1" ht="19.5" customHeight="1">
      <c r="A53" s="244"/>
      <c r="B53" s="218" t="s">
        <v>3624</v>
      </c>
      <c r="C53" s="219">
        <v>1</v>
      </c>
      <c r="D53" s="219">
        <v>1</v>
      </c>
      <c r="E53" s="193">
        <v>1.5</v>
      </c>
      <c r="F53" s="193">
        <v>0.23</v>
      </c>
      <c r="G53" s="213">
        <v>0.17499999999999999</v>
      </c>
      <c r="H53" s="194">
        <f t="shared" si="0"/>
        <v>0.06</v>
      </c>
      <c r="I53" s="225"/>
      <c r="J53" s="186">
        <v>0.06</v>
      </c>
    </row>
    <row r="54" spans="1:10" s="186" customFormat="1" ht="19.5" customHeight="1">
      <c r="A54" s="244"/>
      <c r="B54" s="218" t="s">
        <v>3625</v>
      </c>
      <c r="C54" s="219">
        <v>1</v>
      </c>
      <c r="D54" s="219">
        <v>1</v>
      </c>
      <c r="E54" s="193">
        <v>11.26</v>
      </c>
      <c r="F54" s="193">
        <v>0.23</v>
      </c>
      <c r="G54" s="213">
        <v>0.47499999999999998</v>
      </c>
      <c r="H54" s="194">
        <f t="shared" si="0"/>
        <v>1.23</v>
      </c>
      <c r="I54" s="225"/>
      <c r="J54" s="186">
        <v>1.23</v>
      </c>
    </row>
    <row r="55" spans="1:10" s="186" customFormat="1" ht="19.5" customHeight="1">
      <c r="A55" s="244"/>
      <c r="B55" s="218" t="s">
        <v>3626</v>
      </c>
      <c r="C55" s="219">
        <v>1</v>
      </c>
      <c r="D55" s="219">
        <v>1</v>
      </c>
      <c r="E55" s="193">
        <v>11.26</v>
      </c>
      <c r="F55" s="193">
        <v>0.23</v>
      </c>
      <c r="G55" s="213">
        <v>0.32500000000000001</v>
      </c>
      <c r="H55" s="194">
        <f t="shared" si="0"/>
        <v>0.84</v>
      </c>
      <c r="I55" s="225"/>
      <c r="J55" s="186">
        <v>0.84</v>
      </c>
    </row>
    <row r="56" spans="1:10" s="186" customFormat="1" ht="19.5" customHeight="1">
      <c r="A56" s="244"/>
      <c r="B56" s="218" t="s">
        <v>3627</v>
      </c>
      <c r="C56" s="219">
        <v>1</v>
      </c>
      <c r="D56" s="219">
        <v>4</v>
      </c>
      <c r="E56" s="193">
        <v>4.3499999999999996</v>
      </c>
      <c r="F56" s="193">
        <v>0.23</v>
      </c>
      <c r="G56" s="213">
        <v>0.32500000000000001</v>
      </c>
      <c r="H56" s="194">
        <f t="shared" si="0"/>
        <v>1.3</v>
      </c>
      <c r="I56" s="225"/>
      <c r="J56" s="186">
        <v>1.3</v>
      </c>
    </row>
    <row r="57" spans="1:10" s="186" customFormat="1" ht="19.5" customHeight="1">
      <c r="A57" s="244"/>
      <c r="B57" s="218" t="s">
        <v>3628</v>
      </c>
      <c r="C57" s="219">
        <v>1</v>
      </c>
      <c r="D57" s="219">
        <v>1</v>
      </c>
      <c r="E57" s="193">
        <v>4.3499999999999996</v>
      </c>
      <c r="F57" s="193">
        <v>0.23</v>
      </c>
      <c r="G57" s="213">
        <v>0.22500000000000001</v>
      </c>
      <c r="H57" s="194">
        <f t="shared" si="0"/>
        <v>0.23</v>
      </c>
      <c r="I57" s="225"/>
      <c r="J57" s="186">
        <v>0.23</v>
      </c>
    </row>
    <row r="58" spans="1:10" s="186" customFormat="1" ht="19.5" customHeight="1">
      <c r="A58" s="244"/>
      <c r="B58" s="216" t="s">
        <v>3629</v>
      </c>
      <c r="C58" s="219"/>
      <c r="D58" s="219"/>
      <c r="E58" s="193"/>
      <c r="F58" s="193"/>
      <c r="G58" s="213"/>
      <c r="H58" s="194">
        <f t="shared" si="0"/>
        <v>0</v>
      </c>
      <c r="J58" s="186">
        <v>0</v>
      </c>
    </row>
    <row r="59" spans="1:10" s="199" customFormat="1" ht="19.5" customHeight="1">
      <c r="A59" s="182"/>
      <c r="B59" s="218" t="s">
        <v>3630</v>
      </c>
      <c r="C59" s="219">
        <v>1</v>
      </c>
      <c r="D59" s="219">
        <v>1</v>
      </c>
      <c r="E59" s="193">
        <v>11.72</v>
      </c>
      <c r="F59" s="193">
        <v>15.18</v>
      </c>
      <c r="G59" s="213">
        <v>0.125</v>
      </c>
      <c r="H59" s="194">
        <f t="shared" si="0"/>
        <v>22.24</v>
      </c>
      <c r="J59" s="199">
        <v>22.24</v>
      </c>
    </row>
    <row r="60" spans="1:10" s="186" customFormat="1" ht="19.5" customHeight="1">
      <c r="A60" s="244"/>
      <c r="B60" s="218"/>
      <c r="C60" s="219"/>
      <c r="D60" s="219"/>
      <c r="E60" s="193"/>
      <c r="F60" s="193"/>
      <c r="G60" s="213"/>
      <c r="H60" s="205">
        <f>J61-I61</f>
        <v>0.04</v>
      </c>
    </row>
    <row r="61" spans="1:10" s="186" customFormat="1" ht="19.5" customHeight="1">
      <c r="A61" s="244"/>
      <c r="B61" s="218"/>
      <c r="C61" s="219"/>
      <c r="D61" s="219"/>
      <c r="E61" s="193"/>
      <c r="F61" s="193"/>
      <c r="G61" s="213" t="s">
        <v>1827</v>
      </c>
      <c r="H61" s="247">
        <f>J61</f>
        <v>59.9</v>
      </c>
      <c r="I61" s="186">
        <f>SUM(H11:H59)</f>
        <v>59.86</v>
      </c>
      <c r="J61" s="186">
        <f>ROUNDUP(I61,1)</f>
        <v>59.9</v>
      </c>
    </row>
    <row r="62" spans="1:10" s="186" customFormat="1" ht="19.5" customHeight="1">
      <c r="A62" s="244"/>
      <c r="B62" s="218"/>
      <c r="C62" s="219"/>
      <c r="D62" s="219"/>
      <c r="E62" s="193"/>
      <c r="F62" s="197" t="s">
        <v>2560</v>
      </c>
      <c r="G62" s="197">
        <f>H61</f>
        <v>59.9</v>
      </c>
      <c r="H62" s="248" t="s">
        <v>1749</v>
      </c>
      <c r="I62" s="199"/>
      <c r="J62" s="199"/>
    </row>
    <row r="63" spans="1:10" s="186" customFormat="1" ht="19.5" customHeight="1">
      <c r="A63" s="244"/>
      <c r="B63" s="216" t="s">
        <v>3631</v>
      </c>
      <c r="C63" s="245"/>
      <c r="D63" s="245"/>
      <c r="E63" s="193"/>
      <c r="F63" s="193"/>
      <c r="G63" s="213"/>
      <c r="H63" s="194"/>
    </row>
    <row r="64" spans="1:10" s="186" customFormat="1" ht="19.5" customHeight="1">
      <c r="A64" s="244"/>
      <c r="B64" s="192" t="s">
        <v>3499</v>
      </c>
      <c r="C64" s="190">
        <v>1</v>
      </c>
      <c r="D64" s="190">
        <v>8</v>
      </c>
      <c r="E64" s="193">
        <v>0.23</v>
      </c>
      <c r="F64" s="193">
        <v>0.38</v>
      </c>
      <c r="G64" s="193">
        <v>2.85</v>
      </c>
      <c r="H64" s="194">
        <f t="shared" ref="H64:H110" si="1">ROUND(PRODUCT(C64:G64),2)</f>
        <v>1.99</v>
      </c>
      <c r="J64" s="186">
        <v>1.99</v>
      </c>
    </row>
    <row r="65" spans="1:10" s="186" customFormat="1" ht="19.5" customHeight="1">
      <c r="A65" s="244"/>
      <c r="B65" s="192" t="s">
        <v>3500</v>
      </c>
      <c r="C65" s="190">
        <v>1</v>
      </c>
      <c r="D65" s="190">
        <v>1</v>
      </c>
      <c r="E65" s="193">
        <v>0.23</v>
      </c>
      <c r="F65" s="193">
        <v>0.45</v>
      </c>
      <c r="G65" s="193">
        <v>2.85</v>
      </c>
      <c r="H65" s="194">
        <f t="shared" si="1"/>
        <v>0.28999999999999998</v>
      </c>
      <c r="J65" s="186">
        <v>0.28999999999999998</v>
      </c>
    </row>
    <row r="66" spans="1:10" s="186" customFormat="1" ht="19.5" customHeight="1">
      <c r="A66" s="244"/>
      <c r="B66" s="192" t="s">
        <v>3501</v>
      </c>
      <c r="C66" s="190">
        <v>1</v>
      </c>
      <c r="D66" s="190">
        <v>8</v>
      </c>
      <c r="E66" s="193">
        <v>0.23</v>
      </c>
      <c r="F66" s="193">
        <v>0.45</v>
      </c>
      <c r="G66" s="193">
        <v>2.85</v>
      </c>
      <c r="H66" s="194">
        <f t="shared" si="1"/>
        <v>2.36</v>
      </c>
      <c r="J66" s="186">
        <v>2.36</v>
      </c>
    </row>
    <row r="67" spans="1:10" s="186" customFormat="1" ht="19.5" customHeight="1">
      <c r="A67" s="244"/>
      <c r="B67" s="192" t="s">
        <v>3502</v>
      </c>
      <c r="C67" s="190">
        <v>1</v>
      </c>
      <c r="D67" s="233">
        <v>2</v>
      </c>
      <c r="E67" s="193">
        <v>0.23</v>
      </c>
      <c r="F67" s="193">
        <v>0.45</v>
      </c>
      <c r="G67" s="193">
        <v>2.85</v>
      </c>
      <c r="H67" s="194">
        <f t="shared" si="1"/>
        <v>0.59</v>
      </c>
      <c r="J67" s="186">
        <v>0.88</v>
      </c>
    </row>
    <row r="68" spans="1:10" s="237" customFormat="1" ht="19.5" customHeight="1">
      <c r="A68" s="246"/>
      <c r="B68" s="232" t="s">
        <v>3599</v>
      </c>
      <c r="C68" s="233">
        <v>1</v>
      </c>
      <c r="D68" s="233">
        <v>1</v>
      </c>
      <c r="E68" s="235">
        <v>0.23</v>
      </c>
      <c r="F68" s="235">
        <v>0.6</v>
      </c>
      <c r="G68" s="235">
        <v>2.85</v>
      </c>
      <c r="H68" s="236">
        <f>ROUND(PRODUCT(C68:G68),2)</f>
        <v>0.39</v>
      </c>
      <c r="J68" s="237">
        <v>0.88</v>
      </c>
    </row>
    <row r="69" spans="1:10" s="186" customFormat="1" ht="19.5" customHeight="1">
      <c r="A69" s="244"/>
      <c r="B69" s="189" t="str">
        <f t="shared" ref="B69:G69" si="2">B16</f>
        <v>Sill Slab</v>
      </c>
      <c r="C69" s="190">
        <f t="shared" si="2"/>
        <v>0</v>
      </c>
      <c r="D69" s="190">
        <f t="shared" si="2"/>
        <v>0</v>
      </c>
      <c r="E69" s="194">
        <f t="shared" si="2"/>
        <v>0</v>
      </c>
      <c r="F69" s="194">
        <f t="shared" si="2"/>
        <v>0</v>
      </c>
      <c r="G69" s="193">
        <f t="shared" si="2"/>
        <v>0</v>
      </c>
      <c r="H69" s="194">
        <f t="shared" si="1"/>
        <v>0</v>
      </c>
    </row>
    <row r="70" spans="1:10" s="186" customFormat="1" ht="19.5" customHeight="1">
      <c r="A70" s="244"/>
      <c r="B70" s="192" t="str">
        <f>B17</f>
        <v xml:space="preserve">W </v>
      </c>
      <c r="C70" s="190">
        <f>C17</f>
        <v>1</v>
      </c>
      <c r="D70" s="190">
        <v>3</v>
      </c>
      <c r="E70" s="194">
        <f>E17</f>
        <v>1.81</v>
      </c>
      <c r="F70" s="194">
        <f>F17</f>
        <v>0.23</v>
      </c>
      <c r="G70" s="193">
        <f>G17</f>
        <v>0.05</v>
      </c>
      <c r="H70" s="194">
        <f t="shared" si="1"/>
        <v>0.06</v>
      </c>
      <c r="J70" s="186">
        <v>0.06</v>
      </c>
    </row>
    <row r="71" spans="1:10" s="186" customFormat="1" ht="19.5" customHeight="1">
      <c r="A71" s="244"/>
      <c r="B71" s="192" t="s">
        <v>3605</v>
      </c>
      <c r="C71" s="190">
        <v>1</v>
      </c>
      <c r="D71" s="190">
        <v>4</v>
      </c>
      <c r="E71" s="194">
        <v>1.96</v>
      </c>
      <c r="F71" s="194">
        <v>0.23</v>
      </c>
      <c r="G71" s="193">
        <v>0.05</v>
      </c>
      <c r="H71" s="194">
        <f t="shared" si="1"/>
        <v>0.09</v>
      </c>
      <c r="J71" s="186">
        <v>0.09</v>
      </c>
    </row>
    <row r="72" spans="1:10" s="186" customFormat="1" ht="19.5" customHeight="1">
      <c r="A72" s="244"/>
      <c r="B72" s="192" t="s">
        <v>3632</v>
      </c>
      <c r="C72" s="190">
        <v>1</v>
      </c>
      <c r="D72" s="190">
        <v>1</v>
      </c>
      <c r="E72" s="194">
        <v>2.2599999999999998</v>
      </c>
      <c r="F72" s="194">
        <v>0.23</v>
      </c>
      <c r="G72" s="193">
        <v>0.05</v>
      </c>
      <c r="H72" s="194">
        <f t="shared" si="1"/>
        <v>0.03</v>
      </c>
      <c r="J72" s="186">
        <v>0.03</v>
      </c>
    </row>
    <row r="73" spans="1:10" s="186" customFormat="1" ht="19.5" customHeight="1">
      <c r="A73" s="244"/>
      <c r="B73" s="192" t="s">
        <v>3606</v>
      </c>
      <c r="C73" s="190">
        <v>1</v>
      </c>
      <c r="D73" s="190">
        <v>2</v>
      </c>
      <c r="E73" s="194">
        <v>2.2599999999999998</v>
      </c>
      <c r="F73" s="194">
        <v>0.23</v>
      </c>
      <c r="G73" s="193">
        <v>0.05</v>
      </c>
      <c r="H73" s="194">
        <f t="shared" si="1"/>
        <v>0.05</v>
      </c>
      <c r="J73" s="186">
        <v>0.05</v>
      </c>
    </row>
    <row r="74" spans="1:10" s="186" customFormat="1" ht="19.5" customHeight="1">
      <c r="A74" s="244"/>
      <c r="B74" s="189" t="str">
        <f t="shared" ref="B74:G74" si="3">B21</f>
        <v>Lintel Beam</v>
      </c>
      <c r="C74" s="190">
        <f t="shared" si="3"/>
        <v>0</v>
      </c>
      <c r="D74" s="190">
        <f t="shared" si="3"/>
        <v>0</v>
      </c>
      <c r="E74" s="194">
        <f t="shared" si="3"/>
        <v>0</v>
      </c>
      <c r="F74" s="194">
        <f t="shared" si="3"/>
        <v>0</v>
      </c>
      <c r="G74" s="213">
        <f t="shared" si="3"/>
        <v>0</v>
      </c>
      <c r="H74" s="194">
        <f t="shared" si="1"/>
        <v>0</v>
      </c>
      <c r="J74" s="186">
        <v>0</v>
      </c>
    </row>
    <row r="75" spans="1:10" s="186" customFormat="1" ht="19.5" customHeight="1">
      <c r="A75" s="244"/>
      <c r="B75" s="192" t="str">
        <f>B22</f>
        <v xml:space="preserve">W </v>
      </c>
      <c r="C75" s="190">
        <f>C22</f>
        <v>1</v>
      </c>
      <c r="D75" s="190">
        <v>3</v>
      </c>
      <c r="E75" s="194">
        <f>E22</f>
        <v>1.81</v>
      </c>
      <c r="F75" s="194">
        <f>F22</f>
        <v>0.23</v>
      </c>
      <c r="G75" s="193">
        <f>G22</f>
        <v>0.15</v>
      </c>
      <c r="H75" s="194">
        <f t="shared" si="1"/>
        <v>0.19</v>
      </c>
      <c r="J75" s="186">
        <v>0.19</v>
      </c>
    </row>
    <row r="76" spans="1:10" s="186" customFormat="1" ht="19.5" customHeight="1">
      <c r="A76" s="244"/>
      <c r="B76" s="192" t="s">
        <v>3605</v>
      </c>
      <c r="C76" s="190">
        <v>1</v>
      </c>
      <c r="D76" s="190">
        <v>4</v>
      </c>
      <c r="E76" s="194">
        <v>1.96</v>
      </c>
      <c r="F76" s="194">
        <v>0.23</v>
      </c>
      <c r="G76" s="193">
        <v>0.15</v>
      </c>
      <c r="H76" s="194">
        <f t="shared" si="1"/>
        <v>0.27</v>
      </c>
      <c r="J76" s="186">
        <v>0.27</v>
      </c>
    </row>
    <row r="77" spans="1:10" s="186" customFormat="1" ht="19.5" customHeight="1">
      <c r="A77" s="244"/>
      <c r="B77" s="192" t="s">
        <v>3632</v>
      </c>
      <c r="C77" s="190">
        <v>1</v>
      </c>
      <c r="D77" s="190">
        <v>1</v>
      </c>
      <c r="E77" s="194">
        <v>2.2599999999999998</v>
      </c>
      <c r="F77" s="194">
        <v>0.23</v>
      </c>
      <c r="G77" s="193">
        <v>0.15</v>
      </c>
      <c r="H77" s="194">
        <f t="shared" si="1"/>
        <v>0.08</v>
      </c>
      <c r="J77" s="186">
        <v>0.08</v>
      </c>
    </row>
    <row r="78" spans="1:10" s="186" customFormat="1" ht="19.5" customHeight="1">
      <c r="A78" s="244"/>
      <c r="B78" s="192" t="s">
        <v>3606</v>
      </c>
      <c r="C78" s="190">
        <v>1</v>
      </c>
      <c r="D78" s="190">
        <v>2</v>
      </c>
      <c r="E78" s="194">
        <v>2.2599999999999998</v>
      </c>
      <c r="F78" s="194">
        <v>0.23</v>
      </c>
      <c r="G78" s="193">
        <v>0.15</v>
      </c>
      <c r="H78" s="194">
        <f t="shared" si="1"/>
        <v>0.16</v>
      </c>
      <c r="J78" s="186">
        <v>0.16</v>
      </c>
    </row>
    <row r="79" spans="1:10" s="186" customFormat="1" ht="19.5" customHeight="1">
      <c r="A79" s="244"/>
      <c r="B79" s="192" t="s">
        <v>3483</v>
      </c>
      <c r="C79" s="190">
        <v>1</v>
      </c>
      <c r="D79" s="190">
        <v>5</v>
      </c>
      <c r="E79" s="194">
        <v>1.46</v>
      </c>
      <c r="F79" s="194">
        <v>0.23</v>
      </c>
      <c r="G79" s="193">
        <v>0.15</v>
      </c>
      <c r="H79" s="194">
        <f t="shared" si="1"/>
        <v>0.25</v>
      </c>
      <c r="J79" s="186">
        <v>0.25</v>
      </c>
    </row>
    <row r="80" spans="1:10" s="186" customFormat="1" ht="19.5" customHeight="1">
      <c r="A80" s="244"/>
      <c r="B80" s="192" t="s">
        <v>3633</v>
      </c>
      <c r="C80" s="190">
        <v>1</v>
      </c>
      <c r="D80" s="190">
        <v>2</v>
      </c>
      <c r="E80" s="194">
        <v>1.46</v>
      </c>
      <c r="F80" s="194">
        <v>0.23</v>
      </c>
      <c r="G80" s="193">
        <v>0.15</v>
      </c>
      <c r="H80" s="194">
        <f t="shared" si="1"/>
        <v>0.1</v>
      </c>
      <c r="J80" s="186">
        <v>0.1</v>
      </c>
    </row>
    <row r="81" spans="1:10" s="186" customFormat="1" ht="19.5" customHeight="1">
      <c r="A81" s="244"/>
      <c r="B81" s="192" t="s">
        <v>3611</v>
      </c>
      <c r="C81" s="190">
        <v>1</v>
      </c>
      <c r="D81" s="190">
        <v>2</v>
      </c>
      <c r="E81" s="194">
        <v>1.21</v>
      </c>
      <c r="F81" s="194">
        <v>0.23</v>
      </c>
      <c r="G81" s="193">
        <v>0.15</v>
      </c>
      <c r="H81" s="194">
        <f t="shared" si="1"/>
        <v>0.08</v>
      </c>
      <c r="J81" s="186">
        <v>0.08</v>
      </c>
    </row>
    <row r="82" spans="1:10" s="186" customFormat="1" ht="19.5" customHeight="1">
      <c r="A82" s="244"/>
      <c r="B82" s="192" t="s">
        <v>3634</v>
      </c>
      <c r="C82" s="190">
        <v>1</v>
      </c>
      <c r="D82" s="190">
        <v>2</v>
      </c>
      <c r="E82" s="194">
        <v>1.21</v>
      </c>
      <c r="F82" s="194">
        <v>0.23</v>
      </c>
      <c r="G82" s="193">
        <v>0.15</v>
      </c>
      <c r="H82" s="194">
        <f t="shared" si="1"/>
        <v>0.08</v>
      </c>
      <c r="J82" s="186">
        <v>0.08</v>
      </c>
    </row>
    <row r="83" spans="1:10" s="186" customFormat="1" ht="19.5" customHeight="1">
      <c r="A83" s="244"/>
      <c r="B83" s="189" t="str">
        <f t="shared" ref="B83:G83" si="4">B32</f>
        <v>Sunshade</v>
      </c>
      <c r="C83" s="190">
        <f t="shared" si="4"/>
        <v>0</v>
      </c>
      <c r="D83" s="190">
        <f t="shared" si="4"/>
        <v>0</v>
      </c>
      <c r="E83" s="194">
        <f t="shared" si="4"/>
        <v>0</v>
      </c>
      <c r="F83" s="194">
        <f t="shared" si="4"/>
        <v>0</v>
      </c>
      <c r="G83" s="213">
        <f t="shared" si="4"/>
        <v>0</v>
      </c>
      <c r="H83" s="194">
        <f t="shared" si="1"/>
        <v>0</v>
      </c>
      <c r="I83" s="225"/>
    </row>
    <row r="84" spans="1:10" s="186" customFormat="1" ht="19.5" customHeight="1">
      <c r="A84" s="244"/>
      <c r="B84" s="192" t="str">
        <f>B33</f>
        <v xml:space="preserve">W </v>
      </c>
      <c r="C84" s="190">
        <f>C33</f>
        <v>1</v>
      </c>
      <c r="D84" s="190">
        <v>3</v>
      </c>
      <c r="E84" s="194">
        <v>1.81</v>
      </c>
      <c r="F84" s="194">
        <f>F33</f>
        <v>0.6</v>
      </c>
      <c r="G84" s="213">
        <v>6.3E-2</v>
      </c>
      <c r="H84" s="194">
        <f t="shared" si="1"/>
        <v>0.21</v>
      </c>
      <c r="I84" s="225"/>
      <c r="J84" s="186">
        <v>0</v>
      </c>
    </row>
    <row r="85" spans="1:10" s="186" customFormat="1" ht="19.5" customHeight="1">
      <c r="A85" s="244"/>
      <c r="B85" s="192" t="s">
        <v>3605</v>
      </c>
      <c r="C85" s="190">
        <v>1</v>
      </c>
      <c r="D85" s="190">
        <v>4</v>
      </c>
      <c r="E85" s="194">
        <v>1.96</v>
      </c>
      <c r="F85" s="194">
        <f>F34</f>
        <v>0.6</v>
      </c>
      <c r="G85" s="213">
        <v>6.3E-2</v>
      </c>
      <c r="H85" s="194">
        <f t="shared" si="1"/>
        <v>0.3</v>
      </c>
      <c r="I85" s="225"/>
      <c r="J85" s="186">
        <v>0.69</v>
      </c>
    </row>
    <row r="86" spans="1:10" s="186" customFormat="1" ht="19.5" customHeight="1">
      <c r="A86" s="187"/>
      <c r="B86" s="192" t="s">
        <v>3606</v>
      </c>
      <c r="C86" s="190">
        <v>1</v>
      </c>
      <c r="D86" s="190">
        <v>2</v>
      </c>
      <c r="E86" s="194">
        <v>2.2599999999999998</v>
      </c>
      <c r="F86" s="194">
        <v>0.6</v>
      </c>
      <c r="G86" s="213">
        <v>6.3E-2</v>
      </c>
      <c r="H86" s="194">
        <f t="shared" si="1"/>
        <v>0.17</v>
      </c>
      <c r="J86" s="186">
        <v>0.62</v>
      </c>
    </row>
    <row r="87" spans="1:10" s="186" customFormat="1" ht="19.5" customHeight="1">
      <c r="A87" s="187"/>
      <c r="B87" s="192" t="s">
        <v>3632</v>
      </c>
      <c r="C87" s="190">
        <v>1</v>
      </c>
      <c r="D87" s="190">
        <v>1</v>
      </c>
      <c r="E87" s="194">
        <v>2.2599999999999998</v>
      </c>
      <c r="F87" s="194">
        <f>F36</f>
        <v>0.6</v>
      </c>
      <c r="G87" s="213">
        <v>6.3E-2</v>
      </c>
      <c r="H87" s="194">
        <f t="shared" si="1"/>
        <v>0.09</v>
      </c>
      <c r="J87" s="186">
        <v>0.31</v>
      </c>
    </row>
    <row r="88" spans="1:10" s="186" customFormat="1" ht="19.5" customHeight="1">
      <c r="A88" s="187"/>
      <c r="B88" s="192" t="s">
        <v>3635</v>
      </c>
      <c r="C88" s="190">
        <v>1</v>
      </c>
      <c r="D88" s="190">
        <v>4</v>
      </c>
      <c r="E88" s="194">
        <v>4.3499999999999996</v>
      </c>
      <c r="F88" s="194">
        <v>0.23</v>
      </c>
      <c r="G88" s="193">
        <v>0.05</v>
      </c>
      <c r="H88" s="194">
        <f t="shared" si="1"/>
        <v>0.2</v>
      </c>
      <c r="J88" s="186">
        <v>0.17</v>
      </c>
    </row>
    <row r="89" spans="1:10" s="186" customFormat="1" ht="19.5" customHeight="1">
      <c r="A89" s="187"/>
      <c r="B89" s="189" t="str">
        <f t="shared" ref="B89:G96" si="5">B38</f>
        <v>Staircase</v>
      </c>
      <c r="C89" s="190">
        <f t="shared" si="5"/>
        <v>0</v>
      </c>
      <c r="D89" s="190">
        <f t="shared" si="5"/>
        <v>0</v>
      </c>
      <c r="E89" s="194">
        <f t="shared" si="5"/>
        <v>0</v>
      </c>
      <c r="F89" s="194">
        <f t="shared" si="5"/>
        <v>0</v>
      </c>
      <c r="G89" s="213">
        <f t="shared" si="5"/>
        <v>0</v>
      </c>
      <c r="H89" s="194">
        <f t="shared" si="1"/>
        <v>0</v>
      </c>
      <c r="J89" s="186">
        <v>0.17</v>
      </c>
    </row>
    <row r="90" spans="1:10" s="186" customFormat="1" ht="19.5" customHeight="1">
      <c r="A90" s="187"/>
      <c r="B90" s="192" t="str">
        <f t="shared" si="5"/>
        <v>Waist slab - I flight</v>
      </c>
      <c r="C90" s="190">
        <f t="shared" si="5"/>
        <v>1</v>
      </c>
      <c r="D90" s="190">
        <f t="shared" si="5"/>
        <v>1</v>
      </c>
      <c r="E90" s="194">
        <f t="shared" si="5"/>
        <v>3.85</v>
      </c>
      <c r="F90" s="194">
        <f t="shared" si="5"/>
        <v>1.2</v>
      </c>
      <c r="G90" s="193">
        <f t="shared" si="5"/>
        <v>0.15</v>
      </c>
      <c r="H90" s="194">
        <f t="shared" si="1"/>
        <v>0.69</v>
      </c>
      <c r="J90" s="186">
        <v>0.55000000000000004</v>
      </c>
    </row>
    <row r="91" spans="1:10" s="186" customFormat="1" ht="19.5" customHeight="1">
      <c r="A91" s="187"/>
      <c r="B91" s="192" t="str">
        <f t="shared" si="5"/>
        <v>Mid landing slab</v>
      </c>
      <c r="C91" s="190">
        <f t="shared" si="5"/>
        <v>1</v>
      </c>
      <c r="D91" s="190">
        <f t="shared" si="5"/>
        <v>1</v>
      </c>
      <c r="E91" s="194">
        <f t="shared" si="5"/>
        <v>2.4</v>
      </c>
      <c r="F91" s="194">
        <f t="shared" si="5"/>
        <v>1.71</v>
      </c>
      <c r="G91" s="193">
        <f t="shared" si="5"/>
        <v>0.15</v>
      </c>
      <c r="H91" s="194">
        <f t="shared" si="1"/>
        <v>0.62</v>
      </c>
      <c r="J91" s="186">
        <v>0.25</v>
      </c>
    </row>
    <row r="92" spans="1:10" s="186" customFormat="1" ht="19.5" customHeight="1">
      <c r="A92" s="187"/>
      <c r="B92" s="192" t="str">
        <f t="shared" si="5"/>
        <v>Steps</v>
      </c>
      <c r="C92" s="190">
        <f t="shared" si="5"/>
        <v>0.5</v>
      </c>
      <c r="D92" s="190">
        <f t="shared" si="5"/>
        <v>11</v>
      </c>
      <c r="E92" s="194">
        <f t="shared" si="5"/>
        <v>1.2</v>
      </c>
      <c r="F92" s="194">
        <f t="shared" si="5"/>
        <v>0.3</v>
      </c>
      <c r="G92" s="213">
        <f t="shared" si="5"/>
        <v>0.157</v>
      </c>
      <c r="H92" s="194">
        <f t="shared" si="1"/>
        <v>0.31</v>
      </c>
      <c r="J92" s="186">
        <v>0.86</v>
      </c>
    </row>
    <row r="93" spans="1:10" s="186" customFormat="1" ht="19.5" customHeight="1">
      <c r="A93" s="187"/>
      <c r="B93" s="192" t="str">
        <f t="shared" si="5"/>
        <v xml:space="preserve">Mid landing beam </v>
      </c>
      <c r="C93" s="190">
        <f t="shared" si="5"/>
        <v>1</v>
      </c>
      <c r="D93" s="190">
        <f t="shared" si="5"/>
        <v>1</v>
      </c>
      <c r="E93" s="194">
        <f t="shared" si="5"/>
        <v>2.4</v>
      </c>
      <c r="F93" s="194">
        <f t="shared" si="5"/>
        <v>0.23</v>
      </c>
      <c r="G93" s="193">
        <f t="shared" si="5"/>
        <v>0.3</v>
      </c>
      <c r="H93" s="194">
        <f t="shared" si="1"/>
        <v>0.17</v>
      </c>
      <c r="J93" s="186">
        <v>0</v>
      </c>
    </row>
    <row r="94" spans="1:10" s="186" customFormat="1" ht="19.5" customHeight="1">
      <c r="A94" s="187"/>
      <c r="B94" s="192" t="str">
        <f t="shared" si="5"/>
        <v>Waist slab - II flight</v>
      </c>
      <c r="C94" s="190">
        <f t="shared" si="5"/>
        <v>1</v>
      </c>
      <c r="D94" s="190">
        <f t="shared" si="5"/>
        <v>1</v>
      </c>
      <c r="E94" s="194">
        <f t="shared" si="5"/>
        <v>3.05</v>
      </c>
      <c r="F94" s="194">
        <f t="shared" si="5"/>
        <v>1.2</v>
      </c>
      <c r="G94" s="193">
        <f t="shared" si="5"/>
        <v>0.15</v>
      </c>
      <c r="H94" s="194">
        <f t="shared" si="1"/>
        <v>0.55000000000000004</v>
      </c>
      <c r="J94" s="186">
        <v>2.74</v>
      </c>
    </row>
    <row r="95" spans="1:10" s="186" customFormat="1" ht="19.5" customHeight="1">
      <c r="A95" s="187"/>
      <c r="B95" s="192" t="str">
        <f t="shared" si="5"/>
        <v>Steps</v>
      </c>
      <c r="C95" s="190">
        <f t="shared" si="5"/>
        <v>0.5</v>
      </c>
      <c r="D95" s="190">
        <f t="shared" si="5"/>
        <v>9</v>
      </c>
      <c r="E95" s="194">
        <f t="shared" si="5"/>
        <v>1.2</v>
      </c>
      <c r="F95" s="194">
        <f t="shared" si="5"/>
        <v>0.3</v>
      </c>
      <c r="G95" s="213">
        <f t="shared" si="5"/>
        <v>0.157</v>
      </c>
      <c r="H95" s="194">
        <f t="shared" si="1"/>
        <v>0.25</v>
      </c>
      <c r="J95" s="186">
        <v>0.19</v>
      </c>
    </row>
    <row r="96" spans="1:10" s="186" customFormat="1" ht="19.5" customHeight="1">
      <c r="A96" s="187"/>
      <c r="B96" s="192" t="str">
        <f t="shared" si="5"/>
        <v>Portico Projection</v>
      </c>
      <c r="C96" s="190">
        <f t="shared" si="5"/>
        <v>1</v>
      </c>
      <c r="D96" s="190">
        <f t="shared" si="5"/>
        <v>1</v>
      </c>
      <c r="E96" s="194">
        <f t="shared" si="5"/>
        <v>2.86</v>
      </c>
      <c r="F96" s="194">
        <f t="shared" si="5"/>
        <v>2.4</v>
      </c>
      <c r="G96" s="213">
        <f t="shared" si="5"/>
        <v>0.125</v>
      </c>
      <c r="H96" s="194">
        <f t="shared" si="1"/>
        <v>0.86</v>
      </c>
      <c r="J96" s="186">
        <v>0.34</v>
      </c>
    </row>
    <row r="97" spans="1:10" s="186" customFormat="1" ht="19.5" customHeight="1">
      <c r="A97" s="187"/>
      <c r="B97" s="189" t="str">
        <f t="shared" ref="B97:G97" si="6">B47</f>
        <v>Roof beam</v>
      </c>
      <c r="C97" s="190">
        <f t="shared" si="6"/>
        <v>0</v>
      </c>
      <c r="D97" s="190">
        <f t="shared" si="6"/>
        <v>0</v>
      </c>
      <c r="E97" s="194">
        <f t="shared" si="6"/>
        <v>0</v>
      </c>
      <c r="F97" s="194">
        <f t="shared" si="6"/>
        <v>0</v>
      </c>
      <c r="G97" s="213">
        <f t="shared" si="6"/>
        <v>0</v>
      </c>
      <c r="H97" s="194">
        <f t="shared" si="1"/>
        <v>0</v>
      </c>
      <c r="J97" s="186">
        <v>0.15</v>
      </c>
    </row>
    <row r="98" spans="1:10" s="186" customFormat="1" ht="19.5" customHeight="1">
      <c r="A98" s="187"/>
      <c r="B98" s="192" t="s">
        <v>3621</v>
      </c>
      <c r="C98" s="190">
        <v>1</v>
      </c>
      <c r="D98" s="190">
        <v>1</v>
      </c>
      <c r="E98" s="194">
        <v>52.88</v>
      </c>
      <c r="F98" s="194">
        <v>0.23</v>
      </c>
      <c r="G98" s="213">
        <v>0.22500000000000001</v>
      </c>
      <c r="H98" s="194">
        <f t="shared" si="1"/>
        <v>2.74</v>
      </c>
      <c r="J98" s="186">
        <v>2.74</v>
      </c>
    </row>
    <row r="99" spans="1:10" s="186" customFormat="1" ht="19.5" customHeight="1">
      <c r="A99" s="187"/>
      <c r="B99" s="192" t="s">
        <v>3532</v>
      </c>
      <c r="C99" s="190">
        <v>1</v>
      </c>
      <c r="D99" s="190">
        <v>1</v>
      </c>
      <c r="E99" s="194">
        <v>14.95</v>
      </c>
      <c r="F99" s="194">
        <v>0.23</v>
      </c>
      <c r="G99" s="213">
        <v>5.5E-2</v>
      </c>
      <c r="H99" s="194">
        <f t="shared" si="1"/>
        <v>0.19</v>
      </c>
      <c r="J99" s="186">
        <v>0.19</v>
      </c>
    </row>
    <row r="100" spans="1:10" s="186" customFormat="1" ht="19.5" customHeight="1">
      <c r="A100" s="187"/>
      <c r="B100" s="192" t="s">
        <v>3532</v>
      </c>
      <c r="C100" s="190">
        <v>1</v>
      </c>
      <c r="D100" s="190">
        <v>1</v>
      </c>
      <c r="E100" s="194">
        <v>14.95</v>
      </c>
      <c r="F100" s="194">
        <v>0.23</v>
      </c>
      <c r="G100" s="193">
        <v>0.1</v>
      </c>
      <c r="H100" s="194">
        <f t="shared" si="1"/>
        <v>0.34</v>
      </c>
      <c r="J100" s="186">
        <v>0.34</v>
      </c>
    </row>
    <row r="101" spans="1:10" s="186" customFormat="1" ht="19.5" customHeight="1">
      <c r="A101" s="187"/>
      <c r="B101" s="192" t="s">
        <v>3532</v>
      </c>
      <c r="C101" s="190">
        <v>1</v>
      </c>
      <c r="D101" s="190">
        <v>1</v>
      </c>
      <c r="E101" s="194">
        <v>11.49</v>
      </c>
      <c r="F101" s="194">
        <v>0.23</v>
      </c>
      <c r="G101" s="213">
        <v>5.5E-2</v>
      </c>
      <c r="H101" s="194">
        <f t="shared" si="1"/>
        <v>0.15</v>
      </c>
      <c r="J101" s="186">
        <v>0.15</v>
      </c>
    </row>
    <row r="102" spans="1:10" s="186" customFormat="1" ht="19.5" customHeight="1">
      <c r="A102" s="187"/>
      <c r="B102" s="192" t="s">
        <v>3636</v>
      </c>
      <c r="C102" s="190">
        <v>1</v>
      </c>
      <c r="D102" s="190">
        <v>2</v>
      </c>
      <c r="E102" s="194">
        <v>11.26</v>
      </c>
      <c r="F102" s="194">
        <v>0.23</v>
      </c>
      <c r="G102" s="213">
        <v>0.32500000000000001</v>
      </c>
      <c r="H102" s="194">
        <f t="shared" si="1"/>
        <v>1.68</v>
      </c>
      <c r="J102" s="186">
        <v>1.68</v>
      </c>
    </row>
    <row r="103" spans="1:10" s="186" customFormat="1" ht="19.5" customHeight="1">
      <c r="A103" s="187"/>
      <c r="B103" s="192" t="s">
        <v>3637</v>
      </c>
      <c r="C103" s="190">
        <v>1</v>
      </c>
      <c r="D103" s="190">
        <v>4</v>
      </c>
      <c r="E103" s="194">
        <v>4.3499999999999996</v>
      </c>
      <c r="F103" s="194">
        <v>0.23</v>
      </c>
      <c r="G103" s="213">
        <v>0.32500000000000001</v>
      </c>
      <c r="H103" s="194">
        <f t="shared" si="1"/>
        <v>1.3</v>
      </c>
      <c r="J103" s="186">
        <v>1.3</v>
      </c>
    </row>
    <row r="104" spans="1:10" s="186" customFormat="1" ht="19.5" customHeight="1">
      <c r="A104" s="187"/>
      <c r="B104" s="192" t="s">
        <v>3624</v>
      </c>
      <c r="C104" s="190">
        <v>1</v>
      </c>
      <c r="D104" s="190">
        <v>1</v>
      </c>
      <c r="E104" s="194">
        <v>14.72</v>
      </c>
      <c r="F104" s="194">
        <v>0.23</v>
      </c>
      <c r="G104" s="213">
        <v>0.47499999999999998</v>
      </c>
      <c r="H104" s="194">
        <f t="shared" si="1"/>
        <v>1.61</v>
      </c>
      <c r="J104" s="186">
        <v>1.61</v>
      </c>
    </row>
    <row r="105" spans="1:10" s="186" customFormat="1" ht="19.5" customHeight="1">
      <c r="A105" s="187"/>
      <c r="B105" s="192" t="s">
        <v>3638</v>
      </c>
      <c r="C105" s="190">
        <v>1</v>
      </c>
      <c r="D105" s="190">
        <v>1</v>
      </c>
      <c r="E105" s="194">
        <v>9.8800000000000008</v>
      </c>
      <c r="F105" s="194">
        <v>0.23</v>
      </c>
      <c r="G105" s="213">
        <v>0.32500000000000001</v>
      </c>
      <c r="H105" s="194">
        <f t="shared" si="1"/>
        <v>0.74</v>
      </c>
      <c r="J105" s="186">
        <v>0.74</v>
      </c>
    </row>
    <row r="106" spans="1:10" s="186" customFormat="1" ht="19.5" customHeight="1">
      <c r="A106" s="187"/>
      <c r="B106" s="192" t="s">
        <v>3639</v>
      </c>
      <c r="C106" s="190">
        <v>1</v>
      </c>
      <c r="D106" s="190">
        <v>1</v>
      </c>
      <c r="E106" s="194">
        <v>4.62</v>
      </c>
      <c r="F106" s="194">
        <v>0.23</v>
      </c>
      <c r="G106" s="213">
        <v>0.32500000000000001</v>
      </c>
      <c r="H106" s="194">
        <f t="shared" si="1"/>
        <v>0.35</v>
      </c>
      <c r="J106" s="186">
        <v>0.35</v>
      </c>
    </row>
    <row r="107" spans="1:10" s="199" customFormat="1" ht="19.5" customHeight="1">
      <c r="A107" s="182"/>
      <c r="B107" s="192" t="str">
        <f t="shared" ref="B107:G108" si="7">B48</f>
        <v>Alround</v>
      </c>
      <c r="C107" s="190">
        <f t="shared" si="7"/>
        <v>1</v>
      </c>
      <c r="D107" s="190">
        <f t="shared" si="7"/>
        <v>1</v>
      </c>
      <c r="E107" s="194">
        <f t="shared" si="7"/>
        <v>52.88</v>
      </c>
      <c r="F107" s="194">
        <f t="shared" si="7"/>
        <v>0.23</v>
      </c>
      <c r="G107" s="213">
        <f t="shared" si="7"/>
        <v>0.22500000000000001</v>
      </c>
      <c r="H107" s="194">
        <f t="shared" si="1"/>
        <v>2.74</v>
      </c>
      <c r="J107" s="199">
        <v>2.74</v>
      </c>
    </row>
    <row r="108" spans="1:10" s="186" customFormat="1" ht="19.5" customHeight="1">
      <c r="A108" s="244"/>
      <c r="B108" s="192" t="str">
        <f t="shared" si="7"/>
        <v>Add</v>
      </c>
      <c r="C108" s="190">
        <f t="shared" si="7"/>
        <v>1</v>
      </c>
      <c r="D108" s="190">
        <f t="shared" si="7"/>
        <v>1</v>
      </c>
      <c r="E108" s="194">
        <f t="shared" si="7"/>
        <v>14.95</v>
      </c>
      <c r="F108" s="194">
        <f t="shared" si="7"/>
        <v>0.23</v>
      </c>
      <c r="G108" s="193">
        <f t="shared" si="7"/>
        <v>7.0000000000000007E-2</v>
      </c>
      <c r="H108" s="194">
        <f t="shared" si="1"/>
        <v>0.24</v>
      </c>
      <c r="J108" s="186">
        <v>0.24</v>
      </c>
    </row>
    <row r="109" spans="1:10" s="186" customFormat="1" ht="19.5" customHeight="1">
      <c r="A109" s="244"/>
      <c r="B109" s="216" t="s">
        <v>3629</v>
      </c>
      <c r="C109" s="219"/>
      <c r="D109" s="219"/>
      <c r="E109" s="193"/>
      <c r="F109" s="193"/>
      <c r="G109" s="213"/>
      <c r="H109" s="194">
        <f t="shared" si="1"/>
        <v>0</v>
      </c>
      <c r="J109" s="186">
        <v>0</v>
      </c>
    </row>
    <row r="110" spans="1:10" s="199" customFormat="1" ht="19.5" customHeight="1">
      <c r="A110" s="182"/>
      <c r="B110" s="218" t="s">
        <v>3630</v>
      </c>
      <c r="C110" s="219">
        <v>1</v>
      </c>
      <c r="D110" s="219">
        <v>1</v>
      </c>
      <c r="E110" s="193">
        <v>11.72</v>
      </c>
      <c r="F110" s="193">
        <v>15.18</v>
      </c>
      <c r="G110" s="213">
        <v>0.125</v>
      </c>
      <c r="H110" s="194">
        <f t="shared" si="1"/>
        <v>22.24</v>
      </c>
      <c r="J110" s="199">
        <v>22.24</v>
      </c>
    </row>
    <row r="111" spans="1:10" s="186" customFormat="1" ht="19.5" customHeight="1">
      <c r="A111" s="244"/>
      <c r="B111" s="218"/>
      <c r="C111" s="219"/>
      <c r="D111" s="219"/>
      <c r="E111" s="193"/>
      <c r="F111" s="193"/>
      <c r="G111" s="213"/>
      <c r="H111" s="355">
        <f>J112-H112</f>
        <v>0</v>
      </c>
    </row>
    <row r="112" spans="1:10" s="186" customFormat="1" ht="19.5" customHeight="1">
      <c r="A112" s="244"/>
      <c r="B112" s="218"/>
      <c r="C112" s="219"/>
      <c r="D112" s="219"/>
      <c r="E112" s="193"/>
      <c r="F112" s="193"/>
      <c r="G112" s="213" t="s">
        <v>1827</v>
      </c>
      <c r="H112" s="247">
        <f>J112</f>
        <v>45.8</v>
      </c>
      <c r="I112" s="186">
        <f>SUM(H64:H110)</f>
        <v>45.8</v>
      </c>
      <c r="J112" s="186">
        <f>ROUNDUP(I112,1)</f>
        <v>45.8</v>
      </c>
    </row>
    <row r="113" spans="1:10" s="186" customFormat="1" ht="19.5" customHeight="1">
      <c r="A113" s="244"/>
      <c r="B113" s="216"/>
      <c r="C113" s="220"/>
      <c r="D113" s="220"/>
      <c r="E113" s="197"/>
      <c r="F113" s="197" t="s">
        <v>2560</v>
      </c>
      <c r="G113" s="197">
        <f>H112</f>
        <v>45.8</v>
      </c>
      <c r="H113" s="248" t="s">
        <v>1749</v>
      </c>
      <c r="I113" s="199"/>
      <c r="J113" s="199"/>
    </row>
    <row r="114" spans="1:10" s="186" customFormat="1" ht="19.5" customHeight="1">
      <c r="A114" s="244"/>
      <c r="B114" s="216" t="s">
        <v>3640</v>
      </c>
      <c r="C114" s="219"/>
      <c r="D114" s="219"/>
      <c r="E114" s="193"/>
      <c r="F114" s="193"/>
      <c r="G114" s="213"/>
      <c r="H114" s="194">
        <f t="shared" ref="H114:H161" si="8">ROUND(PRODUCT(C114:G114),2)</f>
        <v>0</v>
      </c>
    </row>
    <row r="115" spans="1:10" s="186" customFormat="1" ht="19.5" customHeight="1">
      <c r="A115" s="244"/>
      <c r="B115" s="189" t="s">
        <v>3641</v>
      </c>
      <c r="C115" s="219"/>
      <c r="D115" s="219"/>
      <c r="E115" s="193"/>
      <c r="F115" s="193"/>
      <c r="G115" s="213"/>
      <c r="H115" s="194">
        <f t="shared" si="8"/>
        <v>0</v>
      </c>
    </row>
    <row r="116" spans="1:10" s="186" customFormat="1" ht="19.5" customHeight="1">
      <c r="A116" s="244"/>
      <c r="B116" s="192" t="s">
        <v>3499</v>
      </c>
      <c r="C116" s="190">
        <v>1</v>
      </c>
      <c r="D116" s="190">
        <v>8</v>
      </c>
      <c r="E116" s="193">
        <v>0.23</v>
      </c>
      <c r="F116" s="193">
        <v>0.38</v>
      </c>
      <c r="G116" s="193">
        <v>2.85</v>
      </c>
      <c r="H116" s="236">
        <f t="shared" si="8"/>
        <v>1.99</v>
      </c>
      <c r="J116" s="186">
        <v>1.99</v>
      </c>
    </row>
    <row r="117" spans="1:10" s="186" customFormat="1" ht="19.5" customHeight="1">
      <c r="A117" s="244"/>
      <c r="B117" s="192" t="s">
        <v>3500</v>
      </c>
      <c r="C117" s="190">
        <v>1</v>
      </c>
      <c r="D117" s="190">
        <v>1</v>
      </c>
      <c r="E117" s="193">
        <v>0.23</v>
      </c>
      <c r="F117" s="193">
        <v>0.45</v>
      </c>
      <c r="G117" s="193">
        <v>2.85</v>
      </c>
      <c r="H117" s="236">
        <f t="shared" si="8"/>
        <v>0.28999999999999998</v>
      </c>
      <c r="J117" s="186">
        <v>0.28999999999999998</v>
      </c>
    </row>
    <row r="118" spans="1:10" s="186" customFormat="1" ht="19.5" customHeight="1">
      <c r="A118" s="244"/>
      <c r="B118" s="192" t="s">
        <v>3501</v>
      </c>
      <c r="C118" s="190">
        <v>1</v>
      </c>
      <c r="D118" s="190">
        <v>8</v>
      </c>
      <c r="E118" s="193">
        <v>0.23</v>
      </c>
      <c r="F118" s="193">
        <v>0.45</v>
      </c>
      <c r="G118" s="193">
        <v>2.85</v>
      </c>
      <c r="H118" s="236">
        <f t="shared" si="8"/>
        <v>2.36</v>
      </c>
      <c r="J118" s="186">
        <v>2.36</v>
      </c>
    </row>
    <row r="119" spans="1:10" s="186" customFormat="1" ht="19.5" customHeight="1">
      <c r="A119" s="244"/>
      <c r="B119" s="192" t="s">
        <v>3502</v>
      </c>
      <c r="C119" s="190">
        <v>1</v>
      </c>
      <c r="D119" s="233">
        <v>2</v>
      </c>
      <c r="E119" s="193">
        <v>0.23</v>
      </c>
      <c r="F119" s="193">
        <v>0.45</v>
      </c>
      <c r="G119" s="193">
        <v>2.85</v>
      </c>
      <c r="H119" s="236">
        <f t="shared" si="8"/>
        <v>0.59</v>
      </c>
      <c r="J119" s="186">
        <v>0.88</v>
      </c>
    </row>
    <row r="120" spans="1:10" s="237" customFormat="1" ht="19.5" customHeight="1">
      <c r="A120" s="246"/>
      <c r="B120" s="232" t="s">
        <v>3599</v>
      </c>
      <c r="C120" s="233">
        <v>1</v>
      </c>
      <c r="D120" s="233">
        <v>1</v>
      </c>
      <c r="E120" s="235">
        <v>0.23</v>
      </c>
      <c r="F120" s="235">
        <v>0.6</v>
      </c>
      <c r="G120" s="235">
        <v>2.85</v>
      </c>
      <c r="H120" s="236">
        <f>ROUND(PRODUCT(C120:G120),2)</f>
        <v>0.39</v>
      </c>
      <c r="J120" s="237">
        <v>0.88</v>
      </c>
    </row>
    <row r="121" spans="1:10" s="186" customFormat="1" ht="19.5" customHeight="1">
      <c r="A121" s="244"/>
      <c r="B121" s="189" t="str">
        <f t="shared" ref="B121:G121" si="9">B69</f>
        <v>Sill Slab</v>
      </c>
      <c r="C121" s="190">
        <f t="shared" si="9"/>
        <v>0</v>
      </c>
      <c r="D121" s="190">
        <f t="shared" si="9"/>
        <v>0</v>
      </c>
      <c r="E121" s="194">
        <f t="shared" si="9"/>
        <v>0</v>
      </c>
      <c r="F121" s="194">
        <f t="shared" si="9"/>
        <v>0</v>
      </c>
      <c r="G121" s="213">
        <f t="shared" si="9"/>
        <v>0</v>
      </c>
      <c r="H121" s="194">
        <f t="shared" si="8"/>
        <v>0</v>
      </c>
      <c r="J121" s="186">
        <v>0</v>
      </c>
    </row>
    <row r="122" spans="1:10" s="186" customFormat="1" ht="19.5" customHeight="1">
      <c r="A122" s="244"/>
      <c r="B122" s="192" t="str">
        <f>B70</f>
        <v xml:space="preserve">W </v>
      </c>
      <c r="C122" s="190">
        <f>C70</f>
        <v>1</v>
      </c>
      <c r="D122" s="190">
        <v>7</v>
      </c>
      <c r="E122" s="194">
        <f>E70</f>
        <v>1.81</v>
      </c>
      <c r="F122" s="194">
        <f>F70</f>
        <v>0.23</v>
      </c>
      <c r="G122" s="193">
        <f>G70</f>
        <v>0.05</v>
      </c>
      <c r="H122" s="194">
        <f t="shared" si="8"/>
        <v>0.15</v>
      </c>
      <c r="J122" s="186">
        <v>0.15</v>
      </c>
    </row>
    <row r="123" spans="1:10" s="186" customFormat="1" ht="19.5" customHeight="1">
      <c r="A123" s="244"/>
      <c r="B123" s="192" t="s">
        <v>3605</v>
      </c>
      <c r="C123" s="190">
        <v>1</v>
      </c>
      <c r="D123" s="190">
        <v>4</v>
      </c>
      <c r="E123" s="194">
        <v>1.96</v>
      </c>
      <c r="F123" s="194">
        <v>0.23</v>
      </c>
      <c r="G123" s="193">
        <v>0.05</v>
      </c>
      <c r="H123" s="194">
        <f t="shared" si="8"/>
        <v>0.09</v>
      </c>
      <c r="J123" s="186">
        <v>0.09</v>
      </c>
    </row>
    <row r="124" spans="1:10" s="186" customFormat="1" ht="19.5" customHeight="1">
      <c r="A124" s="244"/>
      <c r="B124" s="192" t="s">
        <v>3632</v>
      </c>
      <c r="C124" s="190">
        <v>1</v>
      </c>
      <c r="D124" s="190">
        <v>1</v>
      </c>
      <c r="E124" s="194">
        <v>2.2599999999999998</v>
      </c>
      <c r="F124" s="194">
        <v>0.23</v>
      </c>
      <c r="G124" s="193">
        <v>0.05</v>
      </c>
      <c r="H124" s="194">
        <f t="shared" si="8"/>
        <v>0.03</v>
      </c>
      <c r="J124" s="186">
        <v>0.03</v>
      </c>
    </row>
    <row r="125" spans="1:10" s="186" customFormat="1" ht="19.5" customHeight="1">
      <c r="A125" s="244"/>
      <c r="B125" s="192" t="s">
        <v>3606</v>
      </c>
      <c r="C125" s="190">
        <v>1</v>
      </c>
      <c r="D125" s="190">
        <v>1</v>
      </c>
      <c r="E125" s="194">
        <v>2.2599999999999998</v>
      </c>
      <c r="F125" s="194">
        <v>0.23</v>
      </c>
      <c r="G125" s="193">
        <v>0.05</v>
      </c>
      <c r="H125" s="194">
        <f t="shared" si="8"/>
        <v>0.03</v>
      </c>
      <c r="J125" s="186">
        <v>0.03</v>
      </c>
    </row>
    <row r="126" spans="1:10" s="186" customFormat="1" ht="19.5" customHeight="1">
      <c r="A126" s="244"/>
      <c r="B126" s="189" t="str">
        <f t="shared" ref="B126:G126" si="10">B74</f>
        <v>Lintel Beam</v>
      </c>
      <c r="C126" s="190">
        <f t="shared" si="10"/>
        <v>0</v>
      </c>
      <c r="D126" s="190">
        <f t="shared" si="10"/>
        <v>0</v>
      </c>
      <c r="E126" s="194">
        <f t="shared" si="10"/>
        <v>0</v>
      </c>
      <c r="F126" s="194">
        <f t="shared" si="10"/>
        <v>0</v>
      </c>
      <c r="G126" s="213">
        <f t="shared" si="10"/>
        <v>0</v>
      </c>
      <c r="H126" s="194">
        <f t="shared" si="8"/>
        <v>0</v>
      </c>
      <c r="J126" s="186">
        <v>0</v>
      </c>
    </row>
    <row r="127" spans="1:10" s="186" customFormat="1" ht="19.5" customHeight="1">
      <c r="A127" s="244"/>
      <c r="B127" s="192" t="str">
        <f>B75</f>
        <v xml:space="preserve">W </v>
      </c>
      <c r="C127" s="190">
        <f>C75</f>
        <v>1</v>
      </c>
      <c r="D127" s="190">
        <v>7</v>
      </c>
      <c r="E127" s="194">
        <f>E75</f>
        <v>1.81</v>
      </c>
      <c r="F127" s="194">
        <f>F75</f>
        <v>0.23</v>
      </c>
      <c r="G127" s="193">
        <f>G75</f>
        <v>0.15</v>
      </c>
      <c r="H127" s="194">
        <f t="shared" si="8"/>
        <v>0.44</v>
      </c>
      <c r="J127" s="186">
        <v>0.44</v>
      </c>
    </row>
    <row r="128" spans="1:10" s="186" customFormat="1" ht="19.5" customHeight="1">
      <c r="A128" s="244"/>
      <c r="B128" s="192" t="s">
        <v>3605</v>
      </c>
      <c r="C128" s="190">
        <v>1</v>
      </c>
      <c r="D128" s="190">
        <v>4</v>
      </c>
      <c r="E128" s="194">
        <v>1.96</v>
      </c>
      <c r="F128" s="194">
        <v>0.23</v>
      </c>
      <c r="G128" s="193">
        <v>0.15</v>
      </c>
      <c r="H128" s="194">
        <f t="shared" si="8"/>
        <v>0.27</v>
      </c>
      <c r="J128" s="186">
        <v>0.27</v>
      </c>
    </row>
    <row r="129" spans="1:10" s="186" customFormat="1" ht="19.5" customHeight="1">
      <c r="A129" s="244"/>
      <c r="B129" s="192" t="s">
        <v>3632</v>
      </c>
      <c r="C129" s="190">
        <v>1</v>
      </c>
      <c r="D129" s="190">
        <v>1</v>
      </c>
      <c r="E129" s="194">
        <v>2.2599999999999998</v>
      </c>
      <c r="F129" s="194">
        <v>0.23</v>
      </c>
      <c r="G129" s="193">
        <v>0.15</v>
      </c>
      <c r="H129" s="194">
        <f t="shared" si="8"/>
        <v>0.08</v>
      </c>
      <c r="J129" s="186">
        <v>0.08</v>
      </c>
    </row>
    <row r="130" spans="1:10" s="186" customFormat="1" ht="19.5" customHeight="1">
      <c r="A130" s="244"/>
      <c r="B130" s="192" t="s">
        <v>3606</v>
      </c>
      <c r="C130" s="190">
        <v>1</v>
      </c>
      <c r="D130" s="190">
        <v>1</v>
      </c>
      <c r="E130" s="194">
        <v>2.2599999999999998</v>
      </c>
      <c r="F130" s="194">
        <v>0.23</v>
      </c>
      <c r="G130" s="193">
        <v>0.15</v>
      </c>
      <c r="H130" s="194">
        <f t="shared" si="8"/>
        <v>0.08</v>
      </c>
      <c r="J130" s="186">
        <v>0.08</v>
      </c>
    </row>
    <row r="131" spans="1:10" s="186" customFormat="1" ht="19.5" customHeight="1">
      <c r="A131" s="244"/>
      <c r="B131" s="192" t="s">
        <v>3483</v>
      </c>
      <c r="C131" s="190">
        <v>1</v>
      </c>
      <c r="D131" s="190">
        <v>6</v>
      </c>
      <c r="E131" s="194">
        <v>1.46</v>
      </c>
      <c r="F131" s="194">
        <v>0.23</v>
      </c>
      <c r="G131" s="193">
        <v>0.15</v>
      </c>
      <c r="H131" s="194">
        <f t="shared" si="8"/>
        <v>0.3</v>
      </c>
      <c r="J131" s="186">
        <v>0.3</v>
      </c>
    </row>
    <row r="132" spans="1:10" s="186" customFormat="1" ht="19.5" customHeight="1">
      <c r="A132" s="244"/>
      <c r="B132" s="192" t="s">
        <v>3611</v>
      </c>
      <c r="C132" s="190">
        <v>1</v>
      </c>
      <c r="D132" s="190">
        <v>6</v>
      </c>
      <c r="E132" s="194">
        <v>1.21</v>
      </c>
      <c r="F132" s="194">
        <v>0.23</v>
      </c>
      <c r="G132" s="193">
        <v>0.15</v>
      </c>
      <c r="H132" s="194">
        <f t="shared" si="8"/>
        <v>0.25</v>
      </c>
      <c r="J132" s="186">
        <v>0.25</v>
      </c>
    </row>
    <row r="133" spans="1:10" s="186" customFormat="1" ht="19.5" customHeight="1">
      <c r="A133" s="244"/>
      <c r="B133" s="189" t="str">
        <f>B83</f>
        <v>Sunshade</v>
      </c>
      <c r="C133" s="190">
        <f>C83</f>
        <v>0</v>
      </c>
      <c r="D133" s="190"/>
      <c r="E133" s="194"/>
      <c r="F133" s="194"/>
      <c r="G133" s="213"/>
      <c r="H133" s="194">
        <f t="shared" si="8"/>
        <v>0</v>
      </c>
      <c r="I133" s="225"/>
      <c r="J133" s="186">
        <v>0</v>
      </c>
    </row>
    <row r="134" spans="1:10" s="186" customFormat="1" ht="19.5" customHeight="1">
      <c r="A134" s="244"/>
      <c r="B134" s="192" t="s">
        <v>3642</v>
      </c>
      <c r="C134" s="190">
        <v>1</v>
      </c>
      <c r="D134" s="190">
        <v>7</v>
      </c>
      <c r="E134" s="194">
        <v>1.81</v>
      </c>
      <c r="F134" s="194">
        <v>0.6</v>
      </c>
      <c r="G134" s="213">
        <v>6.3E-2</v>
      </c>
      <c r="H134" s="236">
        <f t="shared" si="8"/>
        <v>0.48</v>
      </c>
      <c r="I134" s="225"/>
      <c r="J134" s="186">
        <v>0.48</v>
      </c>
    </row>
    <row r="135" spans="1:10" s="186" customFormat="1" ht="19.5" customHeight="1">
      <c r="A135" s="244"/>
      <c r="B135" s="192" t="s">
        <v>3605</v>
      </c>
      <c r="C135" s="190">
        <v>1</v>
      </c>
      <c r="D135" s="190">
        <v>4</v>
      </c>
      <c r="E135" s="194">
        <v>1.96</v>
      </c>
      <c r="F135" s="194">
        <f>F84</f>
        <v>0.6</v>
      </c>
      <c r="G135" s="213">
        <v>6.3E-2</v>
      </c>
      <c r="H135" s="236">
        <f t="shared" si="8"/>
        <v>0.3</v>
      </c>
      <c r="I135" s="225"/>
      <c r="J135" s="186">
        <v>0.3</v>
      </c>
    </row>
    <row r="136" spans="1:10" s="186" customFormat="1" ht="19.5" customHeight="1">
      <c r="A136" s="187"/>
      <c r="B136" s="192" t="s">
        <v>3606</v>
      </c>
      <c r="C136" s="190">
        <v>1</v>
      </c>
      <c r="D136" s="190">
        <v>1</v>
      </c>
      <c r="E136" s="194">
        <v>2.2599999999999998</v>
      </c>
      <c r="F136" s="194">
        <v>0.6</v>
      </c>
      <c r="G136" s="213">
        <v>6.3E-2</v>
      </c>
      <c r="H136" s="194">
        <f t="shared" si="8"/>
        <v>0.09</v>
      </c>
      <c r="J136" s="186">
        <v>0.09</v>
      </c>
    </row>
    <row r="137" spans="1:10" s="186" customFormat="1" ht="19.5" customHeight="1">
      <c r="A137" s="187"/>
      <c r="B137" s="192" t="s">
        <v>3632</v>
      </c>
      <c r="C137" s="190">
        <v>1</v>
      </c>
      <c r="D137" s="190">
        <v>1</v>
      </c>
      <c r="E137" s="194">
        <v>2.2599999999999998</v>
      </c>
      <c r="F137" s="194">
        <f>F86</f>
        <v>0.6</v>
      </c>
      <c r="G137" s="213">
        <v>6.3E-2</v>
      </c>
      <c r="H137" s="194">
        <f t="shared" si="8"/>
        <v>0.09</v>
      </c>
      <c r="J137" s="186">
        <v>0.09</v>
      </c>
    </row>
    <row r="138" spans="1:10" s="186" customFormat="1" ht="19.5" customHeight="1">
      <c r="A138" s="187"/>
      <c r="B138" s="189" t="str">
        <f t="shared" ref="B138:G146" si="11">B89</f>
        <v>Staircase</v>
      </c>
      <c r="C138" s="190">
        <f t="shared" si="11"/>
        <v>0</v>
      </c>
      <c r="D138" s="190">
        <f t="shared" si="11"/>
        <v>0</v>
      </c>
      <c r="E138" s="194">
        <f t="shared" si="11"/>
        <v>0</v>
      </c>
      <c r="F138" s="194">
        <f t="shared" si="11"/>
        <v>0</v>
      </c>
      <c r="G138" s="213">
        <f t="shared" si="11"/>
        <v>0</v>
      </c>
      <c r="H138" s="194">
        <f t="shared" si="8"/>
        <v>0</v>
      </c>
      <c r="J138" s="186">
        <v>0</v>
      </c>
    </row>
    <row r="139" spans="1:10" s="186" customFormat="1" ht="19.5" customHeight="1">
      <c r="A139" s="187"/>
      <c r="B139" s="192" t="str">
        <f t="shared" si="11"/>
        <v>Waist slab - I flight</v>
      </c>
      <c r="C139" s="190">
        <f t="shared" si="11"/>
        <v>1</v>
      </c>
      <c r="D139" s="190">
        <f t="shared" si="11"/>
        <v>1</v>
      </c>
      <c r="E139" s="194">
        <f t="shared" si="11"/>
        <v>3.85</v>
      </c>
      <c r="F139" s="194">
        <f t="shared" si="11"/>
        <v>1.2</v>
      </c>
      <c r="G139" s="193">
        <f t="shared" si="11"/>
        <v>0.15</v>
      </c>
      <c r="H139" s="194">
        <f t="shared" si="8"/>
        <v>0.69</v>
      </c>
      <c r="J139" s="186">
        <v>0.69</v>
      </c>
    </row>
    <row r="140" spans="1:10" s="186" customFormat="1" ht="19.5" customHeight="1">
      <c r="A140" s="187"/>
      <c r="B140" s="192" t="str">
        <f t="shared" si="11"/>
        <v>Mid landing slab</v>
      </c>
      <c r="C140" s="190">
        <f t="shared" si="11"/>
        <v>1</v>
      </c>
      <c r="D140" s="190">
        <f t="shared" si="11"/>
        <v>1</v>
      </c>
      <c r="E140" s="194">
        <f t="shared" si="11"/>
        <v>2.4</v>
      </c>
      <c r="F140" s="194">
        <f t="shared" si="11"/>
        <v>1.71</v>
      </c>
      <c r="G140" s="193">
        <f t="shared" si="11"/>
        <v>0.15</v>
      </c>
      <c r="H140" s="194">
        <f t="shared" si="8"/>
        <v>0.62</v>
      </c>
      <c r="J140" s="186">
        <v>0.62</v>
      </c>
    </row>
    <row r="141" spans="1:10" s="186" customFormat="1" ht="19.5" customHeight="1">
      <c r="A141" s="187"/>
      <c r="B141" s="192" t="str">
        <f t="shared" si="11"/>
        <v>Steps</v>
      </c>
      <c r="C141" s="190">
        <f t="shared" si="11"/>
        <v>0.5</v>
      </c>
      <c r="D141" s="190">
        <f t="shared" si="11"/>
        <v>11</v>
      </c>
      <c r="E141" s="194">
        <f t="shared" si="11"/>
        <v>1.2</v>
      </c>
      <c r="F141" s="194">
        <f t="shared" si="11"/>
        <v>0.3</v>
      </c>
      <c r="G141" s="213">
        <f t="shared" si="11"/>
        <v>0.157</v>
      </c>
      <c r="H141" s="194">
        <f t="shared" si="8"/>
        <v>0.31</v>
      </c>
      <c r="J141" s="186">
        <v>0.31</v>
      </c>
    </row>
    <row r="142" spans="1:10" s="186" customFormat="1" ht="19.5" customHeight="1">
      <c r="A142" s="187"/>
      <c r="B142" s="192" t="str">
        <f t="shared" si="11"/>
        <v xml:space="preserve">Mid landing beam </v>
      </c>
      <c r="C142" s="190">
        <f t="shared" si="11"/>
        <v>1</v>
      </c>
      <c r="D142" s="190">
        <f t="shared" si="11"/>
        <v>1</v>
      </c>
      <c r="E142" s="194">
        <f t="shared" si="11"/>
        <v>2.4</v>
      </c>
      <c r="F142" s="194">
        <f t="shared" si="11"/>
        <v>0.23</v>
      </c>
      <c r="G142" s="193">
        <f t="shared" si="11"/>
        <v>0.3</v>
      </c>
      <c r="H142" s="194">
        <f t="shared" si="8"/>
        <v>0.17</v>
      </c>
      <c r="J142" s="186">
        <v>0.17</v>
      </c>
    </row>
    <row r="143" spans="1:10" s="186" customFormat="1" ht="19.5" customHeight="1">
      <c r="A143" s="187"/>
      <c r="B143" s="192" t="str">
        <f t="shared" si="11"/>
        <v>Waist slab - II flight</v>
      </c>
      <c r="C143" s="190">
        <f t="shared" si="11"/>
        <v>1</v>
      </c>
      <c r="D143" s="190">
        <f t="shared" si="11"/>
        <v>1</v>
      </c>
      <c r="E143" s="194">
        <f t="shared" si="11"/>
        <v>3.05</v>
      </c>
      <c r="F143" s="194">
        <f t="shared" si="11"/>
        <v>1.2</v>
      </c>
      <c r="G143" s="193">
        <f t="shared" si="11"/>
        <v>0.15</v>
      </c>
      <c r="H143" s="194">
        <f t="shared" si="8"/>
        <v>0.55000000000000004</v>
      </c>
      <c r="J143" s="186">
        <v>0.55000000000000004</v>
      </c>
    </row>
    <row r="144" spans="1:10" s="186" customFormat="1" ht="19.5" customHeight="1">
      <c r="A144" s="187"/>
      <c r="B144" s="192" t="str">
        <f t="shared" si="11"/>
        <v>Steps</v>
      </c>
      <c r="C144" s="190">
        <f t="shared" si="11"/>
        <v>0.5</v>
      </c>
      <c r="D144" s="190">
        <f t="shared" si="11"/>
        <v>9</v>
      </c>
      <c r="E144" s="194">
        <f t="shared" si="11"/>
        <v>1.2</v>
      </c>
      <c r="F144" s="194">
        <f t="shared" si="11"/>
        <v>0.3</v>
      </c>
      <c r="G144" s="213">
        <f t="shared" si="11"/>
        <v>0.157</v>
      </c>
      <c r="H144" s="194">
        <f t="shared" si="8"/>
        <v>0.25</v>
      </c>
      <c r="J144" s="186">
        <v>0.25</v>
      </c>
    </row>
    <row r="145" spans="1:10" s="186" customFormat="1" ht="19.5" customHeight="1">
      <c r="A145" s="187"/>
      <c r="B145" s="192" t="str">
        <f t="shared" si="11"/>
        <v>Portico Projection</v>
      </c>
      <c r="C145" s="190">
        <f t="shared" si="11"/>
        <v>1</v>
      </c>
      <c r="D145" s="190">
        <f t="shared" si="11"/>
        <v>1</v>
      </c>
      <c r="E145" s="194">
        <f t="shared" si="11"/>
        <v>2.86</v>
      </c>
      <c r="F145" s="194">
        <f t="shared" si="11"/>
        <v>2.4</v>
      </c>
      <c r="G145" s="213">
        <f t="shared" si="11"/>
        <v>0.125</v>
      </c>
      <c r="H145" s="194">
        <f t="shared" si="8"/>
        <v>0.86</v>
      </c>
      <c r="J145" s="186">
        <v>0.86</v>
      </c>
    </row>
    <row r="146" spans="1:10" s="186" customFormat="1" ht="19.5" customHeight="1">
      <c r="A146" s="187"/>
      <c r="B146" s="189" t="str">
        <f t="shared" si="11"/>
        <v>Roof beam</v>
      </c>
      <c r="C146" s="190">
        <f t="shared" si="11"/>
        <v>0</v>
      </c>
      <c r="D146" s="190">
        <f t="shared" si="11"/>
        <v>0</v>
      </c>
      <c r="E146" s="194">
        <f t="shared" si="11"/>
        <v>0</v>
      </c>
      <c r="F146" s="194">
        <f t="shared" si="11"/>
        <v>0</v>
      </c>
      <c r="G146" s="213">
        <f t="shared" si="11"/>
        <v>0</v>
      </c>
      <c r="H146" s="194">
        <f t="shared" si="8"/>
        <v>0</v>
      </c>
      <c r="J146" s="186">
        <v>0</v>
      </c>
    </row>
    <row r="147" spans="1:10" s="186" customFormat="1" ht="19.5" customHeight="1">
      <c r="A147" s="187"/>
      <c r="B147" s="192" t="s">
        <v>3621</v>
      </c>
      <c r="C147" s="190">
        <v>1</v>
      </c>
      <c r="D147" s="190">
        <v>1</v>
      </c>
      <c r="E147" s="194">
        <v>52.88</v>
      </c>
      <c r="F147" s="194">
        <v>0.23</v>
      </c>
      <c r="G147" s="213">
        <v>0.22500000000000001</v>
      </c>
      <c r="H147" s="194">
        <f t="shared" si="8"/>
        <v>2.74</v>
      </c>
      <c r="J147" s="186">
        <v>2.74</v>
      </c>
    </row>
    <row r="148" spans="1:10" s="186" customFormat="1" ht="19.5" customHeight="1">
      <c r="A148" s="187"/>
      <c r="B148" s="192" t="s">
        <v>3532</v>
      </c>
      <c r="C148" s="190">
        <v>1</v>
      </c>
      <c r="D148" s="190">
        <v>1</v>
      </c>
      <c r="E148" s="194">
        <v>14.95</v>
      </c>
      <c r="F148" s="194">
        <v>0.23</v>
      </c>
      <c r="G148" s="213">
        <v>5.5E-2</v>
      </c>
      <c r="H148" s="194">
        <f t="shared" si="8"/>
        <v>0.19</v>
      </c>
      <c r="J148" s="186">
        <v>0.19</v>
      </c>
    </row>
    <row r="149" spans="1:10" s="186" customFormat="1" ht="19.5" customHeight="1">
      <c r="A149" s="187"/>
      <c r="B149" s="192" t="s">
        <v>3532</v>
      </c>
      <c r="C149" s="190">
        <v>1</v>
      </c>
      <c r="D149" s="190">
        <v>1</v>
      </c>
      <c r="E149" s="194">
        <v>14.95</v>
      </c>
      <c r="F149" s="194">
        <v>0.23</v>
      </c>
      <c r="G149" s="193">
        <v>0.1</v>
      </c>
      <c r="H149" s="194">
        <f t="shared" si="8"/>
        <v>0.34</v>
      </c>
      <c r="J149" s="186">
        <v>0.34</v>
      </c>
    </row>
    <row r="150" spans="1:10" s="186" customFormat="1" ht="19.5" customHeight="1">
      <c r="A150" s="187"/>
      <c r="B150" s="192" t="s">
        <v>3532</v>
      </c>
      <c r="C150" s="190">
        <v>1</v>
      </c>
      <c r="D150" s="190">
        <v>1</v>
      </c>
      <c r="E150" s="194">
        <v>11.49</v>
      </c>
      <c r="F150" s="194">
        <v>0.23</v>
      </c>
      <c r="G150" s="213">
        <v>5.5E-2</v>
      </c>
      <c r="H150" s="194">
        <f t="shared" si="8"/>
        <v>0.15</v>
      </c>
      <c r="J150" s="186">
        <v>0.15</v>
      </c>
    </row>
    <row r="151" spans="1:10" s="186" customFormat="1" ht="19.5" customHeight="1">
      <c r="A151" s="187"/>
      <c r="B151" s="192" t="s">
        <v>3636</v>
      </c>
      <c r="C151" s="190">
        <v>1</v>
      </c>
      <c r="D151" s="190">
        <v>2</v>
      </c>
      <c r="E151" s="194">
        <v>11.26</v>
      </c>
      <c r="F151" s="194">
        <v>0.23</v>
      </c>
      <c r="G151" s="213">
        <v>0.32500000000000001</v>
      </c>
      <c r="H151" s="194">
        <f t="shared" si="8"/>
        <v>1.68</v>
      </c>
      <c r="J151" s="186">
        <v>1.68</v>
      </c>
    </row>
    <row r="152" spans="1:10" s="186" customFormat="1" ht="19.5" customHeight="1">
      <c r="A152" s="187"/>
      <c r="B152" s="192" t="s">
        <v>3637</v>
      </c>
      <c r="C152" s="190">
        <v>1</v>
      </c>
      <c r="D152" s="190">
        <v>3</v>
      </c>
      <c r="E152" s="194">
        <v>4.3499999999999996</v>
      </c>
      <c r="F152" s="194">
        <v>0.23</v>
      </c>
      <c r="G152" s="213">
        <v>0.32500000000000001</v>
      </c>
      <c r="H152" s="194">
        <f t="shared" si="8"/>
        <v>0.98</v>
      </c>
      <c r="J152" s="186">
        <v>0.98</v>
      </c>
    </row>
    <row r="153" spans="1:10" s="186" customFormat="1" ht="19.5" customHeight="1">
      <c r="A153" s="187"/>
      <c r="B153" s="192" t="s">
        <v>3624</v>
      </c>
      <c r="C153" s="190">
        <v>1</v>
      </c>
      <c r="D153" s="190">
        <v>1</v>
      </c>
      <c r="E153" s="194">
        <v>14.72</v>
      </c>
      <c r="F153" s="194">
        <v>0.23</v>
      </c>
      <c r="G153" s="213">
        <v>0.47499999999999998</v>
      </c>
      <c r="H153" s="194">
        <f t="shared" si="8"/>
        <v>1.61</v>
      </c>
      <c r="J153" s="186">
        <v>1.61</v>
      </c>
    </row>
    <row r="154" spans="1:10" s="186" customFormat="1" ht="19.5" customHeight="1">
      <c r="A154" s="187"/>
      <c r="B154" s="192" t="s">
        <v>3638</v>
      </c>
      <c r="C154" s="190">
        <v>1</v>
      </c>
      <c r="D154" s="190">
        <v>1</v>
      </c>
      <c r="E154" s="194">
        <v>9.8800000000000008</v>
      </c>
      <c r="F154" s="194">
        <v>0.23</v>
      </c>
      <c r="G154" s="213">
        <v>0.32500000000000001</v>
      </c>
      <c r="H154" s="194">
        <f t="shared" si="8"/>
        <v>0.74</v>
      </c>
      <c r="J154" s="186">
        <v>0.74</v>
      </c>
    </row>
    <row r="155" spans="1:10" s="186" customFormat="1" ht="19.5" customHeight="1">
      <c r="A155" s="187"/>
      <c r="B155" s="192" t="s">
        <v>3639</v>
      </c>
      <c r="C155" s="190">
        <v>1</v>
      </c>
      <c r="D155" s="190">
        <v>1</v>
      </c>
      <c r="E155" s="194">
        <v>4.62</v>
      </c>
      <c r="F155" s="194">
        <v>0.23</v>
      </c>
      <c r="G155" s="213">
        <v>0.32500000000000001</v>
      </c>
      <c r="H155" s="194">
        <f t="shared" si="8"/>
        <v>0.35</v>
      </c>
      <c r="J155" s="186">
        <v>0.35</v>
      </c>
    </row>
    <row r="156" spans="1:10" s="186" customFormat="1" ht="19.5" customHeight="1">
      <c r="A156" s="187"/>
      <c r="B156" s="189" t="s">
        <v>3629</v>
      </c>
      <c r="C156" s="190"/>
      <c r="D156" s="190"/>
      <c r="E156" s="194"/>
      <c r="F156" s="194"/>
      <c r="G156" s="213"/>
      <c r="H156" s="194">
        <f t="shared" si="8"/>
        <v>0</v>
      </c>
      <c r="J156" s="186">
        <v>0</v>
      </c>
    </row>
    <row r="157" spans="1:10" s="186" customFormat="1" ht="19.5" customHeight="1">
      <c r="A157" s="187"/>
      <c r="B157" s="192" t="s">
        <v>3630</v>
      </c>
      <c r="C157" s="190">
        <v>1</v>
      </c>
      <c r="D157" s="190">
        <v>1</v>
      </c>
      <c r="E157" s="194">
        <v>11.72</v>
      </c>
      <c r="F157" s="194">
        <v>15.18</v>
      </c>
      <c r="G157" s="213">
        <v>0.125</v>
      </c>
      <c r="H157" s="194">
        <f t="shared" si="8"/>
        <v>22.24</v>
      </c>
      <c r="J157" s="186">
        <v>22.24</v>
      </c>
    </row>
    <row r="158" spans="1:10" s="186" customFormat="1" ht="19.5" customHeight="1">
      <c r="A158" s="244"/>
      <c r="B158" s="189" t="s">
        <v>3643</v>
      </c>
      <c r="C158" s="190"/>
      <c r="D158" s="190"/>
      <c r="E158" s="194"/>
      <c r="F158" s="194"/>
      <c r="G158" s="213"/>
      <c r="H158" s="194">
        <f t="shared" si="8"/>
        <v>0</v>
      </c>
      <c r="J158" s="186">
        <v>0</v>
      </c>
    </row>
    <row r="159" spans="1:10" s="186" customFormat="1" ht="19.5" customHeight="1">
      <c r="A159" s="244"/>
      <c r="B159" s="192" t="s">
        <v>3499</v>
      </c>
      <c r="C159" s="190">
        <v>1</v>
      </c>
      <c r="D159" s="190">
        <v>8</v>
      </c>
      <c r="E159" s="194">
        <v>0.23</v>
      </c>
      <c r="F159" s="194">
        <v>0.38</v>
      </c>
      <c r="G159" s="193">
        <v>1.2</v>
      </c>
      <c r="H159" s="194">
        <f t="shared" si="8"/>
        <v>0.84</v>
      </c>
      <c r="J159" s="186">
        <v>0.84</v>
      </c>
    </row>
    <row r="160" spans="1:10" s="199" customFormat="1" ht="19.5" customHeight="1">
      <c r="A160" s="182"/>
      <c r="B160" s="192" t="s">
        <v>3500</v>
      </c>
      <c r="C160" s="190">
        <v>1</v>
      </c>
      <c r="D160" s="190">
        <v>1</v>
      </c>
      <c r="E160" s="194">
        <v>0.23</v>
      </c>
      <c r="F160" s="194">
        <v>0.45</v>
      </c>
      <c r="G160" s="193">
        <v>1.2</v>
      </c>
      <c r="H160" s="194">
        <f t="shared" si="8"/>
        <v>0.12</v>
      </c>
      <c r="J160" s="199">
        <v>0.12</v>
      </c>
    </row>
    <row r="161" spans="1:10" s="186" customFormat="1" ht="19.5" customHeight="1">
      <c r="A161" s="244"/>
      <c r="B161" s="192" t="s">
        <v>3501</v>
      </c>
      <c r="C161" s="190">
        <v>1</v>
      </c>
      <c r="D161" s="190">
        <v>3</v>
      </c>
      <c r="E161" s="194">
        <v>0.23</v>
      </c>
      <c r="F161" s="194">
        <v>0.45</v>
      </c>
      <c r="G161" s="193">
        <v>1.2</v>
      </c>
      <c r="H161" s="194">
        <f t="shared" si="8"/>
        <v>0.37</v>
      </c>
      <c r="J161" s="186">
        <v>0.37</v>
      </c>
    </row>
    <row r="162" spans="1:10" s="186" customFormat="1" ht="19.5" customHeight="1">
      <c r="A162" s="244"/>
      <c r="B162" s="218"/>
      <c r="C162" s="219"/>
      <c r="D162" s="219"/>
      <c r="E162" s="193"/>
      <c r="F162" s="193"/>
      <c r="G162" s="213"/>
      <c r="H162" s="205">
        <f>J163-H163</f>
        <v>0</v>
      </c>
      <c r="I162" s="186">
        <v>0</v>
      </c>
    </row>
    <row r="163" spans="1:10" s="186" customFormat="1" ht="19.5" customHeight="1">
      <c r="A163" s="244"/>
      <c r="B163" s="218"/>
      <c r="C163" s="219"/>
      <c r="D163" s="219"/>
      <c r="E163" s="193"/>
      <c r="F163" s="193"/>
      <c r="G163" s="213" t="s">
        <v>1827</v>
      </c>
      <c r="H163" s="247">
        <f>J163</f>
        <v>44.1</v>
      </c>
      <c r="I163" s="186">
        <f>SUM(H115:H161)</f>
        <v>44.1</v>
      </c>
      <c r="J163" s="186">
        <f>ROUNDUP(I163,1)</f>
        <v>44.1</v>
      </c>
    </row>
    <row r="164" spans="1:10" s="186" customFormat="1" ht="19.5" customHeight="1">
      <c r="A164" s="244"/>
      <c r="B164" s="216"/>
      <c r="C164" s="220"/>
      <c r="D164" s="220"/>
      <c r="E164" s="197"/>
      <c r="F164" s="197" t="s">
        <v>2560</v>
      </c>
      <c r="G164" s="197">
        <f>H163</f>
        <v>44.1</v>
      </c>
      <c r="H164" s="248" t="s">
        <v>1749</v>
      </c>
      <c r="I164" s="199"/>
      <c r="J164" s="199"/>
    </row>
    <row r="165" spans="1:10" s="186" customFormat="1" ht="19.5" customHeight="1">
      <c r="A165" s="244"/>
      <c r="B165" s="216" t="s">
        <v>3644</v>
      </c>
      <c r="C165" s="219"/>
      <c r="D165" s="219"/>
      <c r="E165" s="193"/>
      <c r="F165" s="193"/>
      <c r="G165" s="213"/>
      <c r="H165" s="194">
        <f>ROUND(PRODUCT(C170:G170),2)</f>
        <v>0</v>
      </c>
      <c r="J165" s="186">
        <v>0</v>
      </c>
    </row>
    <row r="166" spans="1:10" s="186" customFormat="1" ht="19.5" customHeight="1">
      <c r="A166" s="244"/>
      <c r="B166" s="192" t="s">
        <v>3641</v>
      </c>
      <c r="C166" s="219"/>
      <c r="D166" s="219"/>
      <c r="E166" s="193"/>
      <c r="F166" s="193"/>
      <c r="G166" s="213"/>
      <c r="H166" s="194"/>
    </row>
    <row r="167" spans="1:10" s="186" customFormat="1" ht="19.5" customHeight="1">
      <c r="A167" s="244"/>
      <c r="B167" s="192" t="s">
        <v>3501</v>
      </c>
      <c r="C167" s="190">
        <v>1</v>
      </c>
      <c r="D167" s="190">
        <v>4</v>
      </c>
      <c r="E167" s="193">
        <v>0.23</v>
      </c>
      <c r="F167" s="193">
        <v>0.45</v>
      </c>
      <c r="G167" s="213">
        <v>2.25</v>
      </c>
      <c r="H167" s="194">
        <f t="shared" ref="H167:H181" si="12">ROUND(PRODUCT(C167:G167),2)</f>
        <v>0.93</v>
      </c>
      <c r="J167" s="186">
        <v>0.93</v>
      </c>
    </row>
    <row r="168" spans="1:10" s="186" customFormat="1" ht="19.5" customHeight="1">
      <c r="A168" s="244"/>
      <c r="B168" s="192" t="s">
        <v>3502</v>
      </c>
      <c r="C168" s="190">
        <v>1</v>
      </c>
      <c r="D168" s="233">
        <v>1</v>
      </c>
      <c r="E168" s="193">
        <v>0.23</v>
      </c>
      <c r="F168" s="193">
        <v>0.45</v>
      </c>
      <c r="G168" s="213">
        <v>2.25</v>
      </c>
      <c r="H168" s="194">
        <f t="shared" si="12"/>
        <v>0.23</v>
      </c>
      <c r="J168" s="186">
        <v>0.62</v>
      </c>
    </row>
    <row r="169" spans="1:10" s="237" customFormat="1" ht="19.5" customHeight="1">
      <c r="A169" s="246"/>
      <c r="B169" s="232" t="s">
        <v>3599</v>
      </c>
      <c r="C169" s="233">
        <v>1</v>
      </c>
      <c r="D169" s="233">
        <v>1</v>
      </c>
      <c r="E169" s="235">
        <v>0.23</v>
      </c>
      <c r="F169" s="235">
        <v>0.6</v>
      </c>
      <c r="G169" s="249">
        <v>2.25</v>
      </c>
      <c r="H169" s="236">
        <f>ROUND(PRODUCT(C169:G169),2)</f>
        <v>0.31</v>
      </c>
      <c r="J169" s="237">
        <v>0.62</v>
      </c>
    </row>
    <row r="170" spans="1:10" s="186" customFormat="1" ht="19.5" customHeight="1">
      <c r="A170" s="244"/>
      <c r="B170" s="189" t="str">
        <f t="shared" ref="B170:G170" si="13">B121</f>
        <v>Sill Slab</v>
      </c>
      <c r="C170" s="190">
        <f t="shared" si="13"/>
        <v>0</v>
      </c>
      <c r="D170" s="190">
        <f t="shared" si="13"/>
        <v>0</v>
      </c>
      <c r="E170" s="194">
        <f t="shared" si="13"/>
        <v>0</v>
      </c>
      <c r="F170" s="194">
        <f t="shared" si="13"/>
        <v>0</v>
      </c>
      <c r="G170" s="213">
        <f t="shared" si="13"/>
        <v>0</v>
      </c>
      <c r="H170" s="194">
        <f t="shared" si="12"/>
        <v>0</v>
      </c>
      <c r="I170" s="225"/>
      <c r="J170" s="186">
        <v>0</v>
      </c>
    </row>
    <row r="171" spans="1:10" s="186" customFormat="1" ht="19.5" customHeight="1">
      <c r="A171" s="244"/>
      <c r="B171" s="192" t="s">
        <v>3632</v>
      </c>
      <c r="C171" s="190">
        <v>1</v>
      </c>
      <c r="D171" s="190">
        <v>1</v>
      </c>
      <c r="E171" s="194">
        <v>2.2599999999999998</v>
      </c>
      <c r="F171" s="194">
        <v>0.23</v>
      </c>
      <c r="G171" s="213">
        <v>0.05</v>
      </c>
      <c r="H171" s="194">
        <f t="shared" si="12"/>
        <v>0.03</v>
      </c>
      <c r="I171" s="225"/>
      <c r="J171" s="186">
        <v>0.03</v>
      </c>
    </row>
    <row r="172" spans="1:10" s="186" customFormat="1" ht="19.5" customHeight="1">
      <c r="A172" s="187"/>
      <c r="B172" s="189" t="s">
        <v>3645</v>
      </c>
      <c r="C172" s="190"/>
      <c r="D172" s="190"/>
      <c r="E172" s="194"/>
      <c r="F172" s="194"/>
      <c r="G172" s="213"/>
      <c r="H172" s="194">
        <f t="shared" si="12"/>
        <v>0</v>
      </c>
      <c r="J172" s="186">
        <v>0</v>
      </c>
    </row>
    <row r="173" spans="1:10" s="186" customFormat="1" ht="19.5" customHeight="1">
      <c r="A173" s="187"/>
      <c r="B173" s="192" t="s">
        <v>3632</v>
      </c>
      <c r="C173" s="190">
        <v>1</v>
      </c>
      <c r="D173" s="190">
        <v>1</v>
      </c>
      <c r="E173" s="194">
        <v>2.2599999999999998</v>
      </c>
      <c r="F173" s="194">
        <f>F135</f>
        <v>0.6</v>
      </c>
      <c r="G173" s="213">
        <v>6.3E-2</v>
      </c>
      <c r="H173" s="194">
        <f t="shared" si="12"/>
        <v>0.09</v>
      </c>
      <c r="J173" s="186">
        <v>0.09</v>
      </c>
    </row>
    <row r="174" spans="1:10" s="186" customFormat="1" ht="19.5" customHeight="1">
      <c r="A174" s="187"/>
      <c r="B174" s="192" t="s">
        <v>3605</v>
      </c>
      <c r="C174" s="190">
        <v>1</v>
      </c>
      <c r="D174" s="190">
        <v>1</v>
      </c>
      <c r="E174" s="194">
        <v>1.96</v>
      </c>
      <c r="F174" s="194">
        <v>0.6</v>
      </c>
      <c r="G174" s="213">
        <v>6.3E-2</v>
      </c>
      <c r="H174" s="194">
        <f t="shared" si="12"/>
        <v>7.0000000000000007E-2</v>
      </c>
      <c r="J174" s="186">
        <v>7.0000000000000007E-2</v>
      </c>
    </row>
    <row r="175" spans="1:10" s="186" customFormat="1" ht="19.5" customHeight="1">
      <c r="A175" s="187"/>
      <c r="B175" s="192" t="s">
        <v>3483</v>
      </c>
      <c r="C175" s="190">
        <v>1</v>
      </c>
      <c r="D175" s="190">
        <v>1</v>
      </c>
      <c r="E175" s="194">
        <v>1.46</v>
      </c>
      <c r="F175" s="194">
        <v>0.6</v>
      </c>
      <c r="G175" s="213">
        <v>6.3E-2</v>
      </c>
      <c r="H175" s="194">
        <f t="shared" si="12"/>
        <v>0.06</v>
      </c>
      <c r="J175" s="186">
        <v>0.06</v>
      </c>
    </row>
    <row r="176" spans="1:10" s="186" customFormat="1" ht="19.5" customHeight="1">
      <c r="A176" s="187"/>
      <c r="B176" s="189" t="s">
        <v>3620</v>
      </c>
      <c r="C176" s="190"/>
      <c r="D176" s="190"/>
      <c r="E176" s="194"/>
      <c r="F176" s="194"/>
      <c r="G176" s="213"/>
      <c r="H176" s="194">
        <f t="shared" si="12"/>
        <v>0</v>
      </c>
      <c r="J176" s="186">
        <v>0</v>
      </c>
    </row>
    <row r="177" spans="1:10" s="186" customFormat="1" ht="19.5" customHeight="1">
      <c r="A177" s="187"/>
      <c r="B177" s="192" t="s">
        <v>3621</v>
      </c>
      <c r="C177" s="190">
        <v>1</v>
      </c>
      <c r="D177" s="190">
        <v>1</v>
      </c>
      <c r="E177" s="194">
        <v>19.07</v>
      </c>
      <c r="F177" s="194">
        <v>0.23</v>
      </c>
      <c r="G177" s="213">
        <v>0.17499999999999999</v>
      </c>
      <c r="H177" s="194">
        <f t="shared" si="12"/>
        <v>0.77</v>
      </c>
      <c r="J177" s="186">
        <v>0.77</v>
      </c>
    </row>
    <row r="178" spans="1:10" s="186" customFormat="1" ht="19.5" customHeight="1">
      <c r="A178" s="187"/>
      <c r="B178" s="192" t="s">
        <v>3646</v>
      </c>
      <c r="C178" s="190">
        <v>1</v>
      </c>
      <c r="D178" s="190">
        <v>1</v>
      </c>
      <c r="E178" s="194">
        <v>2.4</v>
      </c>
      <c r="F178" s="194">
        <v>0.23</v>
      </c>
      <c r="G178" s="213">
        <v>0.17499999999999999</v>
      </c>
      <c r="H178" s="194">
        <f t="shared" si="12"/>
        <v>0.1</v>
      </c>
      <c r="J178" s="186">
        <v>0.1</v>
      </c>
    </row>
    <row r="179" spans="1:10" s="186" customFormat="1" ht="19.5" customHeight="1">
      <c r="A179" s="244"/>
      <c r="B179" s="192" t="s">
        <v>3647</v>
      </c>
      <c r="C179" s="190">
        <v>1</v>
      </c>
      <c r="D179" s="190">
        <v>1</v>
      </c>
      <c r="E179" s="194">
        <v>15.62</v>
      </c>
      <c r="F179" s="194">
        <v>0.23</v>
      </c>
      <c r="G179" s="193">
        <v>0.45</v>
      </c>
      <c r="H179" s="194">
        <f t="shared" si="12"/>
        <v>1.62</v>
      </c>
      <c r="J179" s="186">
        <v>1.62</v>
      </c>
    </row>
    <row r="180" spans="1:10" s="199" customFormat="1" ht="19.5" customHeight="1">
      <c r="A180" s="182"/>
      <c r="B180" s="192" t="s">
        <v>3648</v>
      </c>
      <c r="C180" s="190">
        <v>1</v>
      </c>
      <c r="D180" s="190">
        <v>2</v>
      </c>
      <c r="E180" s="194">
        <v>1</v>
      </c>
      <c r="F180" s="194">
        <v>0.23</v>
      </c>
      <c r="G180" s="193">
        <v>0.3</v>
      </c>
      <c r="H180" s="194">
        <f t="shared" si="12"/>
        <v>0.14000000000000001</v>
      </c>
      <c r="J180" s="199">
        <v>0.14000000000000001</v>
      </c>
    </row>
    <row r="181" spans="1:10" s="186" customFormat="1" ht="19.5" customHeight="1">
      <c r="A181" s="244"/>
      <c r="B181" s="192" t="s">
        <v>3649</v>
      </c>
      <c r="C181" s="190">
        <v>1</v>
      </c>
      <c r="D181" s="190">
        <v>3</v>
      </c>
      <c r="E181" s="194">
        <v>3</v>
      </c>
      <c r="F181" s="194">
        <v>1</v>
      </c>
      <c r="G181" s="193">
        <v>0.15</v>
      </c>
      <c r="H181" s="194">
        <f t="shared" si="12"/>
        <v>1.35</v>
      </c>
      <c r="J181" s="186">
        <v>1.35</v>
      </c>
    </row>
    <row r="182" spans="1:10" s="186" customFormat="1" ht="19.5" customHeight="1">
      <c r="A182" s="244"/>
      <c r="B182" s="218"/>
      <c r="C182" s="219"/>
      <c r="D182" s="219"/>
      <c r="E182" s="193"/>
      <c r="F182" s="193"/>
      <c r="G182" s="213"/>
      <c r="H182" s="355">
        <f>J183-I183</f>
        <v>0</v>
      </c>
    </row>
    <row r="183" spans="1:10" s="186" customFormat="1" ht="19.5" customHeight="1">
      <c r="A183" s="244"/>
      <c r="B183" s="218"/>
      <c r="C183" s="219"/>
      <c r="D183" s="219"/>
      <c r="E183" s="193"/>
      <c r="F183" s="193"/>
      <c r="G183" s="213" t="s">
        <v>1827</v>
      </c>
      <c r="H183" s="205">
        <f>J183</f>
        <v>5.7</v>
      </c>
      <c r="I183" s="186">
        <f>SUM(H167:H181)</f>
        <v>5.7</v>
      </c>
      <c r="J183" s="186">
        <f>ROUNDUP(I183,1)</f>
        <v>5.7</v>
      </c>
    </row>
    <row r="184" spans="1:10" s="186" customFormat="1" ht="19.149999999999999" customHeight="1">
      <c r="A184" s="244"/>
      <c r="B184" s="218"/>
      <c r="C184" s="245"/>
      <c r="D184" s="245"/>
      <c r="E184" s="204"/>
      <c r="F184" s="197" t="s">
        <v>2560</v>
      </c>
      <c r="G184" s="197">
        <f>H183</f>
        <v>5.7</v>
      </c>
      <c r="H184" s="248" t="s">
        <v>1749</v>
      </c>
      <c r="I184" s="199"/>
      <c r="J184" s="199"/>
    </row>
    <row r="185" spans="1:10" s="186" customFormat="1" ht="34.9" customHeight="1">
      <c r="A185" s="244">
        <v>9.5</v>
      </c>
      <c r="B185" s="992" t="s">
        <v>3650</v>
      </c>
      <c r="C185" s="993"/>
      <c r="D185" s="993"/>
      <c r="E185" s="993"/>
      <c r="F185" s="993"/>
      <c r="G185" s="994"/>
      <c r="H185" s="205"/>
    </row>
    <row r="186" spans="1:10" s="186" customFormat="1" ht="19.5" customHeight="1">
      <c r="A186" s="244"/>
      <c r="B186" s="216" t="s">
        <v>3651</v>
      </c>
      <c r="C186" s="219"/>
      <c r="D186" s="219"/>
      <c r="E186" s="204"/>
      <c r="F186" s="193"/>
      <c r="G186" s="213"/>
      <c r="H186" s="205"/>
    </row>
    <row r="187" spans="1:10" s="186" customFormat="1" ht="19.5" customHeight="1">
      <c r="A187" s="244"/>
      <c r="B187" s="218" t="s">
        <v>3652</v>
      </c>
      <c r="C187" s="219">
        <v>1</v>
      </c>
      <c r="D187" s="219">
        <v>1</v>
      </c>
      <c r="E187" s="204">
        <v>37.26</v>
      </c>
      <c r="F187" s="193">
        <v>0.23</v>
      </c>
      <c r="G187" s="193">
        <v>2.85</v>
      </c>
      <c r="H187" s="205">
        <f>ROUND(PRODUCT(C187:G187),2)</f>
        <v>24.42</v>
      </c>
    </row>
    <row r="188" spans="1:10" s="186" customFormat="1" ht="19.5" customHeight="1">
      <c r="A188" s="244"/>
      <c r="B188" s="218" t="s">
        <v>3653</v>
      </c>
      <c r="C188" s="219">
        <v>1</v>
      </c>
      <c r="D188" s="219">
        <v>1</v>
      </c>
      <c r="E188" s="204">
        <v>2.1</v>
      </c>
      <c r="F188" s="193">
        <v>0.23</v>
      </c>
      <c r="G188" s="193">
        <v>3.18</v>
      </c>
      <c r="H188" s="205">
        <f t="shared" ref="H188:H214" si="14">ROUND(PRODUCT(C188:G188),2)</f>
        <v>1.54</v>
      </c>
    </row>
    <row r="189" spans="1:10" s="186" customFormat="1" ht="19.5" customHeight="1">
      <c r="A189" s="244"/>
      <c r="B189" s="218" t="s">
        <v>3654</v>
      </c>
      <c r="C189" s="219">
        <v>1</v>
      </c>
      <c r="D189" s="219">
        <v>2</v>
      </c>
      <c r="E189" s="204">
        <v>4.3499999999999996</v>
      </c>
      <c r="F189" s="193">
        <v>0.23</v>
      </c>
      <c r="G189" s="193">
        <v>2.85</v>
      </c>
      <c r="H189" s="205">
        <f t="shared" si="14"/>
        <v>5.7</v>
      </c>
    </row>
    <row r="190" spans="1:10" s="186" customFormat="1" ht="19.5" customHeight="1">
      <c r="A190" s="244"/>
      <c r="B190" s="218" t="s">
        <v>3655</v>
      </c>
      <c r="C190" s="219">
        <v>1</v>
      </c>
      <c r="D190" s="219">
        <v>1</v>
      </c>
      <c r="E190" s="204">
        <v>7.64</v>
      </c>
      <c r="F190" s="193">
        <v>0.23</v>
      </c>
      <c r="G190" s="193">
        <v>2.85</v>
      </c>
      <c r="H190" s="205">
        <f t="shared" si="14"/>
        <v>5.01</v>
      </c>
    </row>
    <row r="191" spans="1:10" s="186" customFormat="1" ht="19.5" customHeight="1">
      <c r="A191" s="244"/>
      <c r="B191" s="218" t="s">
        <v>3656</v>
      </c>
      <c r="C191" s="219">
        <v>1</v>
      </c>
      <c r="D191" s="219">
        <v>1</v>
      </c>
      <c r="E191" s="204">
        <v>2.25</v>
      </c>
      <c r="F191" s="193">
        <v>0.23</v>
      </c>
      <c r="G191" s="193">
        <v>2.85</v>
      </c>
      <c r="H191" s="205">
        <f t="shared" si="14"/>
        <v>1.47</v>
      </c>
    </row>
    <row r="192" spans="1:10" s="186" customFormat="1" ht="19.5" customHeight="1">
      <c r="A192" s="244"/>
      <c r="B192" s="218" t="s">
        <v>3657</v>
      </c>
      <c r="C192" s="219">
        <v>1</v>
      </c>
      <c r="D192" s="219">
        <v>-1</v>
      </c>
      <c r="E192" s="204">
        <v>1.8</v>
      </c>
      <c r="F192" s="193">
        <v>0.23</v>
      </c>
      <c r="G192" s="193">
        <v>2.1</v>
      </c>
      <c r="H192" s="205">
        <f t="shared" si="14"/>
        <v>-0.87</v>
      </c>
    </row>
    <row r="193" spans="1:9" s="186" customFormat="1" ht="19.5" customHeight="1">
      <c r="A193" s="244"/>
      <c r="B193" s="218" t="s">
        <v>3658</v>
      </c>
      <c r="C193" s="219">
        <v>1</v>
      </c>
      <c r="D193" s="219">
        <v>-1</v>
      </c>
      <c r="E193" s="204">
        <v>2.1</v>
      </c>
      <c r="F193" s="193">
        <v>0.23</v>
      </c>
      <c r="G193" s="193">
        <v>2.1</v>
      </c>
      <c r="H193" s="205">
        <f t="shared" si="14"/>
        <v>-1.01</v>
      </c>
    </row>
    <row r="194" spans="1:9" s="186" customFormat="1" ht="19.5" customHeight="1">
      <c r="A194" s="244"/>
      <c r="B194" s="218" t="s">
        <v>3659</v>
      </c>
      <c r="C194" s="219">
        <v>1</v>
      </c>
      <c r="D194" s="219">
        <v>-2</v>
      </c>
      <c r="E194" s="204">
        <v>1</v>
      </c>
      <c r="F194" s="193">
        <v>0.23</v>
      </c>
      <c r="G194" s="193">
        <v>2.1</v>
      </c>
      <c r="H194" s="205">
        <f t="shared" si="14"/>
        <v>-0.97</v>
      </c>
    </row>
    <row r="195" spans="1:9" s="186" customFormat="1" ht="19.5" customHeight="1">
      <c r="A195" s="244"/>
      <c r="B195" s="218" t="s">
        <v>3660</v>
      </c>
      <c r="C195" s="219">
        <v>1</v>
      </c>
      <c r="D195" s="219">
        <v>-1</v>
      </c>
      <c r="E195" s="204">
        <v>1.2</v>
      </c>
      <c r="F195" s="193">
        <v>0.23</v>
      </c>
      <c r="G195" s="193">
        <v>2.1</v>
      </c>
      <c r="H195" s="205">
        <f t="shared" si="14"/>
        <v>-0.57999999999999996</v>
      </c>
    </row>
    <row r="196" spans="1:9" s="186" customFormat="1" ht="19.5" customHeight="1">
      <c r="A196" s="244"/>
      <c r="B196" s="218" t="s">
        <v>3661</v>
      </c>
      <c r="C196" s="219">
        <v>1</v>
      </c>
      <c r="D196" s="219">
        <v>-1</v>
      </c>
      <c r="E196" s="204">
        <v>1.2</v>
      </c>
      <c r="F196" s="193">
        <v>0.23</v>
      </c>
      <c r="G196" s="193">
        <v>2.1</v>
      </c>
      <c r="H196" s="205">
        <f t="shared" si="14"/>
        <v>-0.57999999999999996</v>
      </c>
    </row>
    <row r="197" spans="1:9" s="186" customFormat="1" ht="19.5" customHeight="1">
      <c r="A197" s="244"/>
      <c r="B197" s="218" t="s">
        <v>3662</v>
      </c>
      <c r="C197" s="219">
        <v>1</v>
      </c>
      <c r="D197" s="219">
        <v>-1</v>
      </c>
      <c r="E197" s="204">
        <v>1.8</v>
      </c>
      <c r="F197" s="193">
        <v>0.23</v>
      </c>
      <c r="G197" s="193">
        <v>1.35</v>
      </c>
      <c r="H197" s="205">
        <f t="shared" si="14"/>
        <v>-0.56000000000000005</v>
      </c>
    </row>
    <row r="198" spans="1:9" s="186" customFormat="1" ht="19.5" customHeight="1">
      <c r="A198" s="244"/>
      <c r="B198" s="218" t="s">
        <v>3663</v>
      </c>
      <c r="C198" s="219">
        <v>1</v>
      </c>
      <c r="D198" s="219">
        <v>-1</v>
      </c>
      <c r="E198" s="204">
        <v>1.05</v>
      </c>
      <c r="F198" s="193">
        <v>0.23</v>
      </c>
      <c r="G198" s="193">
        <v>1.35</v>
      </c>
      <c r="H198" s="205">
        <f t="shared" si="14"/>
        <v>-0.33</v>
      </c>
    </row>
    <row r="199" spans="1:9" s="186" customFormat="1" ht="19.5" customHeight="1">
      <c r="A199" s="244"/>
      <c r="B199" s="218" t="s">
        <v>3664</v>
      </c>
      <c r="C199" s="219">
        <v>1</v>
      </c>
      <c r="D199" s="219">
        <v>-1</v>
      </c>
      <c r="E199" s="204">
        <v>0.9</v>
      </c>
      <c r="F199" s="193">
        <v>0.23</v>
      </c>
      <c r="G199" s="193">
        <v>2.1</v>
      </c>
      <c r="H199" s="205">
        <f t="shared" si="14"/>
        <v>-0.43</v>
      </c>
    </row>
    <row r="200" spans="1:9" s="186" customFormat="1" ht="19.5" customHeight="1">
      <c r="A200" s="244"/>
      <c r="B200" s="218" t="s">
        <v>3665</v>
      </c>
      <c r="C200" s="219">
        <v>1</v>
      </c>
      <c r="D200" s="219">
        <v>-3</v>
      </c>
      <c r="E200" s="204">
        <v>0.9</v>
      </c>
      <c r="F200" s="193">
        <v>0.23</v>
      </c>
      <c r="G200" s="193">
        <v>0.6</v>
      </c>
      <c r="H200" s="205">
        <f t="shared" si="14"/>
        <v>-0.37</v>
      </c>
    </row>
    <row r="201" spans="1:9" s="186" customFormat="1" ht="19.5" customHeight="1">
      <c r="A201" s="244"/>
      <c r="B201" s="218" t="s">
        <v>3666</v>
      </c>
      <c r="C201" s="219">
        <v>1</v>
      </c>
      <c r="D201" s="219">
        <v>-2</v>
      </c>
      <c r="E201" s="204">
        <v>1.35</v>
      </c>
      <c r="F201" s="193">
        <v>0.23</v>
      </c>
      <c r="G201" s="193">
        <v>1.35</v>
      </c>
      <c r="H201" s="205">
        <f t="shared" si="14"/>
        <v>-0.84</v>
      </c>
    </row>
    <row r="202" spans="1:9" s="186" customFormat="1" ht="19.5" customHeight="1">
      <c r="A202" s="244"/>
      <c r="B202" s="218" t="s">
        <v>3667</v>
      </c>
      <c r="C202" s="219">
        <v>1</v>
      </c>
      <c r="D202" s="219">
        <v>-2</v>
      </c>
      <c r="E202" s="204">
        <v>1.5</v>
      </c>
      <c r="F202" s="193">
        <v>0.23</v>
      </c>
      <c r="G202" s="193">
        <v>1.35</v>
      </c>
      <c r="H202" s="205">
        <f t="shared" si="14"/>
        <v>-0.93</v>
      </c>
    </row>
    <row r="203" spans="1:9" s="186" customFormat="1" ht="19.5" customHeight="1">
      <c r="A203" s="244"/>
      <c r="B203" s="218" t="s">
        <v>3668</v>
      </c>
      <c r="C203" s="219">
        <v>1</v>
      </c>
      <c r="D203" s="219">
        <v>-1</v>
      </c>
      <c r="E203" s="204">
        <v>2.4</v>
      </c>
      <c r="F203" s="193">
        <v>0.23</v>
      </c>
      <c r="G203" s="193">
        <v>2.1</v>
      </c>
      <c r="H203" s="205">
        <f t="shared" si="14"/>
        <v>-1.1599999999999999</v>
      </c>
    </row>
    <row r="204" spans="1:9" s="186" customFormat="1" ht="19.5" customHeight="1">
      <c r="A204" s="244"/>
      <c r="B204" s="218" t="s">
        <v>3669</v>
      </c>
      <c r="C204" s="219">
        <v>1</v>
      </c>
      <c r="D204" s="219">
        <v>1</v>
      </c>
      <c r="E204" s="204">
        <v>34.25</v>
      </c>
      <c r="F204" s="193">
        <v>0.23</v>
      </c>
      <c r="G204" s="193">
        <v>0.3</v>
      </c>
      <c r="H204" s="205">
        <f t="shared" si="14"/>
        <v>2.36</v>
      </c>
    </row>
    <row r="205" spans="1:9" s="186" customFormat="1" ht="19.5" customHeight="1">
      <c r="A205" s="244"/>
      <c r="B205" s="189" t="s">
        <v>3670</v>
      </c>
      <c r="C205" s="219"/>
      <c r="D205" s="219"/>
      <c r="E205" s="204"/>
      <c r="F205" s="193"/>
      <c r="G205" s="193"/>
      <c r="H205" s="205">
        <f t="shared" si="14"/>
        <v>0</v>
      </c>
    </row>
    <row r="206" spans="1:9" s="186" customFormat="1" ht="19.5" customHeight="1">
      <c r="A206" s="244"/>
      <c r="B206" s="218" t="s">
        <v>3604</v>
      </c>
      <c r="C206" s="219">
        <v>-1</v>
      </c>
      <c r="D206" s="219">
        <v>2</v>
      </c>
      <c r="E206" s="204">
        <v>1.81</v>
      </c>
      <c r="F206" s="193">
        <v>0.23</v>
      </c>
      <c r="G206" s="193">
        <v>0.05</v>
      </c>
      <c r="H206" s="205">
        <f t="shared" si="14"/>
        <v>-0.04</v>
      </c>
      <c r="I206" s="225">
        <f>SUM(D199:D200)</f>
        <v>-4</v>
      </c>
    </row>
    <row r="207" spans="1:9" s="186" customFormat="1" ht="19.5" customHeight="1">
      <c r="A207" s="244"/>
      <c r="B207" s="218" t="s">
        <v>3605</v>
      </c>
      <c r="C207" s="219">
        <v>-1</v>
      </c>
      <c r="D207" s="219">
        <v>2</v>
      </c>
      <c r="E207" s="204">
        <v>1.96</v>
      </c>
      <c r="F207" s="193">
        <v>0.23</v>
      </c>
      <c r="G207" s="193">
        <v>0.05</v>
      </c>
      <c r="H207" s="205">
        <f t="shared" si="14"/>
        <v>-0.05</v>
      </c>
      <c r="I207" s="225"/>
    </row>
    <row r="208" spans="1:9" s="186" customFormat="1" ht="19.5" customHeight="1">
      <c r="A208" s="244"/>
      <c r="B208" s="218" t="s">
        <v>3606</v>
      </c>
      <c r="C208" s="219">
        <v>-1</v>
      </c>
      <c r="D208" s="219">
        <v>1</v>
      </c>
      <c r="E208" s="204">
        <v>2.2599999999999998</v>
      </c>
      <c r="F208" s="193">
        <v>0.23</v>
      </c>
      <c r="G208" s="193">
        <v>0.05</v>
      </c>
      <c r="H208" s="205">
        <f t="shared" si="14"/>
        <v>-0.03</v>
      </c>
      <c r="I208" s="225"/>
    </row>
    <row r="209" spans="1:10" s="186" customFormat="1" ht="19.5" customHeight="1">
      <c r="A209" s="244"/>
      <c r="B209" s="218" t="s">
        <v>3607</v>
      </c>
      <c r="C209" s="219">
        <v>-1</v>
      </c>
      <c r="D209" s="219">
        <v>1</v>
      </c>
      <c r="E209" s="204">
        <v>1.51</v>
      </c>
      <c r="F209" s="193">
        <v>0.23</v>
      </c>
      <c r="G209" s="193">
        <v>0.05</v>
      </c>
      <c r="H209" s="205">
        <f t="shared" si="14"/>
        <v>-0.02</v>
      </c>
      <c r="I209" s="225"/>
    </row>
    <row r="210" spans="1:10" s="186" customFormat="1" ht="19.5" customHeight="1">
      <c r="A210" s="244"/>
      <c r="B210" s="216" t="s">
        <v>3608</v>
      </c>
      <c r="C210" s="219"/>
      <c r="D210" s="219"/>
      <c r="E210" s="204"/>
      <c r="F210" s="193"/>
      <c r="G210" s="193"/>
      <c r="H210" s="205">
        <f t="shared" si="14"/>
        <v>0</v>
      </c>
      <c r="I210" s="225"/>
      <c r="J210" s="190">
        <v>-1</v>
      </c>
    </row>
    <row r="211" spans="1:10" s="186" customFormat="1" ht="19.5" customHeight="1">
      <c r="A211" s="187"/>
      <c r="B211" s="192" t="s">
        <v>3491</v>
      </c>
      <c r="C211" s="190">
        <v>-1</v>
      </c>
      <c r="D211" s="190">
        <v>1</v>
      </c>
      <c r="E211" s="250">
        <v>37.26</v>
      </c>
      <c r="F211" s="187">
        <v>0.23</v>
      </c>
      <c r="G211" s="193">
        <v>0.15</v>
      </c>
      <c r="H211" s="205">
        <f t="shared" si="14"/>
        <v>-1.29</v>
      </c>
    </row>
    <row r="212" spans="1:10" s="186" customFormat="1" ht="19.5" customHeight="1">
      <c r="A212" s="244"/>
      <c r="B212" s="218" t="s">
        <v>3654</v>
      </c>
      <c r="C212" s="219">
        <v>-1</v>
      </c>
      <c r="D212" s="219">
        <v>2</v>
      </c>
      <c r="E212" s="204">
        <v>4.3499999999999996</v>
      </c>
      <c r="F212" s="193">
        <v>0.23</v>
      </c>
      <c r="G212" s="193">
        <v>0.15</v>
      </c>
      <c r="H212" s="205">
        <f t="shared" si="14"/>
        <v>-0.3</v>
      </c>
    </row>
    <row r="213" spans="1:10" s="186" customFormat="1" ht="19.5" customHeight="1">
      <c r="A213" s="244"/>
      <c r="B213" s="218" t="s">
        <v>3655</v>
      </c>
      <c r="C213" s="219">
        <v>-1</v>
      </c>
      <c r="D213" s="219">
        <v>1</v>
      </c>
      <c r="E213" s="204">
        <v>7.64</v>
      </c>
      <c r="F213" s="193">
        <v>0.23</v>
      </c>
      <c r="G213" s="193">
        <v>0.15</v>
      </c>
      <c r="H213" s="205">
        <f t="shared" si="14"/>
        <v>-0.26</v>
      </c>
    </row>
    <row r="214" spans="1:10" s="186" customFormat="1" ht="19.5" customHeight="1">
      <c r="A214" s="244"/>
      <c r="B214" s="218" t="s">
        <v>3656</v>
      </c>
      <c r="C214" s="219">
        <v>-1</v>
      </c>
      <c r="D214" s="219">
        <v>1</v>
      </c>
      <c r="E214" s="204">
        <v>2.25</v>
      </c>
      <c r="F214" s="193">
        <v>0.23</v>
      </c>
      <c r="G214" s="193">
        <v>0.15</v>
      </c>
      <c r="H214" s="205">
        <f t="shared" si="14"/>
        <v>-0.08</v>
      </c>
    </row>
    <row r="215" spans="1:10" s="186" customFormat="1" ht="19.5" customHeight="1">
      <c r="A215" s="187"/>
      <c r="B215" s="189" t="s">
        <v>3498</v>
      </c>
      <c r="C215" s="190"/>
      <c r="D215" s="190"/>
      <c r="E215" s="204"/>
      <c r="F215" s="193"/>
      <c r="G215" s="193"/>
      <c r="H215" s="205"/>
    </row>
    <row r="216" spans="1:10" s="186" customFormat="1" ht="19.5" customHeight="1">
      <c r="A216" s="244"/>
      <c r="B216" s="192" t="s">
        <v>3499</v>
      </c>
      <c r="C216" s="190">
        <v>-1</v>
      </c>
      <c r="D216" s="190">
        <v>8</v>
      </c>
      <c r="E216" s="204">
        <v>0.23</v>
      </c>
      <c r="F216" s="193">
        <v>0.38</v>
      </c>
      <c r="G216" s="193">
        <v>2.85</v>
      </c>
      <c r="H216" s="205">
        <f>ROUND(PRODUCT(C216:G216),2)</f>
        <v>-1.99</v>
      </c>
    </row>
    <row r="217" spans="1:10" s="186" customFormat="1" ht="19.5" customHeight="1">
      <c r="A217" s="244"/>
      <c r="B217" s="192" t="s">
        <v>3500</v>
      </c>
      <c r="C217" s="190">
        <v>-1</v>
      </c>
      <c r="D217" s="190">
        <v>1</v>
      </c>
      <c r="E217" s="204">
        <v>0.23</v>
      </c>
      <c r="F217" s="193">
        <v>0.45</v>
      </c>
      <c r="G217" s="193">
        <v>2.85</v>
      </c>
      <c r="H217" s="205">
        <f>ROUND(PRODUCT(C217:G217),2)</f>
        <v>-0.28999999999999998</v>
      </c>
    </row>
    <row r="218" spans="1:10" s="186" customFormat="1" ht="19.5" customHeight="1">
      <c r="A218" s="244"/>
      <c r="B218" s="192" t="s">
        <v>3501</v>
      </c>
      <c r="C218" s="190">
        <v>-1</v>
      </c>
      <c r="D218" s="190">
        <v>8</v>
      </c>
      <c r="E218" s="204">
        <v>0.23</v>
      </c>
      <c r="F218" s="193">
        <v>0.45</v>
      </c>
      <c r="G218" s="193">
        <v>2.85</v>
      </c>
      <c r="H218" s="205">
        <f>ROUND(PRODUCT(C218:G218),2)</f>
        <v>-2.36</v>
      </c>
    </row>
    <row r="219" spans="1:10" s="186" customFormat="1" ht="19.5" customHeight="1">
      <c r="A219" s="244"/>
      <c r="B219" s="192" t="s">
        <v>3502</v>
      </c>
      <c r="C219" s="190">
        <v>-1</v>
      </c>
      <c r="D219" s="233">
        <v>2</v>
      </c>
      <c r="E219" s="204">
        <v>0.23</v>
      </c>
      <c r="F219" s="193">
        <v>0.45</v>
      </c>
      <c r="G219" s="193">
        <v>2.85</v>
      </c>
      <c r="H219" s="205">
        <f>ROUND(PRODUCT(C219:G219),2)</f>
        <v>-0.59</v>
      </c>
    </row>
    <row r="220" spans="1:10" s="237" customFormat="1" ht="19.5" customHeight="1">
      <c r="A220" s="246"/>
      <c r="B220" s="232" t="s">
        <v>3599</v>
      </c>
      <c r="C220" s="233">
        <v>-1</v>
      </c>
      <c r="D220" s="233">
        <v>1</v>
      </c>
      <c r="E220" s="251">
        <v>0.23</v>
      </c>
      <c r="F220" s="235">
        <v>0.6</v>
      </c>
      <c r="G220" s="235">
        <v>2.85</v>
      </c>
      <c r="H220" s="247">
        <f>ROUND(PRODUCT(C220:G220),2)</f>
        <v>-0.39</v>
      </c>
    </row>
    <row r="221" spans="1:10" s="186" customFormat="1" ht="19.5" customHeight="1">
      <c r="A221" s="244"/>
      <c r="B221" s="218"/>
      <c r="C221" s="219"/>
      <c r="D221" s="219"/>
      <c r="E221" s="204"/>
      <c r="F221" s="193"/>
      <c r="G221" s="213"/>
      <c r="H221" s="205">
        <f>J222-I222</f>
        <v>0.02</v>
      </c>
    </row>
    <row r="222" spans="1:10" s="186" customFormat="1" ht="19.5" customHeight="1">
      <c r="A222" s="244"/>
      <c r="B222" s="218"/>
      <c r="C222" s="219"/>
      <c r="D222" s="219"/>
      <c r="E222" s="204"/>
      <c r="F222" s="193"/>
      <c r="G222" s="213" t="s">
        <v>1827</v>
      </c>
      <c r="H222" s="247">
        <f>J222</f>
        <v>24.2</v>
      </c>
      <c r="I222" s="186">
        <f>SUM(H187:H220)</f>
        <v>24.18</v>
      </c>
      <c r="J222" s="186">
        <f>ROUNDUP(I222,1)</f>
        <v>24.2</v>
      </c>
    </row>
    <row r="223" spans="1:10" s="199" customFormat="1" ht="19.5" customHeight="1">
      <c r="A223" s="182"/>
      <c r="B223" s="216"/>
      <c r="C223" s="220"/>
      <c r="D223" s="220"/>
      <c r="E223" s="252"/>
      <c r="F223" s="197" t="s">
        <v>2560</v>
      </c>
      <c r="G223" s="197">
        <f>H222</f>
        <v>24.2</v>
      </c>
      <c r="H223" s="248" t="s">
        <v>1749</v>
      </c>
    </row>
    <row r="224" spans="1:10" s="186" customFormat="1" ht="19.5" customHeight="1">
      <c r="A224" s="244"/>
      <c r="B224" s="216" t="s">
        <v>3671</v>
      </c>
      <c r="C224" s="219"/>
      <c r="D224" s="219"/>
      <c r="E224" s="204"/>
      <c r="F224" s="193"/>
      <c r="G224" s="213"/>
      <c r="H224" s="205"/>
    </row>
    <row r="225" spans="1:8" s="186" customFormat="1" ht="19.5" customHeight="1">
      <c r="A225" s="244"/>
      <c r="B225" s="218" t="s">
        <v>3652</v>
      </c>
      <c r="C225" s="219">
        <v>1</v>
      </c>
      <c r="D225" s="219">
        <v>1</v>
      </c>
      <c r="E225" s="204">
        <v>52.88</v>
      </c>
      <c r="F225" s="193">
        <v>0.23</v>
      </c>
      <c r="G225" s="193">
        <v>2.85</v>
      </c>
      <c r="H225" s="205">
        <f>ROUND(PRODUCT(C225:G225),2)</f>
        <v>34.659999999999997</v>
      </c>
    </row>
    <row r="226" spans="1:8" s="186" customFormat="1" ht="19.5" customHeight="1">
      <c r="A226" s="244"/>
      <c r="B226" s="218" t="s">
        <v>3662</v>
      </c>
      <c r="C226" s="219">
        <v>1</v>
      </c>
      <c r="D226" s="219">
        <v>-2</v>
      </c>
      <c r="E226" s="204">
        <v>1.8</v>
      </c>
      <c r="F226" s="193">
        <v>0.23</v>
      </c>
      <c r="G226" s="193">
        <v>1.35</v>
      </c>
      <c r="H226" s="205">
        <f t="shared" ref="H226:H260" si="15">ROUND(PRODUCT(C226:G226),2)</f>
        <v>-1.1200000000000001</v>
      </c>
    </row>
    <row r="227" spans="1:8" s="186" customFormat="1" ht="19.5" customHeight="1">
      <c r="A227" s="244"/>
      <c r="B227" s="218" t="s">
        <v>3666</v>
      </c>
      <c r="C227" s="219">
        <v>1</v>
      </c>
      <c r="D227" s="219">
        <v>-3</v>
      </c>
      <c r="E227" s="204">
        <v>1.35</v>
      </c>
      <c r="F227" s="193">
        <v>0.23</v>
      </c>
      <c r="G227" s="193">
        <v>1.35</v>
      </c>
      <c r="H227" s="205">
        <f t="shared" si="15"/>
        <v>-1.26</v>
      </c>
    </row>
    <row r="228" spans="1:8" s="186" customFormat="1" ht="19.5" customHeight="1">
      <c r="A228" s="244"/>
      <c r="B228" s="218" t="s">
        <v>3667</v>
      </c>
      <c r="C228" s="219">
        <v>1</v>
      </c>
      <c r="D228" s="219">
        <v>-4</v>
      </c>
      <c r="E228" s="204">
        <v>1.5</v>
      </c>
      <c r="F228" s="193">
        <v>0.23</v>
      </c>
      <c r="G228" s="193">
        <v>1.35</v>
      </c>
      <c r="H228" s="205">
        <f t="shared" si="15"/>
        <v>-1.86</v>
      </c>
    </row>
    <row r="229" spans="1:8" s="186" customFormat="1" ht="19.5" customHeight="1">
      <c r="A229" s="244"/>
      <c r="B229" s="218" t="s">
        <v>3672</v>
      </c>
      <c r="C229" s="219">
        <v>1</v>
      </c>
      <c r="D229" s="219">
        <v>-1</v>
      </c>
      <c r="E229" s="204">
        <v>1.8</v>
      </c>
      <c r="F229" s="193">
        <v>0.23</v>
      </c>
      <c r="G229" s="193">
        <v>1.35</v>
      </c>
      <c r="H229" s="205">
        <f t="shared" si="15"/>
        <v>-0.56000000000000005</v>
      </c>
    </row>
    <row r="230" spans="1:8" s="186" customFormat="1" ht="19.5" customHeight="1">
      <c r="A230" s="244"/>
      <c r="B230" s="218" t="s">
        <v>3673</v>
      </c>
      <c r="C230" s="219">
        <v>1</v>
      </c>
      <c r="D230" s="219">
        <v>-2</v>
      </c>
      <c r="E230" s="204">
        <v>1.35</v>
      </c>
      <c r="F230" s="193">
        <v>0.23</v>
      </c>
      <c r="G230" s="193">
        <v>0.6</v>
      </c>
      <c r="H230" s="205">
        <f t="shared" si="15"/>
        <v>-0.37</v>
      </c>
    </row>
    <row r="231" spans="1:8" s="186" customFormat="1" ht="19.5" customHeight="1">
      <c r="A231" s="244"/>
      <c r="B231" s="218" t="s">
        <v>3674</v>
      </c>
      <c r="C231" s="219">
        <v>1</v>
      </c>
      <c r="D231" s="219">
        <v>-2</v>
      </c>
      <c r="E231" s="204">
        <v>0.75</v>
      </c>
      <c r="F231" s="193">
        <v>0.23</v>
      </c>
      <c r="G231" s="193">
        <v>0.6</v>
      </c>
      <c r="H231" s="205">
        <f t="shared" si="15"/>
        <v>-0.21</v>
      </c>
    </row>
    <row r="232" spans="1:8" s="186" customFormat="1" ht="19.5" customHeight="1">
      <c r="A232" s="244"/>
      <c r="B232" s="218" t="s">
        <v>3675</v>
      </c>
      <c r="C232" s="219">
        <v>1</v>
      </c>
      <c r="D232" s="219">
        <v>-1</v>
      </c>
      <c r="E232" s="204">
        <v>1.35</v>
      </c>
      <c r="F232" s="193">
        <v>0.23</v>
      </c>
      <c r="G232" s="193">
        <v>0.6</v>
      </c>
      <c r="H232" s="205">
        <f t="shared" si="15"/>
        <v>-0.19</v>
      </c>
    </row>
    <row r="233" spans="1:8" s="186" customFormat="1" ht="30" customHeight="1">
      <c r="A233" s="244"/>
      <c r="B233" s="192" t="s">
        <v>3676</v>
      </c>
      <c r="C233" s="190">
        <v>1</v>
      </c>
      <c r="D233" s="190">
        <v>2</v>
      </c>
      <c r="E233" s="204">
        <v>14.72</v>
      </c>
      <c r="F233" s="193">
        <v>0.23</v>
      </c>
      <c r="G233" s="193">
        <v>2.85</v>
      </c>
      <c r="H233" s="205">
        <f t="shared" si="15"/>
        <v>19.3</v>
      </c>
    </row>
    <row r="234" spans="1:8" s="186" customFormat="1" ht="19.5" customHeight="1">
      <c r="A234" s="244"/>
      <c r="B234" s="192" t="s">
        <v>3659</v>
      </c>
      <c r="C234" s="190">
        <v>1</v>
      </c>
      <c r="D234" s="190">
        <v>-4</v>
      </c>
      <c r="E234" s="204">
        <v>1</v>
      </c>
      <c r="F234" s="193">
        <v>0.23</v>
      </c>
      <c r="G234" s="193">
        <v>2.1</v>
      </c>
      <c r="H234" s="205">
        <f t="shared" si="15"/>
        <v>-1.93</v>
      </c>
    </row>
    <row r="235" spans="1:8" s="186" customFormat="1" ht="30" customHeight="1">
      <c r="A235" s="244"/>
      <c r="B235" s="192" t="s">
        <v>3677</v>
      </c>
      <c r="C235" s="190">
        <v>1</v>
      </c>
      <c r="D235" s="190">
        <v>3</v>
      </c>
      <c r="E235" s="204">
        <v>4.3499999999999996</v>
      </c>
      <c r="F235" s="193">
        <v>0.23</v>
      </c>
      <c r="G235" s="193">
        <v>2.85</v>
      </c>
      <c r="H235" s="205">
        <f t="shared" si="15"/>
        <v>8.5500000000000007</v>
      </c>
    </row>
    <row r="236" spans="1:8" s="186" customFormat="1" ht="19.5" customHeight="1">
      <c r="A236" s="244"/>
      <c r="B236" s="192" t="s">
        <v>3678</v>
      </c>
      <c r="C236" s="190">
        <v>1</v>
      </c>
      <c r="D236" s="190">
        <v>3</v>
      </c>
      <c r="E236" s="204">
        <v>4.3499999999999996</v>
      </c>
      <c r="F236" s="193">
        <v>0.23</v>
      </c>
      <c r="G236" s="193">
        <v>2.85</v>
      </c>
      <c r="H236" s="205">
        <f t="shared" si="15"/>
        <v>8.5500000000000007</v>
      </c>
    </row>
    <row r="237" spans="1:8" s="186" customFormat="1" ht="19.5" customHeight="1">
      <c r="A237" s="244"/>
      <c r="B237" s="192" t="s">
        <v>3679</v>
      </c>
      <c r="C237" s="190">
        <v>1</v>
      </c>
      <c r="D237" s="190">
        <v>1</v>
      </c>
      <c r="E237" s="204">
        <v>8.7200000000000006</v>
      </c>
      <c r="F237" s="193">
        <v>0.23</v>
      </c>
      <c r="G237" s="193">
        <v>2.85</v>
      </c>
      <c r="H237" s="205">
        <f t="shared" si="15"/>
        <v>5.72</v>
      </c>
    </row>
    <row r="238" spans="1:8" s="186" customFormat="1" ht="19.5" customHeight="1">
      <c r="A238" s="244"/>
      <c r="B238" s="192" t="s">
        <v>3659</v>
      </c>
      <c r="C238" s="190">
        <v>1</v>
      </c>
      <c r="D238" s="190">
        <v>-1</v>
      </c>
      <c r="E238" s="204">
        <v>1</v>
      </c>
      <c r="F238" s="193">
        <v>0.23</v>
      </c>
      <c r="G238" s="193">
        <v>2.1</v>
      </c>
      <c r="H238" s="205">
        <f t="shared" si="15"/>
        <v>-0.48</v>
      </c>
    </row>
    <row r="239" spans="1:8" s="186" customFormat="1" ht="19.5" customHeight="1">
      <c r="A239" s="244"/>
      <c r="B239" s="192" t="s">
        <v>3680</v>
      </c>
      <c r="C239" s="190">
        <v>1</v>
      </c>
      <c r="D239" s="190">
        <v>-1</v>
      </c>
      <c r="E239" s="204">
        <v>2.4</v>
      </c>
      <c r="F239" s="193">
        <v>0.23</v>
      </c>
      <c r="G239" s="193">
        <v>2.1</v>
      </c>
      <c r="H239" s="205">
        <f t="shared" si="15"/>
        <v>-1.1599999999999999</v>
      </c>
    </row>
    <row r="240" spans="1:8" s="186" customFormat="1" ht="19.5" customHeight="1">
      <c r="A240" s="244"/>
      <c r="B240" s="192" t="s">
        <v>3681</v>
      </c>
      <c r="C240" s="190">
        <v>1</v>
      </c>
      <c r="D240" s="190">
        <v>-2</v>
      </c>
      <c r="E240" s="204">
        <v>1</v>
      </c>
      <c r="F240" s="193">
        <v>0.23</v>
      </c>
      <c r="G240" s="193">
        <v>2.1</v>
      </c>
      <c r="H240" s="205">
        <f t="shared" si="15"/>
        <v>-0.97</v>
      </c>
    </row>
    <row r="241" spans="1:8" s="186" customFormat="1" ht="19.5" customHeight="1">
      <c r="A241" s="244"/>
      <c r="B241" s="192" t="s">
        <v>3682</v>
      </c>
      <c r="C241" s="190">
        <v>1</v>
      </c>
      <c r="D241" s="190">
        <v>1</v>
      </c>
      <c r="E241" s="204">
        <v>2</v>
      </c>
      <c r="F241" s="193">
        <v>0.23</v>
      </c>
      <c r="G241" s="193">
        <v>3.18</v>
      </c>
      <c r="H241" s="205">
        <f t="shared" si="15"/>
        <v>1.46</v>
      </c>
    </row>
    <row r="242" spans="1:8" s="186" customFormat="1" ht="19.5" customHeight="1">
      <c r="A242" s="244"/>
      <c r="B242" s="192" t="s">
        <v>3683</v>
      </c>
      <c r="C242" s="190">
        <v>1</v>
      </c>
      <c r="D242" s="190">
        <v>-1</v>
      </c>
      <c r="E242" s="204">
        <v>3</v>
      </c>
      <c r="F242" s="193">
        <v>0.23</v>
      </c>
      <c r="G242" s="193">
        <v>2.85</v>
      </c>
      <c r="H242" s="205">
        <f t="shared" si="15"/>
        <v>-1.97</v>
      </c>
    </row>
    <row r="243" spans="1:8" s="186" customFormat="1" ht="19.5" customHeight="1">
      <c r="A243" s="187"/>
      <c r="B243" s="216" t="str">
        <f t="shared" ref="B243:G243" si="16">B205</f>
        <v>D/F Sill Slab</v>
      </c>
      <c r="C243" s="219">
        <f t="shared" si="16"/>
        <v>0</v>
      </c>
      <c r="D243" s="219">
        <f t="shared" si="16"/>
        <v>0</v>
      </c>
      <c r="E243" s="253">
        <f t="shared" si="16"/>
        <v>0</v>
      </c>
      <c r="F243" s="244">
        <f t="shared" si="16"/>
        <v>0</v>
      </c>
      <c r="G243" s="193">
        <f t="shared" si="16"/>
        <v>0</v>
      </c>
      <c r="H243" s="205">
        <f t="shared" si="15"/>
        <v>0</v>
      </c>
    </row>
    <row r="244" spans="1:8" s="186" customFormat="1" ht="19.5" customHeight="1">
      <c r="A244" s="244"/>
      <c r="B244" s="192" t="s">
        <v>3642</v>
      </c>
      <c r="C244" s="190">
        <v>-1</v>
      </c>
      <c r="D244" s="190">
        <v>3</v>
      </c>
      <c r="E244" s="205">
        <v>1.81</v>
      </c>
      <c r="F244" s="194">
        <v>0.23</v>
      </c>
      <c r="G244" s="193">
        <v>0.05</v>
      </c>
      <c r="H244" s="205">
        <f t="shared" si="15"/>
        <v>-0.06</v>
      </c>
    </row>
    <row r="245" spans="1:8" s="186" customFormat="1" ht="19.5" customHeight="1">
      <c r="A245" s="244"/>
      <c r="B245" s="192" t="s">
        <v>3605</v>
      </c>
      <c r="C245" s="190">
        <v>-1</v>
      </c>
      <c r="D245" s="190">
        <v>4</v>
      </c>
      <c r="E245" s="205">
        <v>1.96</v>
      </c>
      <c r="F245" s="194">
        <v>0.23</v>
      </c>
      <c r="G245" s="193">
        <v>0.05</v>
      </c>
      <c r="H245" s="205">
        <f>ROUND(PRODUCT(C245:G245),2)</f>
        <v>-0.09</v>
      </c>
    </row>
    <row r="246" spans="1:8" s="186" customFormat="1" ht="19.5" customHeight="1">
      <c r="A246" s="244"/>
      <c r="B246" s="192" t="s">
        <v>3632</v>
      </c>
      <c r="C246" s="190">
        <v>-1</v>
      </c>
      <c r="D246" s="190">
        <v>1</v>
      </c>
      <c r="E246" s="205">
        <v>2.2599999999999998</v>
      </c>
      <c r="F246" s="194">
        <v>0.23</v>
      </c>
      <c r="G246" s="193">
        <v>0.05</v>
      </c>
      <c r="H246" s="205">
        <f t="shared" si="15"/>
        <v>-0.03</v>
      </c>
    </row>
    <row r="247" spans="1:8" s="186" customFormat="1" ht="19.5" customHeight="1">
      <c r="A247" s="244"/>
      <c r="B247" s="192" t="s">
        <v>3606</v>
      </c>
      <c r="C247" s="190">
        <v>-1</v>
      </c>
      <c r="D247" s="190">
        <v>2</v>
      </c>
      <c r="E247" s="205">
        <v>2.2599999999999998</v>
      </c>
      <c r="F247" s="194">
        <v>0.23</v>
      </c>
      <c r="G247" s="193">
        <v>0.05</v>
      </c>
      <c r="H247" s="205">
        <f t="shared" si="15"/>
        <v>-0.05</v>
      </c>
    </row>
    <row r="248" spans="1:8" s="186" customFormat="1" ht="19.5" customHeight="1">
      <c r="A248" s="244"/>
      <c r="B248" s="189" t="s">
        <v>3684</v>
      </c>
      <c r="C248" s="190"/>
      <c r="D248" s="190"/>
      <c r="E248" s="205"/>
      <c r="F248" s="194"/>
      <c r="G248" s="193"/>
      <c r="H248" s="205">
        <f t="shared" si="15"/>
        <v>0</v>
      </c>
    </row>
    <row r="249" spans="1:8" s="186" customFormat="1" ht="19.5" customHeight="1">
      <c r="A249" s="244"/>
      <c r="B249" s="192" t="s">
        <v>3491</v>
      </c>
      <c r="C249" s="190">
        <v>-1</v>
      </c>
      <c r="D249" s="190">
        <v>1</v>
      </c>
      <c r="E249" s="205">
        <v>52.88</v>
      </c>
      <c r="F249" s="194">
        <v>0.23</v>
      </c>
      <c r="G249" s="193">
        <v>0.15</v>
      </c>
      <c r="H249" s="205">
        <f t="shared" si="15"/>
        <v>-1.82</v>
      </c>
    </row>
    <row r="250" spans="1:8" s="186" customFormat="1" ht="19.5" customHeight="1">
      <c r="A250" s="244"/>
      <c r="B250" s="192" t="s">
        <v>3685</v>
      </c>
      <c r="C250" s="190">
        <v>-1</v>
      </c>
      <c r="D250" s="190">
        <v>2</v>
      </c>
      <c r="E250" s="205">
        <v>11.26</v>
      </c>
      <c r="F250" s="194">
        <v>0.23</v>
      </c>
      <c r="G250" s="193">
        <v>0.15</v>
      </c>
      <c r="H250" s="205">
        <f t="shared" si="15"/>
        <v>-0.78</v>
      </c>
    </row>
    <row r="251" spans="1:8" s="186" customFormat="1" ht="19.5" customHeight="1">
      <c r="A251" s="244"/>
      <c r="B251" s="192" t="s">
        <v>3685</v>
      </c>
      <c r="C251" s="190">
        <v>-1</v>
      </c>
      <c r="D251" s="190">
        <v>4</v>
      </c>
      <c r="E251" s="205">
        <v>4.3499999999999996</v>
      </c>
      <c r="F251" s="194">
        <v>0.23</v>
      </c>
      <c r="G251" s="193">
        <v>0.15</v>
      </c>
      <c r="H251" s="205">
        <f t="shared" si="15"/>
        <v>-0.6</v>
      </c>
    </row>
    <row r="252" spans="1:8" s="186" customFormat="1" ht="19.5" customHeight="1">
      <c r="A252" s="244"/>
      <c r="B252" s="192" t="s">
        <v>3686</v>
      </c>
      <c r="C252" s="190">
        <v>-1</v>
      </c>
      <c r="D252" s="190">
        <v>1</v>
      </c>
      <c r="E252" s="205">
        <v>14.72</v>
      </c>
      <c r="F252" s="194">
        <v>0.23</v>
      </c>
      <c r="G252" s="193">
        <v>0.15</v>
      </c>
      <c r="H252" s="205">
        <f t="shared" si="15"/>
        <v>-0.51</v>
      </c>
    </row>
    <row r="253" spans="1:8" s="186" customFormat="1" ht="19.5" customHeight="1">
      <c r="A253" s="244"/>
      <c r="B253" s="192" t="s">
        <v>3686</v>
      </c>
      <c r="C253" s="190">
        <v>-1</v>
      </c>
      <c r="D253" s="190">
        <v>1</v>
      </c>
      <c r="E253" s="205">
        <v>9.8800000000000008</v>
      </c>
      <c r="F253" s="194">
        <v>0.23</v>
      </c>
      <c r="G253" s="193">
        <v>0.15</v>
      </c>
      <c r="H253" s="205">
        <f t="shared" si="15"/>
        <v>-0.34</v>
      </c>
    </row>
    <row r="254" spans="1:8" s="186" customFormat="1" ht="19.5" customHeight="1">
      <c r="A254" s="244"/>
      <c r="B254" s="192" t="s">
        <v>3686</v>
      </c>
      <c r="C254" s="190">
        <v>-1</v>
      </c>
      <c r="D254" s="190">
        <v>1</v>
      </c>
      <c r="E254" s="205">
        <v>4.8499999999999996</v>
      </c>
      <c r="F254" s="194">
        <v>0.23</v>
      </c>
      <c r="G254" s="193">
        <v>0.15</v>
      </c>
      <c r="H254" s="205">
        <f t="shared" si="15"/>
        <v>-0.17</v>
      </c>
    </row>
    <row r="255" spans="1:8" s="186" customFormat="1" ht="19.5" customHeight="1">
      <c r="A255" s="244"/>
      <c r="B255" s="192" t="s">
        <v>3686</v>
      </c>
      <c r="C255" s="190">
        <v>-1</v>
      </c>
      <c r="D255" s="190">
        <v>1</v>
      </c>
      <c r="E255" s="205">
        <v>2.4</v>
      </c>
      <c r="F255" s="194">
        <v>0.23</v>
      </c>
      <c r="G255" s="193">
        <v>0.15</v>
      </c>
      <c r="H255" s="205">
        <f t="shared" si="15"/>
        <v>-0.08</v>
      </c>
    </row>
    <row r="256" spans="1:8" s="186" customFormat="1" ht="19.5" customHeight="1">
      <c r="A256" s="187"/>
      <c r="B256" s="189" t="s">
        <v>3498</v>
      </c>
      <c r="C256" s="190"/>
      <c r="D256" s="190"/>
      <c r="E256" s="204"/>
      <c r="F256" s="193"/>
      <c r="G256" s="193"/>
      <c r="H256" s="205">
        <f t="shared" si="15"/>
        <v>0</v>
      </c>
    </row>
    <row r="257" spans="1:10" s="186" customFormat="1" ht="19.5" customHeight="1">
      <c r="A257" s="244"/>
      <c r="B257" s="192" t="s">
        <v>3499</v>
      </c>
      <c r="C257" s="190">
        <v>-1</v>
      </c>
      <c r="D257" s="190">
        <v>8</v>
      </c>
      <c r="E257" s="204">
        <v>0.23</v>
      </c>
      <c r="F257" s="193">
        <v>0.38</v>
      </c>
      <c r="G257" s="193">
        <v>2.85</v>
      </c>
      <c r="H257" s="205">
        <f t="shared" si="15"/>
        <v>-1.99</v>
      </c>
    </row>
    <row r="258" spans="1:10" s="186" customFormat="1" ht="19.5" customHeight="1">
      <c r="A258" s="244"/>
      <c r="B258" s="192" t="s">
        <v>3500</v>
      </c>
      <c r="C258" s="190">
        <v>-1</v>
      </c>
      <c r="D258" s="190">
        <v>1</v>
      </c>
      <c r="E258" s="204">
        <v>0.23</v>
      </c>
      <c r="F258" s="193">
        <v>0.45</v>
      </c>
      <c r="G258" s="193">
        <v>2.85</v>
      </c>
      <c r="H258" s="205">
        <f t="shared" si="15"/>
        <v>-0.28999999999999998</v>
      </c>
    </row>
    <row r="259" spans="1:10" s="186" customFormat="1" ht="19.5" customHeight="1">
      <c r="A259" s="244"/>
      <c r="B259" s="192" t="s">
        <v>3501</v>
      </c>
      <c r="C259" s="190">
        <v>-1</v>
      </c>
      <c r="D259" s="190">
        <v>8</v>
      </c>
      <c r="E259" s="204">
        <v>0.23</v>
      </c>
      <c r="F259" s="193">
        <v>0.45</v>
      </c>
      <c r="G259" s="193">
        <v>2.85</v>
      </c>
      <c r="H259" s="205">
        <f t="shared" si="15"/>
        <v>-2.36</v>
      </c>
    </row>
    <row r="260" spans="1:10" s="186" customFormat="1" ht="19.5" customHeight="1">
      <c r="A260" s="244"/>
      <c r="B260" s="192" t="s">
        <v>3502</v>
      </c>
      <c r="C260" s="190">
        <v>-1</v>
      </c>
      <c r="D260" s="233">
        <v>2</v>
      </c>
      <c r="E260" s="204">
        <v>0.23</v>
      </c>
      <c r="F260" s="193">
        <v>0.45</v>
      </c>
      <c r="G260" s="193">
        <v>2.85</v>
      </c>
      <c r="H260" s="205">
        <f t="shared" si="15"/>
        <v>-0.59</v>
      </c>
    </row>
    <row r="261" spans="1:10" s="237" customFormat="1" ht="19.5" customHeight="1">
      <c r="A261" s="246"/>
      <c r="B261" s="232" t="s">
        <v>3599</v>
      </c>
      <c r="C261" s="233">
        <v>-1</v>
      </c>
      <c r="D261" s="233">
        <v>1</v>
      </c>
      <c r="E261" s="251">
        <v>0.23</v>
      </c>
      <c r="F261" s="235">
        <v>0.6</v>
      </c>
      <c r="G261" s="235">
        <v>2.85</v>
      </c>
      <c r="H261" s="247">
        <f>ROUND(PRODUCT(C261:G261),2)</f>
        <v>-0.39</v>
      </c>
    </row>
    <row r="262" spans="1:10" s="186" customFormat="1" ht="19.5" customHeight="1">
      <c r="A262" s="244"/>
      <c r="B262" s="218"/>
      <c r="C262" s="219"/>
      <c r="D262" s="219"/>
      <c r="E262" s="204"/>
      <c r="F262" s="193"/>
      <c r="G262" s="213"/>
      <c r="H262" s="205">
        <f>J263-I263</f>
        <v>0.09</v>
      </c>
    </row>
    <row r="263" spans="1:10" s="186" customFormat="1" ht="19.5" customHeight="1">
      <c r="A263" s="244"/>
      <c r="B263" s="218"/>
      <c r="C263" s="219"/>
      <c r="D263" s="219"/>
      <c r="E263" s="204"/>
      <c r="F263" s="193"/>
      <c r="G263" s="213" t="s">
        <v>1827</v>
      </c>
      <c r="H263" s="247">
        <f>J263</f>
        <v>56.1</v>
      </c>
      <c r="I263" s="186">
        <f>SUM(H225:H261)</f>
        <v>56.01</v>
      </c>
      <c r="J263" s="186">
        <f>ROUNDUP(I263,1)</f>
        <v>56.1</v>
      </c>
    </row>
    <row r="264" spans="1:10" s="199" customFormat="1" ht="19.5" customHeight="1">
      <c r="A264" s="182"/>
      <c r="B264" s="216"/>
      <c r="C264" s="220"/>
      <c r="D264" s="220"/>
      <c r="E264" s="252"/>
      <c r="F264" s="197" t="s">
        <v>2560</v>
      </c>
      <c r="G264" s="197">
        <f>H263</f>
        <v>56.1</v>
      </c>
      <c r="H264" s="248" t="s">
        <v>1749</v>
      </c>
    </row>
    <row r="265" spans="1:10" s="186" customFormat="1" ht="19.5" customHeight="1">
      <c r="A265" s="244"/>
      <c r="B265" s="216" t="s">
        <v>3687</v>
      </c>
      <c r="C265" s="219"/>
      <c r="D265" s="219"/>
      <c r="E265" s="204"/>
      <c r="F265" s="193"/>
      <c r="G265" s="213"/>
      <c r="H265" s="205"/>
    </row>
    <row r="266" spans="1:10" s="186" customFormat="1" ht="19.5" customHeight="1">
      <c r="A266" s="244"/>
      <c r="B266" s="192" t="s">
        <v>3688</v>
      </c>
      <c r="C266" s="190">
        <v>1</v>
      </c>
      <c r="D266" s="190">
        <v>1</v>
      </c>
      <c r="E266" s="204">
        <v>52.88</v>
      </c>
      <c r="F266" s="193">
        <v>0.23</v>
      </c>
      <c r="G266" s="193">
        <v>2.85</v>
      </c>
      <c r="H266" s="205">
        <f>ROUND(PRODUCT(C266:G266),2)</f>
        <v>34.659999999999997</v>
      </c>
    </row>
    <row r="267" spans="1:10" s="186" customFormat="1" ht="19.5" customHeight="1">
      <c r="A267" s="244"/>
      <c r="B267" s="218" t="s">
        <v>3662</v>
      </c>
      <c r="C267" s="219">
        <v>1</v>
      </c>
      <c r="D267" s="219">
        <v>-1</v>
      </c>
      <c r="E267" s="204">
        <v>1.8</v>
      </c>
      <c r="F267" s="193">
        <v>0.23</v>
      </c>
      <c r="G267" s="193">
        <v>1.35</v>
      </c>
      <c r="H267" s="205">
        <f t="shared" ref="H267:H283" si="17">ROUND(PRODUCT(C267:G267),2)</f>
        <v>-0.56000000000000005</v>
      </c>
    </row>
    <row r="268" spans="1:10" s="186" customFormat="1" ht="19.5" customHeight="1">
      <c r="A268" s="244"/>
      <c r="B268" s="218" t="s">
        <v>3666</v>
      </c>
      <c r="C268" s="219">
        <v>1</v>
      </c>
      <c r="D268" s="219">
        <v>-7</v>
      </c>
      <c r="E268" s="204">
        <v>1.35</v>
      </c>
      <c r="F268" s="193">
        <v>0.23</v>
      </c>
      <c r="G268" s="193">
        <v>1.35</v>
      </c>
      <c r="H268" s="205">
        <f t="shared" si="17"/>
        <v>-2.93</v>
      </c>
    </row>
    <row r="269" spans="1:10" s="186" customFormat="1" ht="19.5" customHeight="1">
      <c r="A269" s="244"/>
      <c r="B269" s="218" t="s">
        <v>3667</v>
      </c>
      <c r="C269" s="219">
        <v>1</v>
      </c>
      <c r="D269" s="219">
        <v>-4</v>
      </c>
      <c r="E269" s="204">
        <v>1.5</v>
      </c>
      <c r="F269" s="193">
        <v>0.23</v>
      </c>
      <c r="G269" s="193">
        <v>1.35</v>
      </c>
      <c r="H269" s="205">
        <f t="shared" si="17"/>
        <v>-1.86</v>
      </c>
    </row>
    <row r="270" spans="1:10" s="186" customFormat="1" ht="19.5" customHeight="1">
      <c r="A270" s="244"/>
      <c r="B270" s="218" t="s">
        <v>3672</v>
      </c>
      <c r="C270" s="219">
        <v>1</v>
      </c>
      <c r="D270" s="219">
        <v>-1</v>
      </c>
      <c r="E270" s="204">
        <v>1.8</v>
      </c>
      <c r="F270" s="193">
        <v>0.23</v>
      </c>
      <c r="G270" s="193">
        <v>1.35</v>
      </c>
      <c r="H270" s="205">
        <f t="shared" si="17"/>
        <v>-0.56000000000000005</v>
      </c>
    </row>
    <row r="271" spans="1:10" s="186" customFormat="1" ht="19.5" customHeight="1">
      <c r="A271" s="187"/>
      <c r="B271" s="218" t="s">
        <v>3674</v>
      </c>
      <c r="C271" s="219">
        <v>1</v>
      </c>
      <c r="D271" s="219">
        <v>-7</v>
      </c>
      <c r="E271" s="204">
        <v>0.75</v>
      </c>
      <c r="F271" s="193">
        <v>0.23</v>
      </c>
      <c r="G271" s="193">
        <v>0.6</v>
      </c>
      <c r="H271" s="205">
        <f t="shared" si="17"/>
        <v>-0.72</v>
      </c>
    </row>
    <row r="272" spans="1:10" s="186" customFormat="1" ht="30" customHeight="1">
      <c r="A272" s="244"/>
      <c r="B272" s="192" t="s">
        <v>3689</v>
      </c>
      <c r="C272" s="190">
        <v>1</v>
      </c>
      <c r="D272" s="190">
        <v>1</v>
      </c>
      <c r="E272" s="204">
        <v>14.72</v>
      </c>
      <c r="F272" s="193">
        <v>0.23</v>
      </c>
      <c r="G272" s="193">
        <v>2.85</v>
      </c>
      <c r="H272" s="205">
        <f t="shared" si="17"/>
        <v>9.65</v>
      </c>
    </row>
    <row r="273" spans="1:8" s="186" customFormat="1" ht="19.5" customHeight="1">
      <c r="A273" s="244"/>
      <c r="B273" s="192" t="s">
        <v>3659</v>
      </c>
      <c r="C273" s="190">
        <v>1</v>
      </c>
      <c r="D273" s="190">
        <v>-1</v>
      </c>
      <c r="E273" s="204">
        <v>1</v>
      </c>
      <c r="F273" s="193">
        <v>0.23</v>
      </c>
      <c r="G273" s="193">
        <v>2.1</v>
      </c>
      <c r="H273" s="205">
        <f t="shared" si="17"/>
        <v>-0.48</v>
      </c>
    </row>
    <row r="274" spans="1:8" s="186" customFormat="1" ht="19.5" customHeight="1">
      <c r="A274" s="244"/>
      <c r="B274" s="192" t="s">
        <v>3680</v>
      </c>
      <c r="C274" s="190">
        <v>1</v>
      </c>
      <c r="D274" s="190">
        <v>-1</v>
      </c>
      <c r="E274" s="204">
        <v>2.4</v>
      </c>
      <c r="F274" s="193">
        <v>0.23</v>
      </c>
      <c r="G274" s="193">
        <v>2.1</v>
      </c>
      <c r="H274" s="205">
        <f t="shared" si="17"/>
        <v>-1.1599999999999999</v>
      </c>
    </row>
    <row r="275" spans="1:8" s="186" customFormat="1" ht="19.5" customHeight="1">
      <c r="A275" s="244"/>
      <c r="B275" s="192" t="s">
        <v>3690</v>
      </c>
      <c r="C275" s="190">
        <v>1</v>
      </c>
      <c r="D275" s="190">
        <v>-1</v>
      </c>
      <c r="E275" s="204">
        <v>1.63</v>
      </c>
      <c r="F275" s="193">
        <v>0.23</v>
      </c>
      <c r="G275" s="193">
        <v>2.1</v>
      </c>
      <c r="H275" s="205">
        <f t="shared" si="17"/>
        <v>-0.79</v>
      </c>
    </row>
    <row r="276" spans="1:8" s="186" customFormat="1" ht="19.5" customHeight="1">
      <c r="A276" s="244"/>
      <c r="B276" s="192" t="s">
        <v>3691</v>
      </c>
      <c r="C276" s="190">
        <v>1</v>
      </c>
      <c r="D276" s="190">
        <v>1</v>
      </c>
      <c r="E276" s="204">
        <v>9.8800000000000008</v>
      </c>
      <c r="F276" s="193">
        <v>0.23</v>
      </c>
      <c r="G276" s="193">
        <v>2.85</v>
      </c>
      <c r="H276" s="205">
        <f t="shared" si="17"/>
        <v>6.48</v>
      </c>
    </row>
    <row r="277" spans="1:8" s="186" customFormat="1" ht="19.5" customHeight="1">
      <c r="A277" s="187"/>
      <c r="B277" s="192" t="s">
        <v>3659</v>
      </c>
      <c r="C277" s="190">
        <v>1</v>
      </c>
      <c r="D277" s="190">
        <v>-2</v>
      </c>
      <c r="E277" s="204">
        <v>1</v>
      </c>
      <c r="F277" s="193">
        <v>0.23</v>
      </c>
      <c r="G277" s="193">
        <v>2.1</v>
      </c>
      <c r="H277" s="205">
        <f t="shared" si="17"/>
        <v>-0.97</v>
      </c>
    </row>
    <row r="278" spans="1:8" s="186" customFormat="1" ht="19.5" customHeight="1">
      <c r="A278" s="187"/>
      <c r="B278" s="192" t="s">
        <v>3692</v>
      </c>
      <c r="C278" s="190">
        <v>1</v>
      </c>
      <c r="D278" s="190">
        <v>1</v>
      </c>
      <c r="E278" s="204">
        <v>2.4</v>
      </c>
      <c r="F278" s="193">
        <v>0.23</v>
      </c>
      <c r="G278" s="193">
        <v>3.15</v>
      </c>
      <c r="H278" s="205">
        <f t="shared" si="17"/>
        <v>1.74</v>
      </c>
    </row>
    <row r="279" spans="1:8" s="186" customFormat="1" ht="19.5" customHeight="1">
      <c r="A279" s="187"/>
      <c r="B279" s="192" t="s">
        <v>3659</v>
      </c>
      <c r="C279" s="190">
        <v>1</v>
      </c>
      <c r="D279" s="190">
        <v>-1</v>
      </c>
      <c r="E279" s="204">
        <v>1</v>
      </c>
      <c r="F279" s="193">
        <v>0.23</v>
      </c>
      <c r="G279" s="193">
        <v>2.1</v>
      </c>
      <c r="H279" s="205">
        <f t="shared" si="17"/>
        <v>-0.48</v>
      </c>
    </row>
    <row r="280" spans="1:8" s="186" customFormat="1" ht="30" customHeight="1">
      <c r="A280" s="187"/>
      <c r="B280" s="192" t="s">
        <v>3693</v>
      </c>
      <c r="C280" s="190">
        <v>1</v>
      </c>
      <c r="D280" s="190">
        <v>3</v>
      </c>
      <c r="E280" s="204">
        <v>4.3499999999999996</v>
      </c>
      <c r="F280" s="193">
        <v>0.23</v>
      </c>
      <c r="G280" s="193">
        <v>2.85</v>
      </c>
      <c r="H280" s="205">
        <f t="shared" si="17"/>
        <v>8.5500000000000007</v>
      </c>
    </row>
    <row r="281" spans="1:8" s="186" customFormat="1" ht="19.5" customHeight="1">
      <c r="A281" s="187"/>
      <c r="B281" s="192" t="s">
        <v>3659</v>
      </c>
      <c r="C281" s="190">
        <v>1</v>
      </c>
      <c r="D281" s="190">
        <v>-1</v>
      </c>
      <c r="E281" s="204">
        <v>1</v>
      </c>
      <c r="F281" s="193">
        <v>0.23</v>
      </c>
      <c r="G281" s="193">
        <v>2.1</v>
      </c>
      <c r="H281" s="205">
        <f t="shared" si="17"/>
        <v>-0.48</v>
      </c>
    </row>
    <row r="282" spans="1:8" s="186" customFormat="1" ht="19.5" customHeight="1">
      <c r="A282" s="187"/>
      <c r="B282" s="192" t="s">
        <v>3694</v>
      </c>
      <c r="C282" s="190">
        <v>1</v>
      </c>
      <c r="D282" s="190">
        <v>1</v>
      </c>
      <c r="E282" s="204">
        <v>4.3499999999999996</v>
      </c>
      <c r="F282" s="193">
        <v>0.23</v>
      </c>
      <c r="G282" s="193">
        <v>2.85</v>
      </c>
      <c r="H282" s="205">
        <f t="shared" si="17"/>
        <v>2.85</v>
      </c>
    </row>
    <row r="283" spans="1:8" s="186" customFormat="1" ht="19.5" customHeight="1">
      <c r="A283" s="187"/>
      <c r="B283" s="192" t="s">
        <v>3695</v>
      </c>
      <c r="C283" s="190">
        <v>1</v>
      </c>
      <c r="D283" s="190">
        <v>1</v>
      </c>
      <c r="E283" s="204">
        <v>6.68</v>
      </c>
      <c r="F283" s="193">
        <v>0.23</v>
      </c>
      <c r="G283" s="193">
        <v>2.85</v>
      </c>
      <c r="H283" s="205">
        <f t="shared" si="17"/>
        <v>4.38</v>
      </c>
    </row>
    <row r="284" spans="1:8" s="186" customFormat="1" ht="19.5" customHeight="1">
      <c r="A284" s="187"/>
      <c r="B284" s="189" t="s">
        <v>3670</v>
      </c>
      <c r="C284" s="190"/>
      <c r="D284" s="190"/>
      <c r="E284" s="204"/>
      <c r="F284" s="193"/>
      <c r="G284" s="193"/>
      <c r="H284" s="205"/>
    </row>
    <row r="285" spans="1:8" s="186" customFormat="1" ht="19.5" customHeight="1">
      <c r="A285" s="244"/>
      <c r="B285" s="192" t="str">
        <f>B227</f>
        <v>D/F W</v>
      </c>
      <c r="C285" s="190">
        <v>-1</v>
      </c>
      <c r="D285" s="190">
        <v>7</v>
      </c>
      <c r="E285" s="205">
        <f>E227</f>
        <v>1.35</v>
      </c>
      <c r="F285" s="194">
        <f>F227</f>
        <v>0.23</v>
      </c>
      <c r="G285" s="193">
        <f>G227</f>
        <v>1.35</v>
      </c>
      <c r="H285" s="205">
        <f>ROUND(PRODUCT(C285:G285),2)</f>
        <v>-2.93</v>
      </c>
    </row>
    <row r="286" spans="1:8" s="186" customFormat="1" ht="19.5" customHeight="1">
      <c r="A286" s="244"/>
      <c r="B286" s="192" t="s">
        <v>3605</v>
      </c>
      <c r="C286" s="190">
        <v>-1</v>
      </c>
      <c r="D286" s="190">
        <v>4</v>
      </c>
      <c r="E286" s="205">
        <v>1.96</v>
      </c>
      <c r="F286" s="194">
        <v>0.23</v>
      </c>
      <c r="G286" s="193">
        <v>0.05</v>
      </c>
      <c r="H286" s="205">
        <f>ROUND(PRODUCT(C286:G286),2)</f>
        <v>-0.09</v>
      </c>
    </row>
    <row r="287" spans="1:8" s="186" customFormat="1" ht="19.5" customHeight="1">
      <c r="A287" s="244"/>
      <c r="B287" s="192" t="s">
        <v>3632</v>
      </c>
      <c r="C287" s="190">
        <v>-1</v>
      </c>
      <c r="D287" s="190">
        <v>1</v>
      </c>
      <c r="E287" s="205">
        <v>2.2599999999999998</v>
      </c>
      <c r="F287" s="194">
        <v>0.23</v>
      </c>
      <c r="G287" s="193">
        <v>0.05</v>
      </c>
      <c r="H287" s="205">
        <f>ROUND(PRODUCT(C287:G287),2)</f>
        <v>-0.03</v>
      </c>
    </row>
    <row r="288" spans="1:8" s="186" customFormat="1" ht="19.5" customHeight="1">
      <c r="A288" s="244"/>
      <c r="B288" s="192" t="s">
        <v>3606</v>
      </c>
      <c r="C288" s="190">
        <v>-1</v>
      </c>
      <c r="D288" s="190">
        <v>1</v>
      </c>
      <c r="E288" s="205">
        <v>2.2599999999999998</v>
      </c>
      <c r="F288" s="194">
        <v>0.23</v>
      </c>
      <c r="G288" s="193">
        <v>0.05</v>
      </c>
      <c r="H288" s="205">
        <f>ROUND(PRODUCT(C288:G288),2)</f>
        <v>-0.03</v>
      </c>
    </row>
    <row r="289" spans="1:8" s="186" customFormat="1" ht="19.5" customHeight="1">
      <c r="A289" s="187"/>
      <c r="B289" s="189" t="s">
        <v>3684</v>
      </c>
      <c r="C289" s="190"/>
      <c r="D289" s="190"/>
      <c r="E289" s="204"/>
      <c r="F289" s="193"/>
      <c r="G289" s="193"/>
      <c r="H289" s="205"/>
    </row>
    <row r="290" spans="1:8" s="186" customFormat="1" ht="19.5" customHeight="1">
      <c r="A290" s="244"/>
      <c r="B290" s="192" t="s">
        <v>3491</v>
      </c>
      <c r="C290" s="190">
        <v>-1</v>
      </c>
      <c r="D290" s="190">
        <v>1</v>
      </c>
      <c r="E290" s="205">
        <v>52.88</v>
      </c>
      <c r="F290" s="194">
        <v>0.23</v>
      </c>
      <c r="G290" s="193">
        <v>0.15</v>
      </c>
      <c r="H290" s="205">
        <f t="shared" ref="H290:H296" si="18">ROUND(PRODUCT(C290:G290),2)</f>
        <v>-1.82</v>
      </c>
    </row>
    <row r="291" spans="1:8" s="186" customFormat="1" ht="19.5" customHeight="1">
      <c r="A291" s="244"/>
      <c r="B291" s="192" t="s">
        <v>3685</v>
      </c>
      <c r="C291" s="190">
        <v>-1</v>
      </c>
      <c r="D291" s="190">
        <v>2</v>
      </c>
      <c r="E291" s="205">
        <v>11.26</v>
      </c>
      <c r="F291" s="194">
        <v>0.23</v>
      </c>
      <c r="G291" s="193">
        <v>0.15</v>
      </c>
      <c r="H291" s="205">
        <f t="shared" si="18"/>
        <v>-0.78</v>
      </c>
    </row>
    <row r="292" spans="1:8" s="186" customFormat="1" ht="19.5" customHeight="1">
      <c r="A292" s="244"/>
      <c r="B292" s="192" t="s">
        <v>3685</v>
      </c>
      <c r="C292" s="190">
        <v>-1</v>
      </c>
      <c r="D292" s="190">
        <v>3</v>
      </c>
      <c r="E292" s="205">
        <v>4.3499999999999996</v>
      </c>
      <c r="F292" s="194">
        <v>0.23</v>
      </c>
      <c r="G292" s="193">
        <v>0.15</v>
      </c>
      <c r="H292" s="205">
        <f t="shared" si="18"/>
        <v>-0.45</v>
      </c>
    </row>
    <row r="293" spans="1:8" s="186" customFormat="1" ht="19.5" customHeight="1">
      <c r="A293" s="244"/>
      <c r="B293" s="192" t="s">
        <v>3686</v>
      </c>
      <c r="C293" s="190">
        <v>-1</v>
      </c>
      <c r="D293" s="190">
        <v>1</v>
      </c>
      <c r="E293" s="205">
        <v>14.72</v>
      </c>
      <c r="F293" s="194">
        <v>0.23</v>
      </c>
      <c r="G293" s="193">
        <v>0.15</v>
      </c>
      <c r="H293" s="205">
        <f t="shared" si="18"/>
        <v>-0.51</v>
      </c>
    </row>
    <row r="294" spans="1:8" s="186" customFormat="1" ht="19.5" customHeight="1">
      <c r="A294" s="244"/>
      <c r="B294" s="192" t="s">
        <v>3686</v>
      </c>
      <c r="C294" s="190">
        <v>-1</v>
      </c>
      <c r="D294" s="190">
        <v>1</v>
      </c>
      <c r="E294" s="205">
        <v>9.8800000000000008</v>
      </c>
      <c r="F294" s="194">
        <v>0.23</v>
      </c>
      <c r="G294" s="193">
        <v>0.15</v>
      </c>
      <c r="H294" s="205">
        <f t="shared" si="18"/>
        <v>-0.34</v>
      </c>
    </row>
    <row r="295" spans="1:8" s="186" customFormat="1" ht="19.5" customHeight="1">
      <c r="A295" s="244"/>
      <c r="B295" s="192" t="s">
        <v>3686</v>
      </c>
      <c r="C295" s="190">
        <v>-1</v>
      </c>
      <c r="D295" s="190">
        <v>1</v>
      </c>
      <c r="E295" s="205">
        <v>4.8499999999999996</v>
      </c>
      <c r="F295" s="194">
        <v>0.23</v>
      </c>
      <c r="G295" s="193">
        <v>0.15</v>
      </c>
      <c r="H295" s="205">
        <f t="shared" si="18"/>
        <v>-0.17</v>
      </c>
    </row>
    <row r="296" spans="1:8" s="186" customFormat="1" ht="19.5" customHeight="1">
      <c r="A296" s="244"/>
      <c r="B296" s="192" t="s">
        <v>3696</v>
      </c>
      <c r="C296" s="190">
        <v>-1</v>
      </c>
      <c r="D296" s="190">
        <v>1</v>
      </c>
      <c r="E296" s="205">
        <v>2.4</v>
      </c>
      <c r="F296" s="194">
        <v>0.23</v>
      </c>
      <c r="G296" s="193">
        <v>0.15</v>
      </c>
      <c r="H296" s="205">
        <f t="shared" si="18"/>
        <v>-0.08</v>
      </c>
    </row>
    <row r="297" spans="1:8" s="186" customFormat="1" ht="19.5" customHeight="1">
      <c r="A297" s="187"/>
      <c r="B297" s="189" t="s">
        <v>3697</v>
      </c>
      <c r="C297" s="190"/>
      <c r="D297" s="190"/>
      <c r="E297" s="204"/>
      <c r="F297" s="193"/>
      <c r="G297" s="193"/>
      <c r="H297" s="205"/>
    </row>
    <row r="298" spans="1:8" s="186" customFormat="1" ht="19.5" customHeight="1">
      <c r="A298" s="244"/>
      <c r="B298" s="192" t="s">
        <v>3499</v>
      </c>
      <c r="C298" s="190">
        <v>-1</v>
      </c>
      <c r="D298" s="190">
        <v>8</v>
      </c>
      <c r="E298" s="204">
        <v>0.23</v>
      </c>
      <c r="F298" s="193">
        <v>0.38</v>
      </c>
      <c r="G298" s="193">
        <v>2.85</v>
      </c>
      <c r="H298" s="205">
        <f t="shared" ref="H298:H306" si="19">ROUND(PRODUCT(C298:G298),2)</f>
        <v>-1.99</v>
      </c>
    </row>
    <row r="299" spans="1:8" s="186" customFormat="1" ht="19.5" customHeight="1">
      <c r="A299" s="244"/>
      <c r="B299" s="192" t="s">
        <v>3500</v>
      </c>
      <c r="C299" s="190">
        <v>-1</v>
      </c>
      <c r="D299" s="190">
        <v>1</v>
      </c>
      <c r="E299" s="204">
        <v>0.23</v>
      </c>
      <c r="F299" s="193">
        <v>0.45</v>
      </c>
      <c r="G299" s="193">
        <v>2.85</v>
      </c>
      <c r="H299" s="205">
        <f t="shared" si="19"/>
        <v>-0.28999999999999998</v>
      </c>
    </row>
    <row r="300" spans="1:8" s="186" customFormat="1" ht="19.5" customHeight="1">
      <c r="A300" s="244"/>
      <c r="B300" s="192" t="s">
        <v>3501</v>
      </c>
      <c r="C300" s="190">
        <v>-1</v>
      </c>
      <c r="D300" s="190">
        <v>8</v>
      </c>
      <c r="E300" s="204">
        <v>0.23</v>
      </c>
      <c r="F300" s="193">
        <v>0.45</v>
      </c>
      <c r="G300" s="193">
        <v>2.85</v>
      </c>
      <c r="H300" s="205">
        <f t="shared" si="19"/>
        <v>-2.36</v>
      </c>
    </row>
    <row r="301" spans="1:8" s="186" customFormat="1" ht="19.5" customHeight="1">
      <c r="A301" s="244"/>
      <c r="B301" s="192" t="s">
        <v>3502</v>
      </c>
      <c r="C301" s="190">
        <v>-1</v>
      </c>
      <c r="D301" s="233">
        <v>2</v>
      </c>
      <c r="E301" s="204">
        <v>0.23</v>
      </c>
      <c r="F301" s="193">
        <v>0.45</v>
      </c>
      <c r="G301" s="193">
        <v>2.85</v>
      </c>
      <c r="H301" s="205">
        <f t="shared" si="19"/>
        <v>-0.59</v>
      </c>
    </row>
    <row r="302" spans="1:8" s="237" customFormat="1" ht="19.5" customHeight="1">
      <c r="A302" s="246"/>
      <c r="B302" s="232" t="s">
        <v>3599</v>
      </c>
      <c r="C302" s="233">
        <v>-1</v>
      </c>
      <c r="D302" s="233">
        <v>1</v>
      </c>
      <c r="E302" s="251">
        <v>0.23</v>
      </c>
      <c r="F302" s="235">
        <v>0.6</v>
      </c>
      <c r="G302" s="235">
        <v>2.85</v>
      </c>
      <c r="H302" s="247">
        <f>ROUND(PRODUCT(C302:G302),2)</f>
        <v>-0.39</v>
      </c>
    </row>
    <row r="303" spans="1:8" s="186" customFormat="1" ht="19.5" customHeight="1">
      <c r="A303" s="187"/>
      <c r="B303" s="189" t="s">
        <v>3643</v>
      </c>
      <c r="C303" s="190"/>
      <c r="D303" s="190"/>
      <c r="E303" s="205"/>
      <c r="F303" s="194"/>
      <c r="G303" s="193"/>
      <c r="H303" s="205">
        <f t="shared" si="19"/>
        <v>0</v>
      </c>
    </row>
    <row r="304" spans="1:8" s="186" customFormat="1" ht="19.5" customHeight="1">
      <c r="A304" s="187"/>
      <c r="B304" s="192" t="s">
        <v>3499</v>
      </c>
      <c r="C304" s="190">
        <v>-1</v>
      </c>
      <c r="D304" s="190">
        <v>8</v>
      </c>
      <c r="E304" s="205">
        <v>0.23</v>
      </c>
      <c r="F304" s="194">
        <v>0.38</v>
      </c>
      <c r="G304" s="193">
        <v>1.2</v>
      </c>
      <c r="H304" s="205">
        <f t="shared" si="19"/>
        <v>-0.84</v>
      </c>
    </row>
    <row r="305" spans="1:10" s="186" customFormat="1" ht="19.5" customHeight="1">
      <c r="A305" s="187"/>
      <c r="B305" s="192" t="s">
        <v>3500</v>
      </c>
      <c r="C305" s="190">
        <v>-1</v>
      </c>
      <c r="D305" s="190">
        <v>1</v>
      </c>
      <c r="E305" s="205">
        <v>0.23</v>
      </c>
      <c r="F305" s="194">
        <v>0.45</v>
      </c>
      <c r="G305" s="193">
        <v>1.2</v>
      </c>
      <c r="H305" s="205">
        <f t="shared" si="19"/>
        <v>-0.12</v>
      </c>
    </row>
    <row r="306" spans="1:10" s="186" customFormat="1" ht="19.5" customHeight="1">
      <c r="A306" s="187"/>
      <c r="B306" s="192" t="s">
        <v>3501</v>
      </c>
      <c r="C306" s="190">
        <v>-1</v>
      </c>
      <c r="D306" s="190">
        <v>3</v>
      </c>
      <c r="E306" s="205">
        <v>0.23</v>
      </c>
      <c r="F306" s="194">
        <v>0.45</v>
      </c>
      <c r="G306" s="193">
        <v>1.2</v>
      </c>
      <c r="H306" s="205">
        <f t="shared" si="19"/>
        <v>-0.37</v>
      </c>
    </row>
    <row r="307" spans="1:10" s="186" customFormat="1" ht="19.5" customHeight="1">
      <c r="A307" s="244"/>
      <c r="B307" s="218"/>
      <c r="C307" s="219"/>
      <c r="D307" s="219"/>
      <c r="E307" s="204"/>
      <c r="F307" s="193"/>
      <c r="G307" s="213"/>
      <c r="H307" s="205">
        <f>J308-I308</f>
        <v>0.06</v>
      </c>
    </row>
    <row r="308" spans="1:10" s="186" customFormat="1" ht="19.5" customHeight="1">
      <c r="A308" s="244"/>
      <c r="B308" s="218"/>
      <c r="C308" s="219"/>
      <c r="D308" s="219"/>
      <c r="E308" s="204"/>
      <c r="F308" s="193"/>
      <c r="G308" s="213" t="s">
        <v>1827</v>
      </c>
      <c r="H308" s="247">
        <f>J308</f>
        <v>43.2</v>
      </c>
      <c r="I308" s="186">
        <f>SUM(H266:H306)</f>
        <v>43.14</v>
      </c>
      <c r="J308" s="186">
        <f>ROUNDUP(I308,1)</f>
        <v>43.2</v>
      </c>
    </row>
    <row r="309" spans="1:10" s="199" customFormat="1" ht="19.5" customHeight="1">
      <c r="A309" s="182"/>
      <c r="B309" s="216"/>
      <c r="C309" s="220"/>
      <c r="D309" s="220"/>
      <c r="E309" s="252"/>
      <c r="F309" s="197" t="s">
        <v>2560</v>
      </c>
      <c r="G309" s="197">
        <f>H308</f>
        <v>43.2</v>
      </c>
      <c r="H309" s="248" t="s">
        <v>1749</v>
      </c>
    </row>
    <row r="310" spans="1:10" s="186" customFormat="1" ht="19.5" customHeight="1">
      <c r="A310" s="244"/>
      <c r="B310" s="216" t="s">
        <v>3698</v>
      </c>
      <c r="C310" s="219"/>
      <c r="D310" s="219"/>
      <c r="E310" s="204"/>
      <c r="F310" s="193"/>
      <c r="G310" s="213"/>
      <c r="H310" s="205"/>
    </row>
    <row r="311" spans="1:10" s="186" customFormat="1" ht="19.5" customHeight="1">
      <c r="A311" s="244"/>
      <c r="B311" s="216" t="s">
        <v>3699</v>
      </c>
      <c r="C311" s="219"/>
      <c r="D311" s="219"/>
      <c r="E311" s="204"/>
      <c r="F311" s="193"/>
      <c r="G311" s="213"/>
      <c r="H311" s="205"/>
    </row>
    <row r="312" spans="1:10" s="186" customFormat="1" ht="19.5" customHeight="1">
      <c r="A312" s="244"/>
      <c r="B312" s="218" t="s">
        <v>3359</v>
      </c>
      <c r="C312" s="219">
        <v>1</v>
      </c>
      <c r="D312" s="219">
        <v>1</v>
      </c>
      <c r="E312" s="204">
        <v>19.079999999999998</v>
      </c>
      <c r="F312" s="193">
        <v>0.23</v>
      </c>
      <c r="G312" s="193">
        <v>2.1</v>
      </c>
      <c r="H312" s="205">
        <f>ROUND(PRODUCT(C312:G312),2)</f>
        <v>9.2200000000000006</v>
      </c>
    </row>
    <row r="313" spans="1:10" s="186" customFormat="1" ht="19.5" customHeight="1">
      <c r="A313" s="244"/>
      <c r="B313" s="218" t="s">
        <v>3659</v>
      </c>
      <c r="C313" s="219">
        <v>1</v>
      </c>
      <c r="D313" s="219">
        <v>-1</v>
      </c>
      <c r="E313" s="204">
        <v>1</v>
      </c>
      <c r="F313" s="193">
        <v>0.23</v>
      </c>
      <c r="G313" s="193">
        <v>2.1</v>
      </c>
      <c r="H313" s="205">
        <f t="shared" ref="H313:H326" si="20">ROUND(PRODUCT(C313:G313),2)</f>
        <v>-0.48</v>
      </c>
    </row>
    <row r="314" spans="1:10" s="186" customFormat="1" ht="19.5" customHeight="1">
      <c r="A314" s="244"/>
      <c r="B314" s="218" t="s">
        <v>3667</v>
      </c>
      <c r="C314" s="219">
        <v>1</v>
      </c>
      <c r="D314" s="219">
        <v>-1</v>
      </c>
      <c r="E314" s="204">
        <v>1.5</v>
      </c>
      <c r="F314" s="193">
        <v>0.23</v>
      </c>
      <c r="G314" s="193">
        <v>1.35</v>
      </c>
      <c r="H314" s="205">
        <f t="shared" si="20"/>
        <v>-0.47</v>
      </c>
    </row>
    <row r="315" spans="1:10" s="186" customFormat="1" ht="19.5" customHeight="1">
      <c r="A315" s="244"/>
      <c r="B315" s="218" t="s">
        <v>3672</v>
      </c>
      <c r="C315" s="219">
        <v>1</v>
      </c>
      <c r="D315" s="219">
        <v>-1</v>
      </c>
      <c r="E315" s="204">
        <v>1.8</v>
      </c>
      <c r="F315" s="193">
        <v>0.23</v>
      </c>
      <c r="G315" s="193">
        <v>1.35</v>
      </c>
      <c r="H315" s="205">
        <f t="shared" si="20"/>
        <v>-0.56000000000000005</v>
      </c>
    </row>
    <row r="316" spans="1:10" s="186" customFormat="1" ht="19.5" customHeight="1">
      <c r="A316" s="244"/>
      <c r="B316" s="216" t="s">
        <v>3697</v>
      </c>
      <c r="C316" s="219"/>
      <c r="D316" s="219"/>
      <c r="E316" s="204"/>
      <c r="F316" s="193"/>
      <c r="G316" s="213"/>
      <c r="H316" s="205">
        <f t="shared" si="20"/>
        <v>0</v>
      </c>
    </row>
    <row r="317" spans="1:10" s="186" customFormat="1" ht="19.5" customHeight="1">
      <c r="A317" s="187"/>
      <c r="B317" s="192" t="s">
        <v>3501</v>
      </c>
      <c r="C317" s="190">
        <v>-1</v>
      </c>
      <c r="D317" s="190">
        <v>4</v>
      </c>
      <c r="E317" s="204">
        <v>0.23</v>
      </c>
      <c r="F317" s="193">
        <v>0.45</v>
      </c>
      <c r="G317" s="193">
        <v>2.1</v>
      </c>
      <c r="H317" s="205">
        <f t="shared" si="20"/>
        <v>-0.87</v>
      </c>
    </row>
    <row r="318" spans="1:10" s="186" customFormat="1" ht="19.5" customHeight="1">
      <c r="A318" s="244"/>
      <c r="B318" s="192" t="s">
        <v>3502</v>
      </c>
      <c r="C318" s="190">
        <v>-1</v>
      </c>
      <c r="D318" s="233">
        <v>1</v>
      </c>
      <c r="E318" s="204">
        <v>0.23</v>
      </c>
      <c r="F318" s="193">
        <v>0.45</v>
      </c>
      <c r="G318" s="193">
        <v>2.1</v>
      </c>
      <c r="H318" s="205">
        <f t="shared" si="20"/>
        <v>-0.22</v>
      </c>
    </row>
    <row r="319" spans="1:10" s="237" customFormat="1" ht="19.5" customHeight="1">
      <c r="A319" s="246"/>
      <c r="B319" s="232" t="s">
        <v>3599</v>
      </c>
      <c r="C319" s="233">
        <v>-1</v>
      </c>
      <c r="D319" s="233">
        <v>1</v>
      </c>
      <c r="E319" s="251">
        <v>0.23</v>
      </c>
      <c r="F319" s="235">
        <v>0.6</v>
      </c>
      <c r="G319" s="235">
        <v>2.1</v>
      </c>
      <c r="H319" s="247">
        <f>ROUND(PRODUCT(C319:G319),2)</f>
        <v>-0.28999999999999998</v>
      </c>
    </row>
    <row r="320" spans="1:10" s="186" customFormat="1" ht="19.5" customHeight="1">
      <c r="A320" s="244"/>
      <c r="B320" s="218" t="s">
        <v>3700</v>
      </c>
      <c r="C320" s="219">
        <v>1</v>
      </c>
      <c r="D320" s="219">
        <v>1</v>
      </c>
      <c r="E320" s="204">
        <v>19.079999999999998</v>
      </c>
      <c r="F320" s="193">
        <v>0.23</v>
      </c>
      <c r="G320" s="193">
        <v>0.45</v>
      </c>
      <c r="H320" s="205">
        <f t="shared" si="20"/>
        <v>1.97</v>
      </c>
    </row>
    <row r="321" spans="1:10" s="186" customFormat="1" ht="19.5" customHeight="1">
      <c r="A321" s="187"/>
      <c r="B321" s="218" t="s">
        <v>3701</v>
      </c>
      <c r="C321" s="219">
        <v>1</v>
      </c>
      <c r="D321" s="219">
        <v>1</v>
      </c>
      <c r="E321" s="204">
        <v>50.02</v>
      </c>
      <c r="F321" s="193">
        <v>0.23</v>
      </c>
      <c r="G321" s="193">
        <v>1.2</v>
      </c>
      <c r="H321" s="205">
        <f>ROUND(PRODUCT(C321:G321),2)</f>
        <v>13.81</v>
      </c>
    </row>
    <row r="322" spans="1:10" s="186" customFormat="1" ht="19.5" customHeight="1">
      <c r="A322" s="187"/>
      <c r="B322" s="216" t="s">
        <v>3702</v>
      </c>
      <c r="C322" s="219"/>
      <c r="D322" s="219"/>
      <c r="E322" s="204"/>
      <c r="F322" s="193"/>
      <c r="G322" s="213"/>
      <c r="H322" s="205">
        <f t="shared" si="20"/>
        <v>0</v>
      </c>
    </row>
    <row r="323" spans="1:10" s="186" customFormat="1" ht="19.5" customHeight="1">
      <c r="A323" s="187"/>
      <c r="B323" s="192" t="s">
        <v>3499</v>
      </c>
      <c r="C323" s="190">
        <v>-1</v>
      </c>
      <c r="D323" s="190">
        <v>8</v>
      </c>
      <c r="E323" s="205">
        <v>0.23</v>
      </c>
      <c r="F323" s="194">
        <v>0.38</v>
      </c>
      <c r="G323" s="193">
        <v>1.2</v>
      </c>
      <c r="H323" s="205">
        <f t="shared" si="20"/>
        <v>-0.84</v>
      </c>
    </row>
    <row r="324" spans="1:10" s="186" customFormat="1" ht="19.5" customHeight="1">
      <c r="A324" s="187"/>
      <c r="B324" s="192" t="s">
        <v>3500</v>
      </c>
      <c r="C324" s="190">
        <v>-1</v>
      </c>
      <c r="D324" s="190">
        <v>1</v>
      </c>
      <c r="E324" s="205">
        <v>0.23</v>
      </c>
      <c r="F324" s="194">
        <v>0.45</v>
      </c>
      <c r="G324" s="193">
        <v>1.2</v>
      </c>
      <c r="H324" s="205">
        <f t="shared" si="20"/>
        <v>-0.12</v>
      </c>
    </row>
    <row r="325" spans="1:10" s="186" customFormat="1" ht="19.5" customHeight="1">
      <c r="A325" s="187"/>
      <c r="B325" s="192" t="s">
        <v>3501</v>
      </c>
      <c r="C325" s="190">
        <v>-1</v>
      </c>
      <c r="D325" s="190">
        <v>3</v>
      </c>
      <c r="E325" s="205">
        <v>0.23</v>
      </c>
      <c r="F325" s="194">
        <v>0.45</v>
      </c>
      <c r="G325" s="193">
        <v>1.2</v>
      </c>
      <c r="H325" s="205">
        <f t="shared" si="20"/>
        <v>-0.37</v>
      </c>
    </row>
    <row r="326" spans="1:10" s="186" customFormat="1" ht="19.5" customHeight="1">
      <c r="A326" s="187"/>
      <c r="B326" s="192" t="s">
        <v>3703</v>
      </c>
      <c r="C326" s="190">
        <v>1</v>
      </c>
      <c r="D326" s="190">
        <v>1</v>
      </c>
      <c r="E326" s="205">
        <v>7.94</v>
      </c>
      <c r="F326" s="194">
        <v>0.23</v>
      </c>
      <c r="G326" s="193">
        <v>1.2</v>
      </c>
      <c r="H326" s="205">
        <f t="shared" si="20"/>
        <v>2.19</v>
      </c>
    </row>
    <row r="327" spans="1:10" s="186" customFormat="1" ht="19.5" customHeight="1">
      <c r="A327" s="244"/>
      <c r="B327" s="218"/>
      <c r="C327" s="219"/>
      <c r="D327" s="219"/>
      <c r="E327" s="204"/>
      <c r="F327" s="193"/>
      <c r="G327" s="213"/>
      <c r="H327" s="205">
        <f>J328-I328</f>
        <v>0.03</v>
      </c>
    </row>
    <row r="328" spans="1:10" s="186" customFormat="1" ht="19.5" customHeight="1">
      <c r="A328" s="244"/>
      <c r="B328" s="218"/>
      <c r="C328" s="219"/>
      <c r="D328" s="219"/>
      <c r="E328" s="204"/>
      <c r="F328" s="193"/>
      <c r="G328" s="213" t="s">
        <v>1827</v>
      </c>
      <c r="H328" s="247">
        <f>J328+0.1</f>
        <v>23.1</v>
      </c>
      <c r="I328" s="186">
        <f>SUM(H312:H326)</f>
        <v>22.97</v>
      </c>
      <c r="J328" s="186">
        <f>ROUNDUP(I328,1)</f>
        <v>23</v>
      </c>
    </row>
    <row r="329" spans="1:10" s="199" customFormat="1" ht="19.5" customHeight="1">
      <c r="A329" s="182"/>
      <c r="B329" s="216"/>
      <c r="C329" s="220"/>
      <c r="D329" s="220"/>
      <c r="E329" s="252"/>
      <c r="F329" s="197" t="s">
        <v>2560</v>
      </c>
      <c r="G329" s="197">
        <f>H328</f>
        <v>23.1</v>
      </c>
      <c r="H329" s="248" t="s">
        <v>1749</v>
      </c>
    </row>
    <row r="330" spans="1:10" ht="19.5" customHeight="1">
      <c r="A330" s="244">
        <v>10.5</v>
      </c>
      <c r="B330" s="992" t="s">
        <v>3704</v>
      </c>
      <c r="C330" s="993"/>
      <c r="D330" s="993"/>
      <c r="E330" s="993"/>
      <c r="F330" s="993"/>
      <c r="G330" s="994"/>
      <c r="H330" s="205"/>
    </row>
    <row r="331" spans="1:10" ht="19.5" customHeight="1">
      <c r="A331" s="244"/>
      <c r="B331" s="216" t="s">
        <v>3705</v>
      </c>
      <c r="C331" s="219"/>
      <c r="D331" s="219"/>
      <c r="E331" s="205"/>
      <c r="F331" s="194"/>
      <c r="G331" s="213"/>
      <c r="H331" s="205"/>
    </row>
    <row r="332" spans="1:10" ht="19.5" customHeight="1">
      <c r="A332" s="244"/>
      <c r="B332" s="218" t="s">
        <v>3706</v>
      </c>
      <c r="C332" s="219">
        <v>1</v>
      </c>
      <c r="D332" s="219">
        <v>1</v>
      </c>
      <c r="E332" s="205">
        <v>2.4</v>
      </c>
      <c r="F332" s="194"/>
      <c r="G332" s="193">
        <v>2.33</v>
      </c>
      <c r="H332" s="205">
        <f>ROUND(PRODUCT(C332:G332),2)</f>
        <v>5.59</v>
      </c>
    </row>
    <row r="333" spans="1:10" ht="19.5" customHeight="1">
      <c r="A333" s="244"/>
      <c r="B333" s="218" t="s">
        <v>3707</v>
      </c>
      <c r="C333" s="219">
        <v>1</v>
      </c>
      <c r="D333" s="219">
        <v>-1</v>
      </c>
      <c r="E333" s="205">
        <v>0.75</v>
      </c>
      <c r="F333" s="194"/>
      <c r="G333" s="193">
        <v>2.1</v>
      </c>
      <c r="H333" s="205">
        <f t="shared" ref="H333:H340" si="21">ROUND(PRODUCT(C333:G333),2)</f>
        <v>-1.58</v>
      </c>
    </row>
    <row r="334" spans="1:10" ht="19.5" customHeight="1">
      <c r="A334" s="244"/>
      <c r="B334" s="218" t="s">
        <v>3708</v>
      </c>
      <c r="C334" s="219">
        <v>1</v>
      </c>
      <c r="D334" s="219">
        <v>1</v>
      </c>
      <c r="E334" s="205">
        <v>2.1</v>
      </c>
      <c r="F334" s="194"/>
      <c r="G334" s="193">
        <v>2.85</v>
      </c>
      <c r="H334" s="205">
        <f t="shared" si="21"/>
        <v>5.99</v>
      </c>
    </row>
    <row r="335" spans="1:10" ht="19.5" customHeight="1">
      <c r="A335" s="244"/>
      <c r="B335" s="218" t="s">
        <v>3709</v>
      </c>
      <c r="C335" s="219">
        <v>1</v>
      </c>
      <c r="D335" s="219">
        <v>2</v>
      </c>
      <c r="E335" s="205">
        <v>1.62</v>
      </c>
      <c r="F335" s="194"/>
      <c r="G335" s="193">
        <v>3.18</v>
      </c>
      <c r="H335" s="205">
        <f t="shared" si="21"/>
        <v>10.3</v>
      </c>
    </row>
    <row r="336" spans="1:10" ht="19.5" customHeight="1">
      <c r="A336" s="244"/>
      <c r="B336" s="218" t="s">
        <v>3710</v>
      </c>
      <c r="C336" s="219">
        <v>1</v>
      </c>
      <c r="D336" s="219">
        <v>-1</v>
      </c>
      <c r="E336" s="205">
        <v>0.75</v>
      </c>
      <c r="F336" s="194"/>
      <c r="G336" s="193">
        <v>2.1</v>
      </c>
      <c r="H336" s="205">
        <f t="shared" si="21"/>
        <v>-1.58</v>
      </c>
    </row>
    <row r="337" spans="1:10" ht="19.5" customHeight="1">
      <c r="A337" s="244"/>
      <c r="B337" s="218" t="s">
        <v>3707</v>
      </c>
      <c r="C337" s="219">
        <v>1</v>
      </c>
      <c r="D337" s="219">
        <v>-1</v>
      </c>
      <c r="E337" s="205">
        <v>0.75</v>
      </c>
      <c r="F337" s="194"/>
      <c r="G337" s="193">
        <v>2.1</v>
      </c>
      <c r="H337" s="205">
        <f t="shared" si="21"/>
        <v>-1.58</v>
      </c>
    </row>
    <row r="338" spans="1:10" ht="19.5" customHeight="1">
      <c r="A338" s="244"/>
      <c r="B338" s="216" t="s">
        <v>3684</v>
      </c>
      <c r="C338" s="219"/>
      <c r="D338" s="219"/>
      <c r="E338" s="205"/>
      <c r="F338" s="194"/>
      <c r="G338" s="193"/>
      <c r="H338" s="205">
        <f t="shared" si="21"/>
        <v>0</v>
      </c>
    </row>
    <row r="339" spans="1:10" ht="19.5" customHeight="1">
      <c r="A339" s="244"/>
      <c r="B339" s="192" t="s">
        <v>3711</v>
      </c>
      <c r="C339" s="190">
        <v>1</v>
      </c>
      <c r="D339" s="190">
        <v>2</v>
      </c>
      <c r="E339" s="204">
        <v>1.62</v>
      </c>
      <c r="F339" s="213"/>
      <c r="G339" s="249">
        <v>7.4999999999999997E-2</v>
      </c>
      <c r="H339" s="205">
        <f t="shared" si="21"/>
        <v>0.24</v>
      </c>
    </row>
    <row r="340" spans="1:10" ht="19.5" customHeight="1">
      <c r="A340" s="244"/>
      <c r="B340" s="192" t="s">
        <v>3712</v>
      </c>
      <c r="C340" s="190">
        <v>1</v>
      </c>
      <c r="D340" s="190">
        <v>1</v>
      </c>
      <c r="E340" s="204">
        <v>2.4</v>
      </c>
      <c r="F340" s="213"/>
      <c r="G340" s="249">
        <v>7.4999999999999997E-2</v>
      </c>
      <c r="H340" s="205">
        <f t="shared" si="21"/>
        <v>0.18</v>
      </c>
    </row>
    <row r="341" spans="1:10" s="186" customFormat="1" ht="19.5" customHeight="1">
      <c r="A341" s="244"/>
      <c r="B341" s="218"/>
      <c r="C341" s="219"/>
      <c r="D341" s="219"/>
      <c r="E341" s="204"/>
      <c r="F341" s="193"/>
      <c r="G341" s="213"/>
      <c r="H341" s="205">
        <f>J342-I342</f>
        <v>0.04</v>
      </c>
    </row>
    <row r="342" spans="1:10" s="186" customFormat="1" ht="19.5" customHeight="1">
      <c r="A342" s="244"/>
      <c r="B342" s="218"/>
      <c r="C342" s="219"/>
      <c r="D342" s="219"/>
      <c r="E342" s="204"/>
      <c r="F342" s="193"/>
      <c r="G342" s="213" t="s">
        <v>1827</v>
      </c>
      <c r="H342" s="205">
        <f>J342</f>
        <v>17.600000000000001</v>
      </c>
      <c r="I342" s="186">
        <f>SUM(H332:H340)</f>
        <v>17.559999999999999</v>
      </c>
      <c r="J342" s="186">
        <f>ROUNDUP(I342,1)</f>
        <v>17.600000000000001</v>
      </c>
    </row>
    <row r="343" spans="1:10" s="199" customFormat="1" ht="19.5" customHeight="1">
      <c r="A343" s="182"/>
      <c r="B343" s="216"/>
      <c r="C343" s="220"/>
      <c r="D343" s="220"/>
      <c r="E343" s="252"/>
      <c r="F343" s="197" t="s">
        <v>2560</v>
      </c>
      <c r="G343" s="197">
        <f>H342</f>
        <v>17.600000000000001</v>
      </c>
      <c r="H343" s="248" t="s">
        <v>1861</v>
      </c>
    </row>
    <row r="344" spans="1:10" ht="19.5" customHeight="1">
      <c r="A344" s="244"/>
      <c r="B344" s="216" t="s">
        <v>3713</v>
      </c>
      <c r="C344" s="219"/>
      <c r="D344" s="219"/>
      <c r="E344" s="205"/>
      <c r="F344" s="194"/>
      <c r="G344" s="213"/>
      <c r="H344" s="205"/>
    </row>
    <row r="345" spans="1:10" ht="19.5" customHeight="1">
      <c r="A345" s="244"/>
      <c r="B345" s="218" t="s">
        <v>3714</v>
      </c>
      <c r="C345" s="219">
        <v>1</v>
      </c>
      <c r="D345" s="254">
        <v>1</v>
      </c>
      <c r="E345" s="205">
        <v>2.2200000000000002</v>
      </c>
      <c r="F345" s="194"/>
      <c r="G345" s="193">
        <v>1.35</v>
      </c>
      <c r="H345" s="205">
        <f t="shared" ref="H345:H360" si="22">ROUND(PRODUCT(C345:G345),2)</f>
        <v>3</v>
      </c>
    </row>
    <row r="346" spans="1:10" ht="19.5" customHeight="1">
      <c r="A346" s="244"/>
      <c r="B346" s="218" t="s">
        <v>3715</v>
      </c>
      <c r="C346" s="219">
        <v>1</v>
      </c>
      <c r="D346" s="219">
        <v>-2</v>
      </c>
      <c r="E346" s="205">
        <v>0.75</v>
      </c>
      <c r="F346" s="194"/>
      <c r="G346" s="193">
        <v>1.35</v>
      </c>
      <c r="H346" s="205">
        <f t="shared" si="22"/>
        <v>-2.0299999999999998</v>
      </c>
    </row>
    <row r="347" spans="1:10" s="186" customFormat="1" ht="19.5" customHeight="1">
      <c r="A347" s="187"/>
      <c r="B347" s="192" t="s">
        <v>3716</v>
      </c>
      <c r="C347" s="190">
        <v>1</v>
      </c>
      <c r="D347" s="190">
        <v>1</v>
      </c>
      <c r="E347" s="204">
        <v>1.5</v>
      </c>
      <c r="F347" s="213"/>
      <c r="G347" s="193">
        <v>2.85</v>
      </c>
      <c r="H347" s="205">
        <f t="shared" si="22"/>
        <v>4.28</v>
      </c>
    </row>
    <row r="348" spans="1:10" s="186" customFormat="1" ht="19.5" customHeight="1">
      <c r="A348" s="187"/>
      <c r="B348" s="192" t="s">
        <v>3707</v>
      </c>
      <c r="C348" s="190">
        <v>1</v>
      </c>
      <c r="D348" s="190">
        <v>-1</v>
      </c>
      <c r="E348" s="204">
        <v>0.75</v>
      </c>
      <c r="F348" s="213"/>
      <c r="G348" s="193">
        <v>2.1</v>
      </c>
      <c r="H348" s="205">
        <f t="shared" si="22"/>
        <v>-1.58</v>
      </c>
    </row>
    <row r="349" spans="1:10" s="186" customFormat="1" ht="19.5" customHeight="1">
      <c r="A349" s="187"/>
      <c r="B349" s="192" t="s">
        <v>3717</v>
      </c>
      <c r="C349" s="190">
        <v>1</v>
      </c>
      <c r="D349" s="190">
        <v>1</v>
      </c>
      <c r="E349" s="204">
        <v>1.5</v>
      </c>
      <c r="F349" s="213"/>
      <c r="G349" s="193">
        <v>2.85</v>
      </c>
      <c r="H349" s="205">
        <f t="shared" si="22"/>
        <v>4.28</v>
      </c>
    </row>
    <row r="350" spans="1:10" s="186" customFormat="1" ht="19.5" customHeight="1">
      <c r="A350" s="187"/>
      <c r="B350" s="192" t="s">
        <v>3707</v>
      </c>
      <c r="C350" s="190">
        <v>1</v>
      </c>
      <c r="D350" s="190">
        <v>-1</v>
      </c>
      <c r="E350" s="204">
        <v>0.75</v>
      </c>
      <c r="F350" s="213"/>
      <c r="G350" s="193">
        <v>2.1</v>
      </c>
      <c r="H350" s="205">
        <f t="shared" si="22"/>
        <v>-1.58</v>
      </c>
    </row>
    <row r="351" spans="1:10" s="186" customFormat="1" ht="19.899999999999999" customHeight="1">
      <c r="A351" s="187"/>
      <c r="B351" s="192" t="s">
        <v>3718</v>
      </c>
      <c r="C351" s="190">
        <v>1</v>
      </c>
      <c r="D351" s="190">
        <v>1</v>
      </c>
      <c r="E351" s="204">
        <v>4.3499999999999996</v>
      </c>
      <c r="F351" s="213"/>
      <c r="G351" s="213">
        <v>3.1749999999999998</v>
      </c>
      <c r="H351" s="205">
        <f t="shared" si="22"/>
        <v>13.81</v>
      </c>
    </row>
    <row r="352" spans="1:10" s="186" customFormat="1" ht="19.899999999999999" customHeight="1">
      <c r="A352" s="187"/>
      <c r="B352" s="192" t="s">
        <v>3719</v>
      </c>
      <c r="C352" s="190">
        <v>1</v>
      </c>
      <c r="D352" s="190">
        <v>-1</v>
      </c>
      <c r="E352" s="204">
        <v>0.9</v>
      </c>
      <c r="F352" s="213"/>
      <c r="G352" s="193">
        <v>2.1</v>
      </c>
      <c r="H352" s="205">
        <f t="shared" si="22"/>
        <v>-1.89</v>
      </c>
    </row>
    <row r="353" spans="1:10" s="186" customFormat="1" ht="19.899999999999999" customHeight="1">
      <c r="A353" s="187"/>
      <c r="B353" s="192" t="s">
        <v>3720</v>
      </c>
      <c r="C353" s="190">
        <v>1</v>
      </c>
      <c r="D353" s="190">
        <v>1</v>
      </c>
      <c r="E353" s="204">
        <v>2.23</v>
      </c>
      <c r="F353" s="213"/>
      <c r="G353" s="213">
        <v>3.1749999999999998</v>
      </c>
      <c r="H353" s="205">
        <f t="shared" si="22"/>
        <v>7.08</v>
      </c>
    </row>
    <row r="354" spans="1:10" s="186" customFormat="1" ht="19.899999999999999" customHeight="1">
      <c r="A354" s="187"/>
      <c r="B354" s="192" t="s">
        <v>3721</v>
      </c>
      <c r="C354" s="190">
        <v>1</v>
      </c>
      <c r="D354" s="190">
        <v>1</v>
      </c>
      <c r="E354" s="204">
        <v>4.3499999999999996</v>
      </c>
      <c r="F354" s="213"/>
      <c r="G354" s="213">
        <v>3.1749999999999998</v>
      </c>
      <c r="H354" s="205">
        <f t="shared" si="22"/>
        <v>13.81</v>
      </c>
    </row>
    <row r="355" spans="1:10" s="186" customFormat="1" ht="19.899999999999999" customHeight="1">
      <c r="A355" s="187"/>
      <c r="B355" s="192" t="s">
        <v>3719</v>
      </c>
      <c r="C355" s="190">
        <v>1</v>
      </c>
      <c r="D355" s="190">
        <v>-1</v>
      </c>
      <c r="E355" s="204">
        <v>0.9</v>
      </c>
      <c r="F355" s="213"/>
      <c r="G355" s="193">
        <v>2.1</v>
      </c>
      <c r="H355" s="205">
        <f t="shared" si="22"/>
        <v>-1.89</v>
      </c>
    </row>
    <row r="356" spans="1:10" s="186" customFormat="1" ht="19.899999999999999" customHeight="1">
      <c r="A356" s="187"/>
      <c r="B356" s="192" t="s">
        <v>3716</v>
      </c>
      <c r="C356" s="190">
        <v>1</v>
      </c>
      <c r="D356" s="190">
        <v>-1</v>
      </c>
      <c r="E356" s="204">
        <v>1.5</v>
      </c>
      <c r="F356" s="213"/>
      <c r="G356" s="249">
        <v>7.4999999999999997E-2</v>
      </c>
      <c r="H356" s="205">
        <f t="shared" si="22"/>
        <v>-0.11</v>
      </c>
    </row>
    <row r="357" spans="1:10" s="186" customFormat="1" ht="19.899999999999999" customHeight="1">
      <c r="A357" s="187"/>
      <c r="B357" s="192" t="s">
        <v>3717</v>
      </c>
      <c r="C357" s="190">
        <v>1</v>
      </c>
      <c r="D357" s="190">
        <v>-1</v>
      </c>
      <c r="E357" s="204">
        <v>1.5</v>
      </c>
      <c r="F357" s="213"/>
      <c r="G357" s="249">
        <v>7.4999999999999997E-2</v>
      </c>
      <c r="H357" s="205">
        <f t="shared" si="22"/>
        <v>-0.11</v>
      </c>
    </row>
    <row r="358" spans="1:10" s="186" customFormat="1" ht="19.899999999999999" customHeight="1">
      <c r="A358" s="187"/>
      <c r="B358" s="192" t="s">
        <v>3718</v>
      </c>
      <c r="C358" s="190">
        <v>1</v>
      </c>
      <c r="D358" s="190">
        <v>-1</v>
      </c>
      <c r="E358" s="204">
        <v>4.3499999999999996</v>
      </c>
      <c r="F358" s="213"/>
      <c r="G358" s="249">
        <v>7.4999999999999997E-2</v>
      </c>
      <c r="H358" s="205">
        <f t="shared" si="22"/>
        <v>-0.33</v>
      </c>
    </row>
    <row r="359" spans="1:10" s="186" customFormat="1" ht="19.899999999999999" customHeight="1">
      <c r="A359" s="187"/>
      <c r="B359" s="192" t="s">
        <v>3720</v>
      </c>
      <c r="C359" s="190">
        <v>1</v>
      </c>
      <c r="D359" s="190">
        <v>-1</v>
      </c>
      <c r="E359" s="204">
        <v>2.23</v>
      </c>
      <c r="F359" s="213"/>
      <c r="G359" s="249">
        <v>7.4999999999999997E-2</v>
      </c>
      <c r="H359" s="205">
        <f t="shared" si="22"/>
        <v>-0.17</v>
      </c>
    </row>
    <row r="360" spans="1:10" s="186" customFormat="1" ht="19.899999999999999" customHeight="1">
      <c r="A360" s="187"/>
      <c r="B360" s="192" t="s">
        <v>3721</v>
      </c>
      <c r="C360" s="190">
        <v>1</v>
      </c>
      <c r="D360" s="190">
        <v>-1</v>
      </c>
      <c r="E360" s="204">
        <v>4.3499999999999996</v>
      </c>
      <c r="F360" s="213"/>
      <c r="G360" s="249">
        <v>7.4999999999999997E-2</v>
      </c>
      <c r="H360" s="205">
        <f t="shared" si="22"/>
        <v>-0.33</v>
      </c>
    </row>
    <row r="361" spans="1:10" s="186" customFormat="1" ht="19.899999999999999" customHeight="1">
      <c r="A361" s="244"/>
      <c r="B361" s="218"/>
      <c r="C361" s="219"/>
      <c r="D361" s="219"/>
      <c r="E361" s="204"/>
      <c r="F361" s="193"/>
      <c r="G361" s="213"/>
      <c r="H361" s="205">
        <f>J362-I362</f>
        <v>0.06</v>
      </c>
    </row>
    <row r="362" spans="1:10" s="186" customFormat="1" ht="19.899999999999999" customHeight="1">
      <c r="A362" s="244"/>
      <c r="B362" s="218"/>
      <c r="C362" s="219"/>
      <c r="D362" s="219"/>
      <c r="E362" s="204"/>
      <c r="F362" s="193"/>
      <c r="G362" s="213" t="s">
        <v>1827</v>
      </c>
      <c r="H362" s="205">
        <f>J362</f>
        <v>36.299999999999997</v>
      </c>
      <c r="I362" s="186">
        <f>SUM(H345:H360)</f>
        <v>36.24</v>
      </c>
      <c r="J362" s="186">
        <f>ROUNDUP(I362,1)</f>
        <v>36.299999999999997</v>
      </c>
    </row>
    <row r="363" spans="1:10" s="199" customFormat="1" ht="19.899999999999999" customHeight="1">
      <c r="A363" s="182"/>
      <c r="B363" s="216"/>
      <c r="C363" s="220"/>
      <c r="D363" s="220"/>
      <c r="E363" s="252"/>
      <c r="F363" s="197" t="s">
        <v>2560</v>
      </c>
      <c r="G363" s="197">
        <f>H362</f>
        <v>36.299999999999997</v>
      </c>
      <c r="H363" s="248" t="s">
        <v>1861</v>
      </c>
    </row>
    <row r="364" spans="1:10" ht="19.899999999999999" customHeight="1">
      <c r="A364" s="244"/>
      <c r="B364" s="216" t="s">
        <v>3722</v>
      </c>
      <c r="C364" s="219"/>
      <c r="D364" s="219"/>
      <c r="E364" s="205"/>
      <c r="F364" s="194"/>
      <c r="G364" s="213"/>
      <c r="H364" s="205"/>
    </row>
    <row r="365" spans="1:10" s="186" customFormat="1" ht="19.899999999999999" customHeight="1">
      <c r="A365" s="187"/>
      <c r="B365" s="192" t="s">
        <v>3723</v>
      </c>
      <c r="C365" s="190">
        <v>1</v>
      </c>
      <c r="D365" s="190">
        <v>1</v>
      </c>
      <c r="E365" s="204">
        <v>1.5</v>
      </c>
      <c r="F365" s="213"/>
      <c r="G365" s="213">
        <v>3.1749999999999998</v>
      </c>
      <c r="H365" s="205">
        <f t="shared" ref="H365:H382" si="23">ROUND(PRODUCT(C365:G365),2)</f>
        <v>4.76</v>
      </c>
    </row>
    <row r="366" spans="1:10" s="186" customFormat="1" ht="19.899999999999999" customHeight="1">
      <c r="A366" s="187"/>
      <c r="B366" s="192" t="s">
        <v>3707</v>
      </c>
      <c r="C366" s="190">
        <v>1</v>
      </c>
      <c r="D366" s="190">
        <v>-1</v>
      </c>
      <c r="E366" s="204">
        <v>0.75</v>
      </c>
      <c r="F366" s="213"/>
      <c r="G366" s="193">
        <v>2.1</v>
      </c>
      <c r="H366" s="205">
        <f t="shared" si="23"/>
        <v>-1.58</v>
      </c>
    </row>
    <row r="367" spans="1:10" s="186" customFormat="1" ht="19.899999999999999" customHeight="1">
      <c r="A367" s="187"/>
      <c r="B367" s="192" t="s">
        <v>3724</v>
      </c>
      <c r="C367" s="190">
        <v>1</v>
      </c>
      <c r="D367" s="190">
        <v>1</v>
      </c>
      <c r="E367" s="204">
        <v>4.62</v>
      </c>
      <c r="F367" s="213"/>
      <c r="G367" s="249">
        <v>3.1749999999999998</v>
      </c>
      <c r="H367" s="205">
        <f t="shared" si="23"/>
        <v>14.67</v>
      </c>
    </row>
    <row r="368" spans="1:10" s="186" customFormat="1" ht="19.899999999999999" customHeight="1">
      <c r="A368" s="187"/>
      <c r="B368" s="192" t="s">
        <v>3707</v>
      </c>
      <c r="C368" s="190">
        <v>1</v>
      </c>
      <c r="D368" s="190">
        <v>-2</v>
      </c>
      <c r="E368" s="204">
        <v>0.75</v>
      </c>
      <c r="F368" s="213"/>
      <c r="G368" s="193">
        <v>2.1</v>
      </c>
      <c r="H368" s="205">
        <f t="shared" si="23"/>
        <v>-3.15</v>
      </c>
    </row>
    <row r="369" spans="1:10" s="186" customFormat="1" ht="19.899999999999999" customHeight="1">
      <c r="A369" s="187"/>
      <c r="B369" s="192" t="s">
        <v>3725</v>
      </c>
      <c r="C369" s="190">
        <v>1</v>
      </c>
      <c r="D369" s="190">
        <v>2</v>
      </c>
      <c r="E369" s="204">
        <v>1.35</v>
      </c>
      <c r="F369" s="213"/>
      <c r="G369" s="213">
        <v>3.1749999999999998</v>
      </c>
      <c r="H369" s="205">
        <f t="shared" si="23"/>
        <v>8.57</v>
      </c>
    </row>
    <row r="370" spans="1:10" s="186" customFormat="1" ht="19.899999999999999" customHeight="1">
      <c r="A370" s="187"/>
      <c r="B370" s="192" t="s">
        <v>3707</v>
      </c>
      <c r="C370" s="190">
        <v>1</v>
      </c>
      <c r="D370" s="190">
        <v>-2</v>
      </c>
      <c r="E370" s="204">
        <v>0.75</v>
      </c>
      <c r="F370" s="213"/>
      <c r="G370" s="193">
        <v>2.1</v>
      </c>
      <c r="H370" s="205">
        <f t="shared" si="23"/>
        <v>-3.15</v>
      </c>
    </row>
    <row r="371" spans="1:10" s="186" customFormat="1" ht="19.899999999999999" customHeight="1">
      <c r="A371" s="187"/>
      <c r="B371" s="192" t="s">
        <v>3726</v>
      </c>
      <c r="C371" s="190">
        <v>1</v>
      </c>
      <c r="D371" s="190">
        <v>1</v>
      </c>
      <c r="E371" s="204">
        <v>4.3499999999999996</v>
      </c>
      <c r="F371" s="213"/>
      <c r="G371" s="213">
        <v>3.1749999999999998</v>
      </c>
      <c r="H371" s="205">
        <f t="shared" si="23"/>
        <v>13.81</v>
      </c>
    </row>
    <row r="372" spans="1:10" s="186" customFormat="1" ht="19.899999999999999" customHeight="1">
      <c r="A372" s="187"/>
      <c r="B372" s="192" t="s">
        <v>3719</v>
      </c>
      <c r="C372" s="190">
        <v>1</v>
      </c>
      <c r="D372" s="190">
        <v>-1</v>
      </c>
      <c r="E372" s="204">
        <v>1.0900000000000001</v>
      </c>
      <c r="F372" s="213"/>
      <c r="G372" s="193">
        <v>2.1</v>
      </c>
      <c r="H372" s="205">
        <f t="shared" si="23"/>
        <v>-2.29</v>
      </c>
    </row>
    <row r="373" spans="1:10" s="186" customFormat="1" ht="19.899999999999999" customHeight="1">
      <c r="A373" s="187"/>
      <c r="B373" s="192" t="s">
        <v>3718</v>
      </c>
      <c r="C373" s="190">
        <v>1</v>
      </c>
      <c r="D373" s="190">
        <v>1</v>
      </c>
      <c r="E373" s="204">
        <v>4.3499999999999996</v>
      </c>
      <c r="F373" s="213"/>
      <c r="G373" s="193">
        <v>2.85</v>
      </c>
      <c r="H373" s="205">
        <f t="shared" si="23"/>
        <v>12.4</v>
      </c>
    </row>
    <row r="374" spans="1:10" s="186" customFormat="1" ht="19.899999999999999" customHeight="1">
      <c r="A374" s="187"/>
      <c r="B374" s="192" t="s">
        <v>3707</v>
      </c>
      <c r="C374" s="190">
        <v>1</v>
      </c>
      <c r="D374" s="190">
        <v>-1</v>
      </c>
      <c r="E374" s="204">
        <v>0.75</v>
      </c>
      <c r="F374" s="213"/>
      <c r="G374" s="193">
        <v>2.1</v>
      </c>
      <c r="H374" s="205">
        <f t="shared" si="23"/>
        <v>-1.58</v>
      </c>
    </row>
    <row r="375" spans="1:10" s="186" customFormat="1" ht="19.899999999999999" customHeight="1">
      <c r="A375" s="187"/>
      <c r="B375" s="192" t="s">
        <v>3727</v>
      </c>
      <c r="C375" s="190">
        <v>1</v>
      </c>
      <c r="D375" s="190">
        <v>2</v>
      </c>
      <c r="E375" s="204">
        <v>1.65</v>
      </c>
      <c r="F375" s="213"/>
      <c r="G375" s="213">
        <v>3.1749999999999998</v>
      </c>
      <c r="H375" s="205">
        <f t="shared" si="23"/>
        <v>10.48</v>
      </c>
    </row>
    <row r="376" spans="1:10" s="186" customFormat="1" ht="19.899999999999999" customHeight="1">
      <c r="A376" s="244"/>
      <c r="B376" s="216" t="s">
        <v>3728</v>
      </c>
      <c r="C376" s="219"/>
      <c r="D376" s="219"/>
      <c r="E376" s="204"/>
      <c r="F376" s="193"/>
      <c r="G376" s="213"/>
      <c r="H376" s="205">
        <f t="shared" si="23"/>
        <v>0</v>
      </c>
      <c r="I376" s="225"/>
    </row>
    <row r="377" spans="1:10" s="186" customFormat="1" ht="19.899999999999999" customHeight="1">
      <c r="A377" s="187"/>
      <c r="B377" s="192" t="s">
        <v>3723</v>
      </c>
      <c r="C377" s="190">
        <v>1</v>
      </c>
      <c r="D377" s="190">
        <v>-1</v>
      </c>
      <c r="E377" s="204">
        <v>1.5</v>
      </c>
      <c r="F377" s="213"/>
      <c r="G377" s="193">
        <v>0.15</v>
      </c>
      <c r="H377" s="205">
        <f t="shared" si="23"/>
        <v>-0.23</v>
      </c>
    </row>
    <row r="378" spans="1:10" s="186" customFormat="1" ht="19.899999999999999" customHeight="1">
      <c r="A378" s="187"/>
      <c r="B378" s="192" t="s">
        <v>3724</v>
      </c>
      <c r="C378" s="190">
        <v>1</v>
      </c>
      <c r="D378" s="190">
        <v>-1</v>
      </c>
      <c r="E378" s="204">
        <v>4.62</v>
      </c>
      <c r="F378" s="213"/>
      <c r="G378" s="193">
        <v>0.15</v>
      </c>
      <c r="H378" s="205">
        <f t="shared" si="23"/>
        <v>-0.69</v>
      </c>
    </row>
    <row r="379" spans="1:10" s="186" customFormat="1" ht="19.899999999999999" customHeight="1">
      <c r="A379" s="187"/>
      <c r="B379" s="192" t="s">
        <v>3725</v>
      </c>
      <c r="C379" s="190">
        <v>1</v>
      </c>
      <c r="D379" s="190">
        <v>-2</v>
      </c>
      <c r="E379" s="204">
        <v>1.35</v>
      </c>
      <c r="F379" s="213"/>
      <c r="G379" s="193">
        <v>0.15</v>
      </c>
      <c r="H379" s="205">
        <f t="shared" si="23"/>
        <v>-0.41</v>
      </c>
    </row>
    <row r="380" spans="1:10" s="186" customFormat="1" ht="19.899999999999999" customHeight="1">
      <c r="A380" s="187"/>
      <c r="B380" s="192" t="s">
        <v>3726</v>
      </c>
      <c r="C380" s="190">
        <v>1</v>
      </c>
      <c r="D380" s="190">
        <v>-1</v>
      </c>
      <c r="E380" s="204">
        <v>4.3499999999999996</v>
      </c>
      <c r="F380" s="213"/>
      <c r="G380" s="193">
        <v>0.15</v>
      </c>
      <c r="H380" s="205">
        <f t="shared" si="23"/>
        <v>-0.65</v>
      </c>
    </row>
    <row r="381" spans="1:10" s="186" customFormat="1" ht="19.899999999999999" customHeight="1">
      <c r="A381" s="187"/>
      <c r="B381" s="192" t="s">
        <v>3718</v>
      </c>
      <c r="C381" s="190">
        <v>1</v>
      </c>
      <c r="D381" s="190">
        <v>-1</v>
      </c>
      <c r="E381" s="204">
        <v>4.3499999999999996</v>
      </c>
      <c r="F381" s="213"/>
      <c r="G381" s="193">
        <v>0.15</v>
      </c>
      <c r="H381" s="205">
        <f t="shared" si="23"/>
        <v>-0.65</v>
      </c>
    </row>
    <row r="382" spans="1:10" s="186" customFormat="1" ht="19.899999999999999" customHeight="1">
      <c r="A382" s="187"/>
      <c r="B382" s="192" t="s">
        <v>3727</v>
      </c>
      <c r="C382" s="190">
        <v>1</v>
      </c>
      <c r="D382" s="190">
        <v>-2</v>
      </c>
      <c r="E382" s="204">
        <v>1.65</v>
      </c>
      <c r="F382" s="213"/>
      <c r="G382" s="193">
        <v>0.15</v>
      </c>
      <c r="H382" s="205">
        <f t="shared" si="23"/>
        <v>-0.5</v>
      </c>
    </row>
    <row r="383" spans="1:10" s="186" customFormat="1" ht="19.899999999999999" customHeight="1">
      <c r="A383" s="244"/>
      <c r="B383" s="218"/>
      <c r="C383" s="219"/>
      <c r="D383" s="219"/>
      <c r="E383" s="204"/>
      <c r="F383" s="193"/>
      <c r="G383" s="213"/>
      <c r="H383" s="205">
        <f>J384-I384</f>
        <v>0.09</v>
      </c>
    </row>
    <row r="384" spans="1:10" s="186" customFormat="1" ht="19.899999999999999" customHeight="1">
      <c r="A384" s="244"/>
      <c r="B384" s="218"/>
      <c r="C384" s="219"/>
      <c r="D384" s="219"/>
      <c r="E384" s="204"/>
      <c r="F384" s="193"/>
      <c r="G384" s="213" t="s">
        <v>1827</v>
      </c>
      <c r="H384" s="205">
        <f>J384</f>
        <v>49.9</v>
      </c>
      <c r="I384" s="186">
        <f>SUM(H365:H382)</f>
        <v>49.81</v>
      </c>
      <c r="J384" s="186">
        <f>ROUNDUP(I384,1)</f>
        <v>49.9</v>
      </c>
    </row>
    <row r="385" spans="1:10" s="199" customFormat="1" ht="19.899999999999999" customHeight="1">
      <c r="A385" s="182"/>
      <c r="B385" s="216"/>
      <c r="C385" s="220"/>
      <c r="D385" s="220"/>
      <c r="E385" s="252"/>
      <c r="F385" s="197" t="s">
        <v>2560</v>
      </c>
      <c r="G385" s="197">
        <f>H384</f>
        <v>49.9</v>
      </c>
      <c r="H385" s="248" t="s">
        <v>1861</v>
      </c>
      <c r="I385" s="199">
        <v>51.3</v>
      </c>
      <c r="J385" s="199">
        <f>G385-I385</f>
        <v>-1.4</v>
      </c>
    </row>
    <row r="386" spans="1:10" ht="20.100000000000001" customHeight="1">
      <c r="A386" s="244">
        <v>11.5</v>
      </c>
      <c r="B386" s="992" t="s">
        <v>3729</v>
      </c>
      <c r="C386" s="993"/>
      <c r="D386" s="993"/>
      <c r="E386" s="993"/>
      <c r="F386" s="993"/>
      <c r="G386" s="994"/>
      <c r="H386" s="205"/>
    </row>
    <row r="387" spans="1:10" ht="20.100000000000001" customHeight="1">
      <c r="A387" s="244"/>
      <c r="B387" s="216" t="s">
        <v>3671</v>
      </c>
      <c r="C387" s="219"/>
      <c r="D387" s="219"/>
      <c r="E387" s="205"/>
      <c r="F387" s="194"/>
      <c r="G387" s="213"/>
      <c r="H387" s="205"/>
    </row>
    <row r="388" spans="1:10" ht="20.100000000000001" customHeight="1">
      <c r="A388" s="244"/>
      <c r="B388" s="218" t="s">
        <v>3730</v>
      </c>
      <c r="C388" s="219">
        <v>1</v>
      </c>
      <c r="D388" s="219">
        <v>3</v>
      </c>
      <c r="E388" s="205">
        <v>0.45</v>
      </c>
      <c r="F388" s="194"/>
      <c r="G388" s="193">
        <v>2.1</v>
      </c>
      <c r="H388" s="205">
        <f t="shared" ref="H388:H394" si="24">ROUND(PRODUCT(C388:G388),2)</f>
        <v>2.84</v>
      </c>
    </row>
    <row r="389" spans="1:10" ht="20.100000000000001" customHeight="1">
      <c r="A389" s="244"/>
      <c r="B389" s="218" t="s">
        <v>3731</v>
      </c>
      <c r="C389" s="219">
        <v>1</v>
      </c>
      <c r="D389" s="219">
        <v>3</v>
      </c>
      <c r="E389" s="205">
        <v>0.45</v>
      </c>
      <c r="F389" s="194"/>
      <c r="G389" s="193">
        <v>2.1</v>
      </c>
      <c r="H389" s="205">
        <f t="shared" si="24"/>
        <v>2.84</v>
      </c>
    </row>
    <row r="390" spans="1:10" ht="20.100000000000001" customHeight="1">
      <c r="A390" s="244"/>
      <c r="B390" s="218" t="s">
        <v>3732</v>
      </c>
      <c r="C390" s="219">
        <v>1</v>
      </c>
      <c r="D390" s="219">
        <v>3</v>
      </c>
      <c r="E390" s="205">
        <v>0.45</v>
      </c>
      <c r="F390" s="194"/>
      <c r="G390" s="193">
        <v>2.1</v>
      </c>
      <c r="H390" s="205">
        <f t="shared" si="24"/>
        <v>2.84</v>
      </c>
    </row>
    <row r="391" spans="1:10" ht="20.100000000000001" customHeight="1">
      <c r="A391" s="244"/>
      <c r="B391" s="218" t="s">
        <v>3733</v>
      </c>
      <c r="C391" s="219">
        <v>1</v>
      </c>
      <c r="D391" s="219">
        <v>2</v>
      </c>
      <c r="E391" s="205">
        <v>0.45</v>
      </c>
      <c r="F391" s="194"/>
      <c r="G391" s="193">
        <v>2.1</v>
      </c>
      <c r="H391" s="205">
        <f t="shared" si="24"/>
        <v>1.89</v>
      </c>
    </row>
    <row r="392" spans="1:10" ht="20.100000000000001" customHeight="1">
      <c r="A392" s="244"/>
      <c r="B392" s="218" t="s">
        <v>3734</v>
      </c>
      <c r="C392" s="219">
        <v>1</v>
      </c>
      <c r="D392" s="219">
        <v>4</v>
      </c>
      <c r="E392" s="205">
        <v>0.45</v>
      </c>
      <c r="F392" s="194"/>
      <c r="G392" s="193">
        <v>2.1</v>
      </c>
      <c r="H392" s="205">
        <f t="shared" si="24"/>
        <v>3.78</v>
      </c>
    </row>
    <row r="393" spans="1:10" ht="20.100000000000001" customHeight="1">
      <c r="A393" s="244"/>
      <c r="B393" s="218" t="s">
        <v>3735</v>
      </c>
      <c r="C393" s="219">
        <v>1</v>
      </c>
      <c r="D393" s="219">
        <v>5</v>
      </c>
      <c r="E393" s="205">
        <v>0.45</v>
      </c>
      <c r="F393" s="194"/>
      <c r="G393" s="193">
        <v>2.1</v>
      </c>
      <c r="H393" s="205">
        <f t="shared" si="24"/>
        <v>4.7300000000000004</v>
      </c>
    </row>
    <row r="394" spans="1:10" ht="20.100000000000001" customHeight="1">
      <c r="A394" s="244"/>
      <c r="B394" s="218" t="s">
        <v>3736</v>
      </c>
      <c r="C394" s="219">
        <v>1</v>
      </c>
      <c r="D394" s="219">
        <v>4</v>
      </c>
      <c r="E394" s="205">
        <v>0.45</v>
      </c>
      <c r="F394" s="194"/>
      <c r="G394" s="193">
        <v>2.1</v>
      </c>
      <c r="H394" s="205">
        <f t="shared" si="24"/>
        <v>3.78</v>
      </c>
    </row>
    <row r="395" spans="1:10" s="186" customFormat="1" ht="20.100000000000001" customHeight="1">
      <c r="A395" s="244"/>
      <c r="B395" s="218"/>
      <c r="C395" s="219"/>
      <c r="D395" s="219"/>
      <c r="E395" s="204"/>
      <c r="F395" s="193"/>
      <c r="G395" s="213"/>
      <c r="H395" s="205">
        <f>J396-I396</f>
        <v>0</v>
      </c>
    </row>
    <row r="396" spans="1:10" s="186" customFormat="1" ht="20.100000000000001" customHeight="1">
      <c r="A396" s="244"/>
      <c r="B396" s="218"/>
      <c r="C396" s="219"/>
      <c r="D396" s="219"/>
      <c r="E396" s="204"/>
      <c r="F396" s="193"/>
      <c r="G396" s="213" t="s">
        <v>1827</v>
      </c>
      <c r="H396" s="205">
        <f>J396</f>
        <v>22.7</v>
      </c>
      <c r="I396" s="186">
        <f>SUM(H388:H394)</f>
        <v>22.7</v>
      </c>
      <c r="J396" s="186">
        <f>ROUNDUP(I396,1)</f>
        <v>22.7</v>
      </c>
    </row>
    <row r="397" spans="1:10" s="199" customFormat="1" ht="20.100000000000001" customHeight="1">
      <c r="A397" s="182"/>
      <c r="B397" s="216"/>
      <c r="C397" s="220"/>
      <c r="D397" s="220"/>
      <c r="E397" s="252"/>
      <c r="F397" s="197" t="s">
        <v>2560</v>
      </c>
      <c r="G397" s="197">
        <f>H396</f>
        <v>22.7</v>
      </c>
      <c r="H397" s="248" t="s">
        <v>1861</v>
      </c>
    </row>
    <row r="398" spans="1:10" ht="20.100000000000001" customHeight="1">
      <c r="A398" s="244"/>
      <c r="B398" s="216" t="s">
        <v>3687</v>
      </c>
      <c r="C398" s="219"/>
      <c r="D398" s="219"/>
      <c r="E398" s="205"/>
      <c r="F398" s="194"/>
      <c r="G398" s="213"/>
      <c r="H398" s="205"/>
    </row>
    <row r="399" spans="1:10" ht="20.100000000000001" customHeight="1">
      <c r="A399" s="244"/>
      <c r="B399" s="218" t="s">
        <v>3732</v>
      </c>
      <c r="C399" s="219">
        <v>1</v>
      </c>
      <c r="D399" s="219">
        <v>3</v>
      </c>
      <c r="E399" s="205">
        <v>0.45</v>
      </c>
      <c r="F399" s="194"/>
      <c r="G399" s="193">
        <v>2.1</v>
      </c>
      <c r="H399" s="205">
        <f>ROUND(PRODUCT(C399:G399),2)</f>
        <v>2.84</v>
      </c>
    </row>
    <row r="400" spans="1:10" ht="20.100000000000001" customHeight="1">
      <c r="A400" s="244"/>
      <c r="B400" s="218" t="s">
        <v>3737</v>
      </c>
      <c r="C400" s="219">
        <v>1</v>
      </c>
      <c r="D400" s="219">
        <v>4</v>
      </c>
      <c r="E400" s="205">
        <v>0.45</v>
      </c>
      <c r="F400" s="194"/>
      <c r="G400" s="193">
        <v>2.1</v>
      </c>
      <c r="H400" s="205">
        <f>ROUND(PRODUCT(C400:G400),2)</f>
        <v>3.78</v>
      </c>
    </row>
    <row r="401" spans="1:10" ht="20.100000000000001" customHeight="1">
      <c r="A401" s="244"/>
      <c r="B401" s="218" t="s">
        <v>3738</v>
      </c>
      <c r="C401" s="219">
        <v>1</v>
      </c>
      <c r="D401" s="219">
        <v>4</v>
      </c>
      <c r="E401" s="205">
        <v>0.45</v>
      </c>
      <c r="F401" s="194"/>
      <c r="G401" s="193">
        <v>2.1</v>
      </c>
      <c r="H401" s="205">
        <f>ROUND(PRODUCT(C401:G401),2)</f>
        <v>3.78</v>
      </c>
    </row>
    <row r="402" spans="1:10" ht="20.100000000000001" customHeight="1">
      <c r="A402" s="244"/>
      <c r="B402" s="218" t="s">
        <v>3739</v>
      </c>
      <c r="C402" s="219">
        <v>1</v>
      </c>
      <c r="D402" s="219">
        <v>4</v>
      </c>
      <c r="E402" s="205">
        <v>0.45</v>
      </c>
      <c r="F402" s="194"/>
      <c r="G402" s="193">
        <v>2.1</v>
      </c>
      <c r="H402" s="205">
        <f>ROUND(PRODUCT(C402:G402),2)</f>
        <v>3.78</v>
      </c>
    </row>
    <row r="403" spans="1:10" ht="20.100000000000001" customHeight="1">
      <c r="A403" s="244"/>
      <c r="B403" s="218" t="s">
        <v>3740</v>
      </c>
      <c r="C403" s="219">
        <v>1</v>
      </c>
      <c r="D403" s="219">
        <v>4</v>
      </c>
      <c r="E403" s="205">
        <v>0.45</v>
      </c>
      <c r="F403" s="194"/>
      <c r="G403" s="193">
        <v>2.1</v>
      </c>
      <c r="H403" s="205">
        <f>ROUND(PRODUCT(C403:G403),2)</f>
        <v>3.78</v>
      </c>
    </row>
    <row r="404" spans="1:10" s="186" customFormat="1" ht="20.100000000000001" customHeight="1">
      <c r="A404" s="244"/>
      <c r="B404" s="218"/>
      <c r="C404" s="219"/>
      <c r="D404" s="219"/>
      <c r="E404" s="204"/>
      <c r="F404" s="193"/>
      <c r="G404" s="213"/>
      <c r="H404" s="205">
        <f>J405-I405</f>
        <v>0.04</v>
      </c>
    </row>
    <row r="405" spans="1:10" s="186" customFormat="1" ht="20.100000000000001" customHeight="1">
      <c r="A405" s="244"/>
      <c r="B405" s="218"/>
      <c r="C405" s="219"/>
      <c r="D405" s="219"/>
      <c r="E405" s="204"/>
      <c r="F405" s="193"/>
      <c r="G405" s="213" t="s">
        <v>1827</v>
      </c>
      <c r="H405" s="205">
        <f>J405</f>
        <v>18</v>
      </c>
      <c r="I405" s="186">
        <f>SUM(H399:H403)</f>
        <v>17.96</v>
      </c>
      <c r="J405" s="186">
        <f>ROUNDUP(I405,1)</f>
        <v>18</v>
      </c>
    </row>
    <row r="406" spans="1:10" s="199" customFormat="1" ht="20.100000000000001" customHeight="1">
      <c r="A406" s="182"/>
      <c r="B406" s="216"/>
      <c r="C406" s="220"/>
      <c r="D406" s="220"/>
      <c r="E406" s="252"/>
      <c r="F406" s="197" t="s">
        <v>2560</v>
      </c>
      <c r="G406" s="197">
        <f>H405</f>
        <v>18</v>
      </c>
      <c r="H406" s="248" t="s">
        <v>1861</v>
      </c>
      <c r="I406" s="199">
        <v>16.100000000000001</v>
      </c>
      <c r="J406" s="199">
        <f>G406-I406</f>
        <v>1.9</v>
      </c>
    </row>
    <row r="407" spans="1:10" ht="20.100000000000001" customHeight="1">
      <c r="A407" s="244">
        <v>12.1</v>
      </c>
      <c r="B407" s="992" t="s">
        <v>3741</v>
      </c>
      <c r="C407" s="993"/>
      <c r="D407" s="993"/>
      <c r="E407" s="993"/>
      <c r="F407" s="993"/>
      <c r="G407" s="994"/>
      <c r="H407" s="205"/>
    </row>
    <row r="408" spans="1:10" ht="20.100000000000001" customHeight="1">
      <c r="A408" s="244"/>
      <c r="B408" s="216" t="s">
        <v>3742</v>
      </c>
      <c r="C408" s="219"/>
      <c r="D408" s="219"/>
      <c r="E408" s="205"/>
      <c r="F408" s="194"/>
      <c r="G408" s="213"/>
      <c r="H408" s="205"/>
    </row>
    <row r="409" spans="1:10" ht="20.100000000000001" customHeight="1">
      <c r="A409" s="244"/>
      <c r="B409" s="218" t="s">
        <v>3743</v>
      </c>
      <c r="C409" s="219">
        <v>1</v>
      </c>
      <c r="D409" s="219">
        <v>1</v>
      </c>
      <c r="E409" s="205">
        <v>3.15</v>
      </c>
      <c r="F409" s="194"/>
      <c r="G409" s="193">
        <v>0.9</v>
      </c>
      <c r="H409" s="205">
        <f>ROUND(PRODUCT(C409:G409),2)</f>
        <v>2.84</v>
      </c>
    </row>
    <row r="410" spans="1:10" ht="20.100000000000001" customHeight="1">
      <c r="A410" s="244"/>
      <c r="B410" s="218" t="s">
        <v>3744</v>
      </c>
      <c r="C410" s="219">
        <v>1</v>
      </c>
      <c r="D410" s="219">
        <v>1</v>
      </c>
      <c r="E410" s="205">
        <v>3.15</v>
      </c>
      <c r="F410" s="194"/>
      <c r="G410" s="193">
        <v>0.9</v>
      </c>
      <c r="H410" s="205">
        <f>ROUND(PRODUCT(C410:G410),2)</f>
        <v>2.84</v>
      </c>
    </row>
    <row r="411" spans="1:10" s="186" customFormat="1" ht="20.100000000000001" customHeight="1">
      <c r="A411" s="244"/>
      <c r="B411" s="218"/>
      <c r="C411" s="219"/>
      <c r="D411" s="219"/>
      <c r="E411" s="204"/>
      <c r="F411" s="193"/>
      <c r="G411" s="213"/>
      <c r="H411" s="205">
        <f>J412-I412</f>
        <v>0.02</v>
      </c>
    </row>
    <row r="412" spans="1:10" s="186" customFormat="1" ht="20.100000000000001" customHeight="1">
      <c r="A412" s="244"/>
      <c r="B412" s="218"/>
      <c r="C412" s="219"/>
      <c r="D412" s="219"/>
      <c r="E412" s="204"/>
      <c r="F412" s="193"/>
      <c r="G412" s="213" t="s">
        <v>1827</v>
      </c>
      <c r="H412" s="205">
        <f>J412</f>
        <v>5.7</v>
      </c>
      <c r="I412" s="186">
        <f>SUM(H409:H410)</f>
        <v>5.68</v>
      </c>
      <c r="J412" s="186">
        <f>ROUNDUP(I412,1)</f>
        <v>5.7</v>
      </c>
    </row>
    <row r="413" spans="1:10" s="199" customFormat="1" ht="20.100000000000001" customHeight="1">
      <c r="A413" s="182"/>
      <c r="B413" s="216"/>
      <c r="C413" s="220"/>
      <c r="D413" s="220"/>
      <c r="E413" s="252"/>
      <c r="F413" s="197" t="s">
        <v>2560</v>
      </c>
      <c r="G413" s="197">
        <f>H412</f>
        <v>5.7</v>
      </c>
      <c r="H413" s="248" t="s">
        <v>1861</v>
      </c>
    </row>
    <row r="414" spans="1:10" ht="20.100000000000001" customHeight="1">
      <c r="A414" s="244"/>
      <c r="B414" s="216" t="s">
        <v>3631</v>
      </c>
      <c r="C414" s="219"/>
      <c r="D414" s="219"/>
      <c r="E414" s="205"/>
      <c r="F414" s="194"/>
      <c r="G414" s="213"/>
      <c r="H414" s="205"/>
    </row>
    <row r="415" spans="1:10" ht="20.100000000000001" customHeight="1">
      <c r="A415" s="244"/>
      <c r="B415" s="218" t="s">
        <v>3743</v>
      </c>
      <c r="C415" s="219">
        <v>1</v>
      </c>
      <c r="D415" s="219">
        <v>1</v>
      </c>
      <c r="E415" s="205">
        <v>3.15</v>
      </c>
      <c r="F415" s="194"/>
      <c r="G415" s="193">
        <v>0.9</v>
      </c>
      <c r="H415" s="205">
        <f>ROUND(PRODUCT(C415:G415),2)</f>
        <v>2.84</v>
      </c>
    </row>
    <row r="416" spans="1:10" ht="20.100000000000001" customHeight="1">
      <c r="A416" s="244"/>
      <c r="B416" s="218" t="s">
        <v>3744</v>
      </c>
      <c r="C416" s="219">
        <v>1</v>
      </c>
      <c r="D416" s="219">
        <v>1</v>
      </c>
      <c r="E416" s="205">
        <v>3.15</v>
      </c>
      <c r="F416" s="194"/>
      <c r="G416" s="193">
        <v>0.9</v>
      </c>
      <c r="H416" s="205">
        <f>ROUND(PRODUCT(C416:G416),2)</f>
        <v>2.84</v>
      </c>
    </row>
    <row r="417" spans="1:10" s="186" customFormat="1" ht="20.100000000000001" customHeight="1">
      <c r="A417" s="244"/>
      <c r="B417" s="218"/>
      <c r="C417" s="219"/>
      <c r="D417" s="219"/>
      <c r="E417" s="204"/>
      <c r="F417" s="193"/>
      <c r="G417" s="213"/>
      <c r="H417" s="205">
        <f>J418-I418</f>
        <v>0.02</v>
      </c>
    </row>
    <row r="418" spans="1:10" s="186" customFormat="1" ht="20.100000000000001" customHeight="1">
      <c r="A418" s="244"/>
      <c r="B418" s="218"/>
      <c r="C418" s="219"/>
      <c r="D418" s="219"/>
      <c r="E418" s="204"/>
      <c r="F418" s="193"/>
      <c r="G418" s="213" t="s">
        <v>1827</v>
      </c>
      <c r="H418" s="205">
        <f>J418</f>
        <v>5.7</v>
      </c>
      <c r="I418" s="186">
        <f>SUM(H415:H416)</f>
        <v>5.68</v>
      </c>
      <c r="J418" s="186">
        <f>ROUNDUP(I418,1)</f>
        <v>5.7</v>
      </c>
    </row>
    <row r="419" spans="1:10" s="199" customFormat="1" ht="20.100000000000001" customHeight="1">
      <c r="A419" s="182"/>
      <c r="B419" s="216"/>
      <c r="C419" s="220"/>
      <c r="D419" s="220"/>
      <c r="E419" s="252"/>
      <c r="F419" s="197" t="s">
        <v>2560</v>
      </c>
      <c r="G419" s="197">
        <f>H418</f>
        <v>5.7</v>
      </c>
      <c r="H419" s="248" t="s">
        <v>1861</v>
      </c>
    </row>
    <row r="420" spans="1:10" ht="20.100000000000001" customHeight="1">
      <c r="A420" s="244"/>
      <c r="B420" s="216" t="s">
        <v>3640</v>
      </c>
      <c r="C420" s="219"/>
      <c r="D420" s="219"/>
      <c r="E420" s="205"/>
      <c r="F420" s="194"/>
      <c r="G420" s="213"/>
      <c r="H420" s="205"/>
    </row>
    <row r="421" spans="1:10" ht="20.100000000000001" customHeight="1">
      <c r="A421" s="244"/>
      <c r="B421" s="218" t="s">
        <v>3743</v>
      </c>
      <c r="C421" s="219">
        <v>1</v>
      </c>
      <c r="D421" s="219">
        <v>1</v>
      </c>
      <c r="E421" s="205">
        <v>3.15</v>
      </c>
      <c r="F421" s="194"/>
      <c r="G421" s="193">
        <v>0.9</v>
      </c>
      <c r="H421" s="205">
        <f>ROUND(PRODUCT(C421:G421),2)</f>
        <v>2.84</v>
      </c>
    </row>
    <row r="422" spans="1:10" ht="20.100000000000001" customHeight="1">
      <c r="A422" s="244"/>
      <c r="B422" s="218" t="s">
        <v>3744</v>
      </c>
      <c r="C422" s="219">
        <v>1</v>
      </c>
      <c r="D422" s="219">
        <v>1</v>
      </c>
      <c r="E422" s="205">
        <v>2.2000000000000002</v>
      </c>
      <c r="F422" s="194"/>
      <c r="G422" s="193">
        <v>0.9</v>
      </c>
      <c r="H422" s="205">
        <f>ROUND(PRODUCT(C422:G422),2)</f>
        <v>1.98</v>
      </c>
    </row>
    <row r="423" spans="1:10" s="186" customFormat="1" ht="20.100000000000001" customHeight="1">
      <c r="A423" s="244"/>
      <c r="B423" s="218"/>
      <c r="C423" s="219"/>
      <c r="D423" s="219"/>
      <c r="E423" s="204"/>
      <c r="F423" s="193"/>
      <c r="G423" s="213"/>
      <c r="H423" s="205">
        <f>J424-I424</f>
        <v>0.08</v>
      </c>
    </row>
    <row r="424" spans="1:10" s="186" customFormat="1" ht="20.100000000000001" customHeight="1">
      <c r="A424" s="244"/>
      <c r="B424" s="218"/>
      <c r="C424" s="219"/>
      <c r="D424" s="219"/>
      <c r="E424" s="204"/>
      <c r="F424" s="193"/>
      <c r="G424" s="213" t="s">
        <v>1827</v>
      </c>
      <c r="H424" s="205">
        <f>J424</f>
        <v>4.9000000000000004</v>
      </c>
      <c r="I424" s="186">
        <f>SUM(H421:H422)</f>
        <v>4.82</v>
      </c>
      <c r="J424" s="186">
        <f>ROUNDUP(I424,1)</f>
        <v>4.9000000000000004</v>
      </c>
    </row>
    <row r="425" spans="1:10" s="199" customFormat="1" ht="20.100000000000001" customHeight="1">
      <c r="A425" s="182"/>
      <c r="B425" s="216"/>
      <c r="C425" s="220"/>
      <c r="D425" s="220"/>
      <c r="E425" s="252"/>
      <c r="F425" s="197" t="s">
        <v>2560</v>
      </c>
      <c r="G425" s="197">
        <f>H424</f>
        <v>4.9000000000000004</v>
      </c>
      <c r="H425" s="248" t="s">
        <v>1861</v>
      </c>
    </row>
    <row r="426" spans="1:10" ht="34.9" customHeight="1">
      <c r="A426" s="244" t="s">
        <v>3745</v>
      </c>
      <c r="B426" s="992" t="s">
        <v>3746</v>
      </c>
      <c r="C426" s="993"/>
      <c r="D426" s="993"/>
      <c r="E426" s="993"/>
      <c r="F426" s="993"/>
      <c r="G426" s="994"/>
      <c r="H426" s="205"/>
    </row>
    <row r="427" spans="1:10" ht="20.100000000000001" customHeight="1">
      <c r="A427" s="244"/>
      <c r="B427" s="216" t="s">
        <v>3671</v>
      </c>
      <c r="C427" s="219"/>
      <c r="D427" s="219"/>
      <c r="E427" s="205"/>
      <c r="F427" s="194"/>
      <c r="G427" s="213"/>
      <c r="H427" s="205"/>
    </row>
    <row r="428" spans="1:10" ht="20.100000000000001" customHeight="1">
      <c r="A428" s="244"/>
      <c r="B428" s="218" t="s">
        <v>3747</v>
      </c>
      <c r="C428" s="219">
        <v>4</v>
      </c>
      <c r="D428" s="219">
        <v>4</v>
      </c>
      <c r="E428" s="205">
        <v>1</v>
      </c>
      <c r="F428" s="194">
        <v>0.45</v>
      </c>
      <c r="G428" s="213"/>
      <c r="H428" s="205">
        <f>ROUND(PRODUCT(C428:G428),2)</f>
        <v>7.2</v>
      </c>
    </row>
    <row r="429" spans="1:10" ht="20.100000000000001" customHeight="1">
      <c r="A429" s="244"/>
      <c r="B429" s="218" t="s">
        <v>3748</v>
      </c>
      <c r="C429" s="219">
        <v>4</v>
      </c>
      <c r="D429" s="219">
        <v>1</v>
      </c>
      <c r="E429" s="205">
        <v>1</v>
      </c>
      <c r="F429" s="194">
        <v>0.45</v>
      </c>
      <c r="G429" s="213"/>
      <c r="H429" s="205">
        <f>ROUND(PRODUCT(C429:G429),2)</f>
        <v>1.8</v>
      </c>
    </row>
    <row r="430" spans="1:10" ht="20.100000000000001" customHeight="1">
      <c r="A430" s="244"/>
      <c r="B430" s="218" t="s">
        <v>3749</v>
      </c>
      <c r="C430" s="219">
        <v>4</v>
      </c>
      <c r="D430" s="219">
        <v>2</v>
      </c>
      <c r="E430" s="205">
        <v>1</v>
      </c>
      <c r="F430" s="194">
        <v>0.45</v>
      </c>
      <c r="G430" s="213"/>
      <c r="H430" s="205">
        <f>ROUND(PRODUCT(C430:G430),2)</f>
        <v>3.6</v>
      </c>
    </row>
    <row r="431" spans="1:10" ht="20.100000000000001" customHeight="1">
      <c r="A431" s="244"/>
      <c r="B431" s="218" t="s">
        <v>3750</v>
      </c>
      <c r="C431" s="219">
        <v>4</v>
      </c>
      <c r="D431" s="219">
        <v>1</v>
      </c>
      <c r="E431" s="205">
        <v>1</v>
      </c>
      <c r="F431" s="194">
        <v>0.45</v>
      </c>
      <c r="G431" s="213"/>
      <c r="H431" s="205">
        <f>ROUND(PRODUCT(C431:G431),2)</f>
        <v>1.8</v>
      </c>
    </row>
    <row r="432" spans="1:10" s="186" customFormat="1" ht="20.100000000000001" customHeight="1">
      <c r="A432" s="244"/>
      <c r="B432" s="218"/>
      <c r="C432" s="219"/>
      <c r="D432" s="219"/>
      <c r="E432" s="204"/>
      <c r="F432" s="193"/>
      <c r="G432" s="213"/>
      <c r="H432" s="205">
        <f>J433-I433</f>
        <v>0</v>
      </c>
    </row>
    <row r="433" spans="1:10" s="186" customFormat="1" ht="20.100000000000001" customHeight="1">
      <c r="A433" s="244"/>
      <c r="B433" s="218"/>
      <c r="C433" s="219"/>
      <c r="D433" s="219"/>
      <c r="E433" s="204"/>
      <c r="F433" s="193"/>
      <c r="G433" s="213" t="s">
        <v>1827</v>
      </c>
      <c r="H433" s="205">
        <f>J433</f>
        <v>14.4</v>
      </c>
      <c r="I433" s="186">
        <f>SUM(H428:H431)</f>
        <v>14.4</v>
      </c>
      <c r="J433" s="186">
        <f>ROUNDUP(I433,1)</f>
        <v>14.4</v>
      </c>
    </row>
    <row r="434" spans="1:10" s="199" customFormat="1" ht="20.100000000000001" customHeight="1">
      <c r="A434" s="182"/>
      <c r="B434" s="216"/>
      <c r="C434" s="220"/>
      <c r="D434" s="220"/>
      <c r="E434" s="252"/>
      <c r="F434" s="197" t="s">
        <v>2560</v>
      </c>
      <c r="G434" s="197">
        <f>H433</f>
        <v>14.4</v>
      </c>
      <c r="H434" s="248" t="s">
        <v>1861</v>
      </c>
    </row>
    <row r="435" spans="1:10" ht="20.100000000000001" customHeight="1">
      <c r="A435" s="244"/>
      <c r="B435" s="216" t="s">
        <v>3687</v>
      </c>
      <c r="C435" s="219"/>
      <c r="D435" s="219"/>
      <c r="E435" s="205"/>
      <c r="F435" s="194"/>
      <c r="G435" s="213"/>
      <c r="H435" s="205"/>
    </row>
    <row r="436" spans="1:10" ht="20.100000000000001" customHeight="1">
      <c r="A436" s="244"/>
      <c r="B436" s="218" t="s">
        <v>3747</v>
      </c>
      <c r="C436" s="219">
        <v>8</v>
      </c>
      <c r="D436" s="219">
        <v>2</v>
      </c>
      <c r="E436" s="205">
        <v>1</v>
      </c>
      <c r="F436" s="194">
        <v>0.45</v>
      </c>
      <c r="G436" s="213"/>
      <c r="H436" s="205">
        <f>ROUND(PRODUCT(C436:G436),2)</f>
        <v>7.2</v>
      </c>
    </row>
    <row r="437" spans="1:10" ht="20.100000000000001" customHeight="1">
      <c r="A437" s="244"/>
      <c r="B437" s="218" t="s">
        <v>3751</v>
      </c>
      <c r="C437" s="219">
        <v>8</v>
      </c>
      <c r="D437" s="219">
        <v>2</v>
      </c>
      <c r="E437" s="205">
        <v>1</v>
      </c>
      <c r="F437" s="194">
        <v>0.45</v>
      </c>
      <c r="G437" s="213"/>
      <c r="H437" s="205">
        <f>ROUND(PRODUCT(C437:G437),2)</f>
        <v>7.2</v>
      </c>
    </row>
    <row r="438" spans="1:10" ht="20.100000000000001" customHeight="1">
      <c r="A438" s="244"/>
      <c r="B438" s="218" t="s">
        <v>3553</v>
      </c>
      <c r="C438" s="219">
        <v>4</v>
      </c>
      <c r="D438" s="219">
        <v>2</v>
      </c>
      <c r="E438" s="205">
        <v>1</v>
      </c>
      <c r="F438" s="194">
        <v>0.45</v>
      </c>
      <c r="G438" s="213"/>
      <c r="H438" s="205">
        <f>ROUND(PRODUCT(C438:G438),2)</f>
        <v>3.6</v>
      </c>
    </row>
    <row r="439" spans="1:10" ht="20.100000000000001" customHeight="1">
      <c r="A439" s="244"/>
      <c r="B439" s="218" t="s">
        <v>3752</v>
      </c>
      <c r="C439" s="219">
        <v>8</v>
      </c>
      <c r="D439" s="219">
        <v>2</v>
      </c>
      <c r="E439" s="205">
        <v>1</v>
      </c>
      <c r="F439" s="194">
        <v>0.45</v>
      </c>
      <c r="G439" s="213"/>
      <c r="H439" s="205">
        <f>ROUND(PRODUCT(C439:G439),2)</f>
        <v>7.2</v>
      </c>
    </row>
    <row r="440" spans="1:10" s="186" customFormat="1" ht="20.100000000000001" customHeight="1">
      <c r="A440" s="244"/>
      <c r="B440" s="218"/>
      <c r="C440" s="219"/>
      <c r="D440" s="219"/>
      <c r="E440" s="204"/>
      <c r="F440" s="193"/>
      <c r="G440" s="213"/>
      <c r="H440" s="205">
        <f>J441-I441</f>
        <v>0</v>
      </c>
    </row>
    <row r="441" spans="1:10" s="186" customFormat="1" ht="20.100000000000001" customHeight="1">
      <c r="A441" s="244"/>
      <c r="B441" s="218"/>
      <c r="C441" s="219"/>
      <c r="D441" s="219"/>
      <c r="E441" s="204"/>
      <c r="F441" s="193"/>
      <c r="G441" s="213" t="s">
        <v>1827</v>
      </c>
      <c r="H441" s="205">
        <f>J441</f>
        <v>25.2</v>
      </c>
      <c r="I441" s="186">
        <f>SUM(H436:H439)</f>
        <v>25.2</v>
      </c>
      <c r="J441" s="186">
        <f>ROUNDUP(I441,1)</f>
        <v>25.2</v>
      </c>
    </row>
    <row r="442" spans="1:10" s="199" customFormat="1" ht="20.100000000000001" customHeight="1">
      <c r="A442" s="182"/>
      <c r="B442" s="216"/>
      <c r="C442" s="220"/>
      <c r="D442" s="220"/>
      <c r="E442" s="252"/>
      <c r="F442" s="197" t="s">
        <v>2560</v>
      </c>
      <c r="G442" s="197">
        <f>H441</f>
        <v>25.2</v>
      </c>
      <c r="H442" s="248" t="s">
        <v>1861</v>
      </c>
    </row>
    <row r="443" spans="1:10" ht="34.9" customHeight="1">
      <c r="A443" s="244" t="s">
        <v>3753</v>
      </c>
      <c r="B443" s="992" t="s">
        <v>3754</v>
      </c>
      <c r="C443" s="993"/>
      <c r="D443" s="993"/>
      <c r="E443" s="993"/>
      <c r="F443" s="993"/>
      <c r="G443" s="994"/>
      <c r="H443" s="205"/>
    </row>
    <row r="444" spans="1:10" ht="20.100000000000001" customHeight="1">
      <c r="A444" s="244"/>
      <c r="B444" s="216" t="s">
        <v>3755</v>
      </c>
      <c r="C444" s="219"/>
      <c r="D444" s="219"/>
      <c r="E444" s="205"/>
      <c r="F444" s="194"/>
      <c r="G444" s="213"/>
      <c r="H444" s="205"/>
    </row>
    <row r="445" spans="1:10" ht="20.100000000000001" customHeight="1">
      <c r="A445" s="244"/>
      <c r="B445" s="218" t="s">
        <v>3756</v>
      </c>
      <c r="C445" s="219">
        <v>1</v>
      </c>
      <c r="D445" s="219">
        <v>8</v>
      </c>
      <c r="E445" s="205">
        <v>0.83</v>
      </c>
      <c r="F445" s="194">
        <v>0.82</v>
      </c>
      <c r="G445" s="213"/>
      <c r="H445" s="205">
        <f>ROUND(PRODUCT(C445:G445),2)</f>
        <v>5.44</v>
      </c>
    </row>
    <row r="446" spans="1:10" s="186" customFormat="1" ht="20.100000000000001" customHeight="1">
      <c r="A446" s="244"/>
      <c r="B446" s="218"/>
      <c r="C446" s="219"/>
      <c r="D446" s="219"/>
      <c r="E446" s="204"/>
      <c r="F446" s="193"/>
      <c r="G446" s="213"/>
      <c r="H446" s="205">
        <f>J447-I447</f>
        <v>0.06</v>
      </c>
    </row>
    <row r="447" spans="1:10" s="186" customFormat="1" ht="20.100000000000001" customHeight="1">
      <c r="A447" s="244"/>
      <c r="B447" s="218"/>
      <c r="C447" s="219"/>
      <c r="D447" s="219"/>
      <c r="E447" s="204"/>
      <c r="F447" s="193"/>
      <c r="G447" s="213" t="s">
        <v>1827</v>
      </c>
      <c r="H447" s="205">
        <f>J447</f>
        <v>5.5</v>
      </c>
      <c r="I447" s="186">
        <f>SUM(H445)</f>
        <v>5.44</v>
      </c>
      <c r="J447" s="186">
        <f>ROUNDUP(I447,1)</f>
        <v>5.5</v>
      </c>
    </row>
    <row r="448" spans="1:10" s="199" customFormat="1" ht="20.100000000000001" customHeight="1">
      <c r="A448" s="182"/>
      <c r="B448" s="216"/>
      <c r="C448" s="220"/>
      <c r="D448" s="220"/>
      <c r="E448" s="252"/>
      <c r="F448" s="197" t="s">
        <v>2560</v>
      </c>
      <c r="G448" s="197">
        <f>H447</f>
        <v>5.5</v>
      </c>
      <c r="H448" s="248" t="s">
        <v>1861</v>
      </c>
    </row>
    <row r="449" spans="1:10" ht="20.100000000000001" customHeight="1">
      <c r="A449" s="244"/>
      <c r="B449" s="216" t="s">
        <v>3705</v>
      </c>
      <c r="C449" s="219"/>
      <c r="D449" s="219"/>
      <c r="E449" s="205"/>
      <c r="F449" s="194"/>
      <c r="G449" s="213"/>
      <c r="H449" s="205"/>
    </row>
    <row r="450" spans="1:10" ht="20.100000000000001" customHeight="1">
      <c r="A450" s="244"/>
      <c r="B450" s="218" t="s">
        <v>3747</v>
      </c>
      <c r="C450" s="219">
        <v>2</v>
      </c>
      <c r="D450" s="219">
        <v>2</v>
      </c>
      <c r="E450" s="205">
        <v>1</v>
      </c>
      <c r="F450" s="194">
        <v>0.45</v>
      </c>
      <c r="G450" s="213"/>
      <c r="H450" s="205">
        <f>ROUND(PRODUCT(C450:G450),2)</f>
        <v>1.8</v>
      </c>
    </row>
    <row r="451" spans="1:10" ht="20.100000000000001" customHeight="1">
      <c r="A451" s="244"/>
      <c r="B451" s="218" t="s">
        <v>3748</v>
      </c>
      <c r="C451" s="219">
        <v>1</v>
      </c>
      <c r="D451" s="219">
        <v>1</v>
      </c>
      <c r="E451" s="205">
        <v>1</v>
      </c>
      <c r="F451" s="194">
        <v>0.45</v>
      </c>
      <c r="G451" s="213"/>
      <c r="H451" s="205">
        <f>ROUND(PRODUCT(C451:G451),2)</f>
        <v>0.45</v>
      </c>
    </row>
    <row r="452" spans="1:10" ht="20.100000000000001" customHeight="1">
      <c r="A452" s="244"/>
      <c r="B452" s="218" t="s">
        <v>3553</v>
      </c>
      <c r="C452" s="219">
        <v>2</v>
      </c>
      <c r="D452" s="219">
        <v>1</v>
      </c>
      <c r="E452" s="205">
        <v>1</v>
      </c>
      <c r="F452" s="194">
        <v>0.45</v>
      </c>
      <c r="G452" s="213"/>
      <c r="H452" s="205">
        <f>ROUND(PRODUCT(C452:G452),2)</f>
        <v>0.9</v>
      </c>
    </row>
    <row r="453" spans="1:10" ht="20.100000000000001" customHeight="1">
      <c r="A453" s="244"/>
      <c r="B453" s="218" t="s">
        <v>3757</v>
      </c>
      <c r="C453" s="219">
        <v>1</v>
      </c>
      <c r="D453" s="219">
        <v>1</v>
      </c>
      <c r="E453" s="205">
        <v>1</v>
      </c>
      <c r="F453" s="194">
        <v>0.45</v>
      </c>
      <c r="G453" s="213"/>
      <c r="H453" s="205">
        <f>ROUND(PRODUCT(C453:G453),2)</f>
        <v>0.45</v>
      </c>
    </row>
    <row r="454" spans="1:10" s="186" customFormat="1" ht="20.100000000000001" customHeight="1">
      <c r="A454" s="244"/>
      <c r="B454" s="218"/>
      <c r="C454" s="219"/>
      <c r="D454" s="219"/>
      <c r="E454" s="204"/>
      <c r="F454" s="193"/>
      <c r="G454" s="213"/>
      <c r="H454" s="205">
        <f>J455-I455</f>
        <v>0</v>
      </c>
    </row>
    <row r="455" spans="1:10" s="186" customFormat="1" ht="20.100000000000001" customHeight="1">
      <c r="A455" s="244"/>
      <c r="B455" s="218"/>
      <c r="C455" s="219"/>
      <c r="D455" s="219"/>
      <c r="E455" s="204"/>
      <c r="F455" s="193"/>
      <c r="G455" s="213" t="s">
        <v>1827</v>
      </c>
      <c r="H455" s="205">
        <f>J455</f>
        <v>3.6</v>
      </c>
      <c r="I455" s="186">
        <f>SUM(H450:H453)</f>
        <v>3.6</v>
      </c>
      <c r="J455" s="186">
        <f>ROUNDUP(I455,1)</f>
        <v>3.6</v>
      </c>
    </row>
    <row r="456" spans="1:10" s="199" customFormat="1" ht="20.100000000000001" customHeight="1">
      <c r="A456" s="182"/>
      <c r="B456" s="216"/>
      <c r="C456" s="220"/>
      <c r="D456" s="220"/>
      <c r="E456" s="252"/>
      <c r="F456" s="197" t="s">
        <v>2560</v>
      </c>
      <c r="G456" s="197">
        <f>H455</f>
        <v>3.6</v>
      </c>
      <c r="H456" s="248" t="s">
        <v>1861</v>
      </c>
    </row>
    <row r="457" spans="1:10" ht="20.100000000000001" customHeight="1">
      <c r="A457" s="244"/>
      <c r="B457" s="216" t="s">
        <v>4806</v>
      </c>
      <c r="C457" s="219"/>
      <c r="D457" s="219"/>
      <c r="E457" s="205"/>
      <c r="F457" s="194"/>
      <c r="G457" s="213"/>
      <c r="H457" s="205"/>
    </row>
    <row r="458" spans="1:10" ht="20.100000000000001" customHeight="1">
      <c r="A458" s="244"/>
      <c r="B458" s="218" t="s">
        <v>3747</v>
      </c>
      <c r="C458" s="219">
        <v>2</v>
      </c>
      <c r="D458" s="219">
        <v>2</v>
      </c>
      <c r="E458" s="205">
        <v>1</v>
      </c>
      <c r="F458" s="194">
        <v>0.45</v>
      </c>
      <c r="G458" s="213"/>
      <c r="H458" s="205">
        <f>ROUND(PRODUCT(C458:G458),2)</f>
        <v>1.8</v>
      </c>
    </row>
    <row r="459" spans="1:10" ht="20.100000000000001" customHeight="1">
      <c r="A459" s="244"/>
      <c r="B459" s="218" t="s">
        <v>3751</v>
      </c>
      <c r="C459" s="219">
        <v>1</v>
      </c>
      <c r="D459" s="219">
        <v>4</v>
      </c>
      <c r="E459" s="205">
        <v>1</v>
      </c>
      <c r="F459" s="194">
        <v>0.45</v>
      </c>
      <c r="G459" s="213"/>
      <c r="H459" s="205">
        <f>ROUND(PRODUCT(C459:G459),2)</f>
        <v>1.8</v>
      </c>
    </row>
    <row r="460" spans="1:10" ht="20.100000000000001" customHeight="1">
      <c r="A460" s="244"/>
      <c r="B460" s="218" t="s">
        <v>3553</v>
      </c>
      <c r="C460" s="219">
        <v>2</v>
      </c>
      <c r="D460" s="219">
        <v>1</v>
      </c>
      <c r="E460" s="205">
        <v>1</v>
      </c>
      <c r="F460" s="194">
        <v>0.45</v>
      </c>
      <c r="G460" s="213"/>
      <c r="H460" s="205">
        <f>ROUND(PRODUCT(C460:G460),2)</f>
        <v>0.9</v>
      </c>
    </row>
    <row r="461" spans="1:10" ht="20.100000000000001" customHeight="1">
      <c r="A461" s="244"/>
      <c r="B461" s="218" t="s">
        <v>3752</v>
      </c>
      <c r="C461" s="219">
        <v>1</v>
      </c>
      <c r="D461" s="219">
        <v>4</v>
      </c>
      <c r="E461" s="205">
        <v>1</v>
      </c>
      <c r="F461" s="194">
        <v>0.45</v>
      </c>
      <c r="G461" s="213"/>
      <c r="H461" s="205">
        <f>ROUND(PRODUCT(C461:G461),2)</f>
        <v>1.8</v>
      </c>
    </row>
    <row r="462" spans="1:10" s="186" customFormat="1" ht="20.100000000000001" customHeight="1">
      <c r="A462" s="244"/>
      <c r="B462" s="218"/>
      <c r="C462" s="219"/>
      <c r="D462" s="219"/>
      <c r="E462" s="204"/>
      <c r="F462" s="193"/>
      <c r="G462" s="213"/>
      <c r="H462" s="205">
        <f>J463-I463</f>
        <v>0</v>
      </c>
    </row>
    <row r="463" spans="1:10" s="186" customFormat="1" ht="20.100000000000001" customHeight="1">
      <c r="A463" s="244"/>
      <c r="B463" s="218"/>
      <c r="C463" s="219"/>
      <c r="D463" s="219"/>
      <c r="E463" s="204"/>
      <c r="F463" s="193"/>
      <c r="G463" s="213" t="s">
        <v>1827</v>
      </c>
      <c r="H463" s="205">
        <f>J463</f>
        <v>6.3</v>
      </c>
      <c r="I463" s="186">
        <f>SUM(H458:H461)</f>
        <v>6.3</v>
      </c>
      <c r="J463" s="186">
        <f>ROUNDUP(I463,1)</f>
        <v>6.3</v>
      </c>
    </row>
    <row r="464" spans="1:10" s="199" customFormat="1" ht="20.100000000000001" customHeight="1">
      <c r="A464" s="182"/>
      <c r="B464" s="216"/>
      <c r="C464" s="220"/>
      <c r="D464" s="220"/>
      <c r="E464" s="252"/>
      <c r="F464" s="197" t="s">
        <v>2560</v>
      </c>
      <c r="G464" s="197">
        <f>H463</f>
        <v>6.3</v>
      </c>
      <c r="H464" s="248" t="s">
        <v>1861</v>
      </c>
    </row>
    <row r="465" spans="1:10" ht="19.899999999999999" customHeight="1">
      <c r="A465" s="244">
        <v>21.2</v>
      </c>
      <c r="B465" s="992" t="s">
        <v>1677</v>
      </c>
      <c r="C465" s="993"/>
      <c r="D465" s="993"/>
      <c r="E465" s="993"/>
      <c r="F465" s="993"/>
      <c r="G465" s="994"/>
      <c r="H465" s="205"/>
    </row>
    <row r="466" spans="1:10" ht="20.100000000000001" customHeight="1">
      <c r="A466" s="244"/>
      <c r="B466" s="216" t="s">
        <v>3758</v>
      </c>
      <c r="C466" s="219"/>
      <c r="D466" s="219"/>
      <c r="E466" s="205"/>
      <c r="F466" s="194"/>
      <c r="G466" s="213"/>
      <c r="H466" s="205"/>
    </row>
    <row r="467" spans="1:10" ht="20.100000000000001" customHeight="1">
      <c r="A467" s="244"/>
      <c r="B467" s="218" t="s">
        <v>3759</v>
      </c>
      <c r="C467" s="219">
        <v>1</v>
      </c>
      <c r="D467" s="219">
        <v>2</v>
      </c>
      <c r="E467" s="205">
        <v>2.1</v>
      </c>
      <c r="F467" s="194">
        <v>0.15</v>
      </c>
      <c r="G467" s="193">
        <v>0.1</v>
      </c>
      <c r="H467" s="256">
        <f>ROUND(PRODUCT(C467:G467),3)</f>
        <v>6.3E-2</v>
      </c>
    </row>
    <row r="468" spans="1:10" ht="20.100000000000001" customHeight="1">
      <c r="A468" s="244"/>
      <c r="B468" s="218" t="s">
        <v>3760</v>
      </c>
      <c r="C468" s="219">
        <v>1</v>
      </c>
      <c r="D468" s="219">
        <v>2</v>
      </c>
      <c r="E468" s="205">
        <v>2.1</v>
      </c>
      <c r="F468" s="236">
        <v>0.15</v>
      </c>
      <c r="G468" s="235">
        <v>0.1</v>
      </c>
      <c r="H468" s="256">
        <f>ROUND(PRODUCT(C468:G468),3)</f>
        <v>6.3E-2</v>
      </c>
    </row>
    <row r="469" spans="1:10" s="186" customFormat="1" ht="20.100000000000001" customHeight="1">
      <c r="A469" s="244"/>
      <c r="B469" s="218"/>
      <c r="C469" s="219"/>
      <c r="D469" s="219"/>
      <c r="E469" s="204"/>
      <c r="F469" s="193"/>
      <c r="G469" s="213"/>
      <c r="H469" s="256"/>
      <c r="I469" s="229">
        <f>SUM(H467:H468)</f>
        <v>0.126</v>
      </c>
      <c r="J469" s="229">
        <f>ROUNDUP(I469,4)</f>
        <v>0.126</v>
      </c>
    </row>
    <row r="470" spans="1:10" s="186" customFormat="1" ht="20.100000000000001" customHeight="1">
      <c r="A470" s="244"/>
      <c r="B470" s="218"/>
      <c r="C470" s="219"/>
      <c r="D470" s="219"/>
      <c r="E470" s="204"/>
      <c r="F470" s="193"/>
      <c r="G470" s="213" t="s">
        <v>1827</v>
      </c>
      <c r="H470" s="256">
        <f>J469</f>
        <v>0.126</v>
      </c>
      <c r="I470" s="229"/>
    </row>
    <row r="471" spans="1:10" s="199" customFormat="1" ht="20.100000000000001" customHeight="1">
      <c r="A471" s="182"/>
      <c r="B471" s="216"/>
      <c r="C471" s="220"/>
      <c r="D471" s="220"/>
      <c r="E471" s="252"/>
      <c r="F471" s="197" t="s">
        <v>2560</v>
      </c>
      <c r="G471" s="255">
        <f>H470</f>
        <v>0.126</v>
      </c>
      <c r="H471" s="248" t="s">
        <v>1749</v>
      </c>
    </row>
    <row r="472" spans="1:10" ht="25.15" customHeight="1">
      <c r="A472" s="244"/>
      <c r="B472" s="216" t="s">
        <v>3761</v>
      </c>
      <c r="C472" s="219"/>
      <c r="D472" s="219"/>
      <c r="E472" s="205"/>
      <c r="F472" s="194"/>
      <c r="G472" s="213"/>
      <c r="H472" s="205"/>
    </row>
    <row r="473" spans="1:10" ht="20.100000000000001" customHeight="1">
      <c r="A473" s="244"/>
      <c r="B473" s="218" t="s">
        <v>3762</v>
      </c>
      <c r="C473" s="219">
        <v>1</v>
      </c>
      <c r="D473" s="219">
        <v>1</v>
      </c>
      <c r="E473" s="205">
        <v>1.8</v>
      </c>
      <c r="F473" s="194">
        <v>0.15</v>
      </c>
      <c r="G473" s="235">
        <v>0.1</v>
      </c>
      <c r="H473" s="256">
        <f>ROUND(PRODUCT(C473:G473),3)</f>
        <v>2.7E-2</v>
      </c>
    </row>
    <row r="474" spans="1:10" ht="20.100000000000001" customHeight="1">
      <c r="A474" s="244"/>
      <c r="B474" s="218" t="s">
        <v>3763</v>
      </c>
      <c r="C474" s="219">
        <v>1</v>
      </c>
      <c r="D474" s="219">
        <v>1</v>
      </c>
      <c r="E474" s="205">
        <v>1.8</v>
      </c>
      <c r="F474" s="194">
        <v>0.15</v>
      </c>
      <c r="G474" s="235">
        <v>0.05</v>
      </c>
      <c r="H474" s="256">
        <f>ROUND(PRODUCT(C474:G474),3)</f>
        <v>1.4E-2</v>
      </c>
    </row>
    <row r="475" spans="1:10" ht="20.100000000000001" customHeight="1">
      <c r="A475" s="244"/>
      <c r="B475" s="218" t="s">
        <v>3764</v>
      </c>
      <c r="C475" s="219">
        <v>1</v>
      </c>
      <c r="D475" s="219">
        <v>1</v>
      </c>
      <c r="E475" s="205">
        <v>1.2</v>
      </c>
      <c r="F475" s="236">
        <v>0.15</v>
      </c>
      <c r="G475" s="235">
        <v>0.1</v>
      </c>
      <c r="H475" s="256">
        <f>ROUND(PRODUCT(C475:G475),3)</f>
        <v>1.7999999999999999E-2</v>
      </c>
    </row>
    <row r="476" spans="1:10" ht="20.100000000000001" customHeight="1">
      <c r="A476" s="244"/>
      <c r="B476" s="218" t="s">
        <v>3765</v>
      </c>
      <c r="C476" s="219">
        <v>1</v>
      </c>
      <c r="D476" s="219">
        <v>1</v>
      </c>
      <c r="E476" s="247">
        <v>1.2</v>
      </c>
      <c r="F476" s="236">
        <v>0.15</v>
      </c>
      <c r="G476" s="193">
        <v>0.05</v>
      </c>
      <c r="H476" s="256">
        <f>ROUND(PRODUCT(C476:G476),3)</f>
        <v>8.9999999999999993E-3</v>
      </c>
    </row>
    <row r="477" spans="1:10" s="186" customFormat="1" ht="20.100000000000001" customHeight="1">
      <c r="A477" s="244"/>
      <c r="B477" s="218"/>
      <c r="C477" s="219"/>
      <c r="D477" s="219"/>
      <c r="E477" s="204"/>
      <c r="F477" s="193"/>
      <c r="G477" s="213"/>
      <c r="H477" s="256">
        <f>J478-I478</f>
        <v>0</v>
      </c>
    </row>
    <row r="478" spans="1:10" s="186" customFormat="1" ht="20.100000000000001" customHeight="1">
      <c r="A478" s="244"/>
      <c r="B478" s="218"/>
      <c r="C478" s="219"/>
      <c r="D478" s="219"/>
      <c r="E478" s="204"/>
      <c r="F478" s="193"/>
      <c r="G478" s="213" t="s">
        <v>1827</v>
      </c>
      <c r="H478" s="256">
        <f>J478</f>
        <v>6.8000000000000005E-2</v>
      </c>
      <c r="I478" s="229">
        <f>SUM(H473:H476)</f>
        <v>6.8000000000000005E-2</v>
      </c>
      <c r="J478" s="229">
        <f>ROUNDUP(I478,4)</f>
        <v>6.8000000000000005E-2</v>
      </c>
    </row>
    <row r="479" spans="1:10" s="199" customFormat="1" ht="20.100000000000001" customHeight="1">
      <c r="A479" s="182"/>
      <c r="B479" s="216"/>
      <c r="C479" s="220"/>
      <c r="D479" s="220"/>
      <c r="E479" s="252"/>
      <c r="F479" s="197" t="s">
        <v>2560</v>
      </c>
      <c r="G479" s="255">
        <f>H478</f>
        <v>6.8000000000000005E-2</v>
      </c>
      <c r="H479" s="248" t="s">
        <v>1749</v>
      </c>
    </row>
    <row r="480" spans="1:10" ht="19.899999999999999" customHeight="1">
      <c r="A480" s="244" t="s">
        <v>3766</v>
      </c>
      <c r="B480" s="992" t="s">
        <v>3767</v>
      </c>
      <c r="C480" s="993"/>
      <c r="D480" s="993"/>
      <c r="E480" s="993"/>
      <c r="F480" s="993"/>
      <c r="G480" s="994"/>
      <c r="H480" s="205"/>
    </row>
    <row r="481" spans="1:10" ht="19.899999999999999" customHeight="1">
      <c r="A481" s="244"/>
      <c r="B481" s="218" t="s">
        <v>4287</v>
      </c>
      <c r="C481" s="219">
        <v>1</v>
      </c>
      <c r="D481" s="219">
        <v>1</v>
      </c>
      <c r="E481" s="205">
        <v>1.7</v>
      </c>
      <c r="F481" s="194"/>
      <c r="G481" s="249">
        <v>2.0249999999999999</v>
      </c>
      <c r="H481" s="205">
        <f>ROUND(PRODUCT(C481:G481),2)</f>
        <v>3.44</v>
      </c>
    </row>
    <row r="482" spans="1:10" s="186" customFormat="1" ht="19.899999999999999" customHeight="1">
      <c r="A482" s="244"/>
      <c r="B482" s="218"/>
      <c r="C482" s="219"/>
      <c r="D482" s="219"/>
      <c r="E482" s="204"/>
      <c r="F482" s="193"/>
      <c r="G482" s="213"/>
      <c r="H482" s="205">
        <f>J483-I483</f>
        <v>0.06</v>
      </c>
    </row>
    <row r="483" spans="1:10" s="186" customFormat="1" ht="19.899999999999999" customHeight="1">
      <c r="A483" s="244"/>
      <c r="B483" s="218"/>
      <c r="C483" s="219"/>
      <c r="D483" s="219"/>
      <c r="E483" s="204"/>
      <c r="F483" s="193"/>
      <c r="G483" s="213" t="s">
        <v>1827</v>
      </c>
      <c r="H483" s="205">
        <f>J483</f>
        <v>3.5</v>
      </c>
      <c r="I483" s="186">
        <f>SUM(H481:H481)</f>
        <v>3.44</v>
      </c>
      <c r="J483" s="186">
        <f>ROUNDUP(I483,1)</f>
        <v>3.5</v>
      </c>
    </row>
    <row r="484" spans="1:10" s="199" customFormat="1" ht="19.899999999999999" customHeight="1">
      <c r="A484" s="182"/>
      <c r="B484" s="216"/>
      <c r="C484" s="220"/>
      <c r="D484" s="220"/>
      <c r="E484" s="252"/>
      <c r="F484" s="197" t="s">
        <v>2560</v>
      </c>
      <c r="G484" s="197">
        <f>H483</f>
        <v>3.5</v>
      </c>
      <c r="H484" s="248" t="s">
        <v>1861</v>
      </c>
    </row>
    <row r="485" spans="1:10" ht="25.15" customHeight="1">
      <c r="A485" s="244" t="s">
        <v>3768</v>
      </c>
      <c r="B485" s="992" t="s">
        <v>3769</v>
      </c>
      <c r="C485" s="993"/>
      <c r="D485" s="993"/>
      <c r="E485" s="993"/>
      <c r="F485" s="993"/>
      <c r="G485" s="994"/>
      <c r="H485" s="205"/>
    </row>
    <row r="486" spans="1:10" ht="23.25" customHeight="1">
      <c r="A486" s="244"/>
      <c r="B486" s="257" t="s">
        <v>3770</v>
      </c>
      <c r="C486" s="258"/>
      <c r="D486" s="258"/>
      <c r="E486" s="259"/>
      <c r="F486" s="260"/>
      <c r="G486" s="261"/>
      <c r="H486" s="205"/>
    </row>
    <row r="487" spans="1:10" ht="20.100000000000001" customHeight="1">
      <c r="A487" s="244"/>
      <c r="B487" s="218" t="s">
        <v>3483</v>
      </c>
      <c r="C487" s="219"/>
      <c r="D487" s="219"/>
      <c r="E487" s="205"/>
      <c r="F487" s="194"/>
      <c r="G487" s="213"/>
      <c r="H487" s="205"/>
    </row>
    <row r="488" spans="1:10" ht="20.100000000000001" customHeight="1">
      <c r="A488" s="244"/>
      <c r="B488" s="218" t="s">
        <v>3771</v>
      </c>
      <c r="C488" s="219">
        <v>1</v>
      </c>
      <c r="D488" s="219">
        <v>2</v>
      </c>
      <c r="E488" s="247">
        <v>0.9</v>
      </c>
      <c r="F488" s="194"/>
      <c r="G488" s="249">
        <v>2.0249999999999999</v>
      </c>
      <c r="H488" s="205">
        <f>ROUND(PRODUCT(C488:G488),2)</f>
        <v>3.65</v>
      </c>
    </row>
    <row r="489" spans="1:10" ht="20.100000000000001" customHeight="1">
      <c r="A489" s="244"/>
      <c r="B489" s="218" t="s">
        <v>3772</v>
      </c>
      <c r="C489" s="219">
        <v>1</v>
      </c>
      <c r="D489" s="219">
        <v>5</v>
      </c>
      <c r="E489" s="247">
        <v>0.9</v>
      </c>
      <c r="F489" s="194"/>
      <c r="G489" s="249">
        <v>2.0249999999999999</v>
      </c>
      <c r="H489" s="205">
        <f>ROUND(PRODUCT(C489:G489),2)</f>
        <v>9.11</v>
      </c>
    </row>
    <row r="490" spans="1:10" ht="20.100000000000001" customHeight="1">
      <c r="A490" s="244"/>
      <c r="B490" s="218" t="s">
        <v>3773</v>
      </c>
      <c r="C490" s="219">
        <v>1</v>
      </c>
      <c r="D490" s="219">
        <v>6</v>
      </c>
      <c r="E490" s="247">
        <v>0.9</v>
      </c>
      <c r="F490" s="194"/>
      <c r="G490" s="249">
        <v>2.0249999999999999</v>
      </c>
      <c r="H490" s="205">
        <f>ROUND(PRODUCT(C490:G490),2)</f>
        <v>10.94</v>
      </c>
    </row>
    <row r="491" spans="1:10" ht="20.100000000000001" customHeight="1">
      <c r="A491" s="244"/>
      <c r="B491" s="218" t="s">
        <v>3774</v>
      </c>
      <c r="C491" s="219">
        <v>1</v>
      </c>
      <c r="D491" s="219">
        <v>1</v>
      </c>
      <c r="E491" s="247">
        <v>0.9</v>
      </c>
      <c r="F491" s="194"/>
      <c r="G491" s="249">
        <v>2.0249999999999999</v>
      </c>
      <c r="H491" s="205">
        <f>ROUND(PRODUCT(C491:G491),2)</f>
        <v>1.82</v>
      </c>
    </row>
    <row r="492" spans="1:10" s="186" customFormat="1" ht="20.100000000000001" customHeight="1">
      <c r="A492" s="244"/>
      <c r="B492" s="218"/>
      <c r="C492" s="219"/>
      <c r="D492" s="219"/>
      <c r="E492" s="204"/>
      <c r="F492" s="193"/>
      <c r="G492" s="213"/>
      <c r="H492" s="205">
        <f>J493-I493</f>
        <v>0.08</v>
      </c>
    </row>
    <row r="493" spans="1:10" s="186" customFormat="1" ht="20.100000000000001" customHeight="1">
      <c r="A493" s="244"/>
      <c r="B493" s="218"/>
      <c r="C493" s="219"/>
      <c r="D493" s="219"/>
      <c r="E493" s="204"/>
      <c r="F493" s="193"/>
      <c r="G493" s="213" t="s">
        <v>1827</v>
      </c>
      <c r="H493" s="205">
        <f>J493</f>
        <v>25.6</v>
      </c>
      <c r="I493" s="186">
        <f>SUM(H488:H491)</f>
        <v>25.52</v>
      </c>
      <c r="J493" s="186">
        <f>ROUNDUP(I493,1)</f>
        <v>25.6</v>
      </c>
    </row>
    <row r="494" spans="1:10" s="199" customFormat="1" ht="20.100000000000001" customHeight="1">
      <c r="A494" s="182"/>
      <c r="B494" s="216"/>
      <c r="C494" s="220"/>
      <c r="D494" s="220"/>
      <c r="E494" s="252"/>
      <c r="F494" s="197" t="s">
        <v>2560</v>
      </c>
      <c r="G494" s="197">
        <f>H493</f>
        <v>25.6</v>
      </c>
      <c r="H494" s="248" t="s">
        <v>1861</v>
      </c>
    </row>
    <row r="495" spans="1:10" ht="34.9" customHeight="1">
      <c r="A495" s="244" t="s">
        <v>3775</v>
      </c>
      <c r="B495" s="992" t="s">
        <v>3776</v>
      </c>
      <c r="C495" s="993"/>
      <c r="D495" s="993"/>
      <c r="E495" s="993"/>
      <c r="F495" s="993"/>
      <c r="G495" s="994"/>
      <c r="H495" s="205"/>
    </row>
    <row r="496" spans="1:10" ht="20.100000000000001" customHeight="1">
      <c r="A496" s="244"/>
      <c r="B496" s="218" t="s">
        <v>3777</v>
      </c>
      <c r="C496" s="219">
        <v>1</v>
      </c>
      <c r="D496" s="219">
        <v>1</v>
      </c>
      <c r="E496" s="205">
        <v>1.1000000000000001</v>
      </c>
      <c r="F496" s="194"/>
      <c r="G496" s="249">
        <v>2.0249999999999999</v>
      </c>
      <c r="H496" s="205">
        <f>ROUND(PRODUCT(C496:G496),2)</f>
        <v>2.23</v>
      </c>
    </row>
    <row r="497" spans="1:10" s="186" customFormat="1" ht="20.100000000000001" customHeight="1">
      <c r="A497" s="244"/>
      <c r="B497" s="218"/>
      <c r="C497" s="219"/>
      <c r="D497" s="219"/>
      <c r="E497" s="204"/>
      <c r="F497" s="193"/>
      <c r="G497" s="213"/>
      <c r="H497" s="205">
        <f>J498-I498</f>
        <v>7.0000000000000007E-2</v>
      </c>
    </row>
    <row r="498" spans="1:10" s="186" customFormat="1" ht="20.100000000000001" customHeight="1">
      <c r="A498" s="244"/>
      <c r="B498" s="218"/>
      <c r="C498" s="219"/>
      <c r="D498" s="219"/>
      <c r="E498" s="204"/>
      <c r="F498" s="193"/>
      <c r="G498" s="213" t="s">
        <v>1827</v>
      </c>
      <c r="H498" s="205">
        <f>J498</f>
        <v>2.2999999999999998</v>
      </c>
      <c r="I498" s="186">
        <f>SUM(H496)</f>
        <v>2.23</v>
      </c>
      <c r="J498" s="186">
        <f>ROUNDUP(I498,1)</f>
        <v>2.2999999999999998</v>
      </c>
    </row>
    <row r="499" spans="1:10" s="199" customFormat="1" ht="20.100000000000001" customHeight="1">
      <c r="A499" s="182"/>
      <c r="B499" s="216"/>
      <c r="C499" s="220"/>
      <c r="D499" s="220"/>
      <c r="E499" s="252"/>
      <c r="F499" s="197" t="s">
        <v>2560</v>
      </c>
      <c r="G499" s="197">
        <f>H498</f>
        <v>2.2999999999999998</v>
      </c>
      <c r="H499" s="248" t="s">
        <v>1861</v>
      </c>
    </row>
    <row r="500" spans="1:10" ht="34.9" customHeight="1">
      <c r="A500" s="244" t="s">
        <v>2130</v>
      </c>
      <c r="B500" s="992" t="s">
        <v>4804</v>
      </c>
      <c r="C500" s="993"/>
      <c r="D500" s="993"/>
      <c r="E500" s="993"/>
      <c r="F500" s="993"/>
      <c r="G500" s="994"/>
      <c r="H500" s="205"/>
    </row>
    <row r="501" spans="1:10" ht="20.100000000000001" customHeight="1">
      <c r="A501" s="244"/>
      <c r="B501" s="218" t="s">
        <v>3611</v>
      </c>
      <c r="C501" s="219"/>
      <c r="D501" s="219"/>
      <c r="E501" s="205"/>
      <c r="F501" s="194"/>
      <c r="G501" s="213"/>
      <c r="H501" s="205"/>
    </row>
    <row r="502" spans="1:10" ht="20.100000000000001" customHeight="1">
      <c r="A502" s="244"/>
      <c r="B502" s="218" t="s">
        <v>3771</v>
      </c>
      <c r="C502" s="219">
        <v>1</v>
      </c>
      <c r="D502" s="219">
        <v>2</v>
      </c>
      <c r="E502" s="205">
        <v>0.75</v>
      </c>
      <c r="F502" s="194"/>
      <c r="G502" s="193">
        <v>2.1</v>
      </c>
      <c r="H502" s="205">
        <f>ROUND(PRODUCT(C502:G502),2)</f>
        <v>3.15</v>
      </c>
    </row>
    <row r="503" spans="1:10" ht="20.100000000000001" customHeight="1">
      <c r="A503" s="244"/>
      <c r="B503" s="218" t="s">
        <v>3772</v>
      </c>
      <c r="C503" s="219">
        <v>1</v>
      </c>
      <c r="D503" s="219">
        <v>2</v>
      </c>
      <c r="E503" s="205">
        <v>0.75</v>
      </c>
      <c r="F503" s="194"/>
      <c r="G503" s="193">
        <v>2.1</v>
      </c>
      <c r="H503" s="205">
        <f>ROUND(PRODUCT(C503:G503),2)</f>
        <v>3.15</v>
      </c>
    </row>
    <row r="504" spans="1:10" ht="20.100000000000001" customHeight="1">
      <c r="A504" s="244"/>
      <c r="B504" s="218" t="s">
        <v>3773</v>
      </c>
      <c r="C504" s="219">
        <v>1</v>
      </c>
      <c r="D504" s="219">
        <v>6</v>
      </c>
      <c r="E504" s="205">
        <v>0.75</v>
      </c>
      <c r="F504" s="194"/>
      <c r="G504" s="193">
        <v>2.1</v>
      </c>
      <c r="H504" s="205">
        <f>ROUND(PRODUCT(C504:G504),2)</f>
        <v>9.4499999999999993</v>
      </c>
    </row>
    <row r="505" spans="1:10" ht="20.100000000000001" customHeight="1">
      <c r="A505" s="244"/>
      <c r="B505" s="218" t="s">
        <v>3778</v>
      </c>
      <c r="C505" s="219">
        <v>1</v>
      </c>
      <c r="D505" s="219">
        <v>2</v>
      </c>
      <c r="E505" s="205">
        <v>0.75</v>
      </c>
      <c r="F505" s="194"/>
      <c r="G505" s="193">
        <v>1.35</v>
      </c>
      <c r="H505" s="205">
        <f>ROUND(PRODUCT(C505:G505),2)</f>
        <v>2.0299999999999998</v>
      </c>
    </row>
    <row r="506" spans="1:10" s="186" customFormat="1" ht="20.100000000000001" customHeight="1">
      <c r="A506" s="244"/>
      <c r="B506" s="218"/>
      <c r="C506" s="219"/>
      <c r="D506" s="219"/>
      <c r="E506" s="204"/>
      <c r="F506" s="193"/>
      <c r="G506" s="213"/>
      <c r="H506" s="205">
        <f>J507-I507</f>
        <v>0.02</v>
      </c>
    </row>
    <row r="507" spans="1:10" s="186" customFormat="1" ht="20.100000000000001" customHeight="1">
      <c r="A507" s="244"/>
      <c r="B507" s="218"/>
      <c r="C507" s="219"/>
      <c r="D507" s="219"/>
      <c r="E507" s="204"/>
      <c r="F507" s="193"/>
      <c r="G507" s="213" t="s">
        <v>1827</v>
      </c>
      <c r="H507" s="205">
        <f>J507</f>
        <v>17.8</v>
      </c>
      <c r="I507" s="186">
        <f>SUM(H502:H505)</f>
        <v>17.78</v>
      </c>
      <c r="J507" s="186">
        <f>ROUNDUP(I507,1)</f>
        <v>17.8</v>
      </c>
    </row>
    <row r="508" spans="1:10" s="199" customFormat="1" ht="20.100000000000001" customHeight="1">
      <c r="A508" s="182"/>
      <c r="B508" s="216"/>
      <c r="C508" s="220"/>
      <c r="D508" s="220"/>
      <c r="E508" s="252"/>
      <c r="F508" s="197" t="s">
        <v>2560</v>
      </c>
      <c r="G508" s="197">
        <f>H507</f>
        <v>17.8</v>
      </c>
      <c r="H508" s="248" t="s">
        <v>1861</v>
      </c>
    </row>
    <row r="509" spans="1:10" ht="20.100000000000001" customHeight="1">
      <c r="A509" s="244">
        <v>23.3</v>
      </c>
      <c r="B509" s="992" t="s">
        <v>3779</v>
      </c>
      <c r="C509" s="993"/>
      <c r="D509" s="993"/>
      <c r="E509" s="993"/>
      <c r="F509" s="993"/>
      <c r="G509" s="994"/>
      <c r="H509" s="205"/>
    </row>
    <row r="510" spans="1:10" ht="20.100000000000001" customHeight="1">
      <c r="A510" s="244"/>
      <c r="B510" s="218" t="s">
        <v>3780</v>
      </c>
      <c r="C510" s="219">
        <v>1</v>
      </c>
      <c r="D510" s="219">
        <v>2</v>
      </c>
      <c r="E510" s="205"/>
      <c r="F510" s="194"/>
      <c r="G510" s="213"/>
      <c r="H510" s="205">
        <f>ROUND(PRODUCT(C510:G510),2)</f>
        <v>2</v>
      </c>
    </row>
    <row r="511" spans="1:10" ht="20.100000000000001" customHeight="1">
      <c r="A511" s="244"/>
      <c r="B511" s="218" t="s">
        <v>3777</v>
      </c>
      <c r="C511" s="219">
        <v>1</v>
      </c>
      <c r="D511" s="219">
        <v>2</v>
      </c>
      <c r="E511" s="205"/>
      <c r="F511" s="194"/>
      <c r="G511" s="213"/>
      <c r="H511" s="205">
        <f>ROUND(PRODUCT(C511:G511),2)</f>
        <v>2</v>
      </c>
    </row>
    <row r="512" spans="1:10" ht="20.100000000000001" customHeight="1">
      <c r="A512" s="244"/>
      <c r="B512" s="218" t="s">
        <v>3781</v>
      </c>
      <c r="C512" s="219">
        <v>1</v>
      </c>
      <c r="D512" s="219">
        <v>14</v>
      </c>
      <c r="E512" s="205"/>
      <c r="F512" s="194"/>
      <c r="G512" s="213"/>
      <c r="H512" s="205">
        <f>ROUND(PRODUCT(C512:G512),2)</f>
        <v>14</v>
      </c>
    </row>
    <row r="513" spans="1:10" s="186" customFormat="1" ht="20.100000000000001" customHeight="1">
      <c r="A513" s="244"/>
      <c r="B513" s="218"/>
      <c r="C513" s="219"/>
      <c r="D513" s="219"/>
      <c r="E513" s="204"/>
      <c r="F513" s="193"/>
      <c r="G513" s="213" t="s">
        <v>1827</v>
      </c>
      <c r="H513" s="205">
        <f>J513</f>
        <v>18</v>
      </c>
      <c r="I513" s="186">
        <f>SUM(H510:H512)</f>
        <v>18</v>
      </c>
      <c r="J513" s="186">
        <f>ROUNDUP(I513,1)</f>
        <v>18</v>
      </c>
    </row>
    <row r="514" spans="1:10" s="199" customFormat="1" ht="20.100000000000001" customHeight="1">
      <c r="A514" s="182"/>
      <c r="B514" s="216"/>
      <c r="C514" s="220"/>
      <c r="D514" s="220"/>
      <c r="E514" s="252"/>
      <c r="F514" s="197" t="s">
        <v>2560</v>
      </c>
      <c r="G514" s="197">
        <f>H513</f>
        <v>18</v>
      </c>
      <c r="H514" s="248" t="s">
        <v>1166</v>
      </c>
    </row>
    <row r="515" spans="1:10" ht="20.100000000000001" customHeight="1">
      <c r="A515" s="244">
        <v>23.5</v>
      </c>
      <c r="B515" s="992" t="s">
        <v>3782</v>
      </c>
      <c r="C515" s="993"/>
      <c r="D515" s="993"/>
      <c r="E515" s="993"/>
      <c r="F515" s="993"/>
      <c r="G515" s="994"/>
      <c r="H515" s="205"/>
    </row>
    <row r="516" spans="1:10" ht="20.100000000000001" customHeight="1">
      <c r="A516" s="244"/>
      <c r="B516" s="218" t="s">
        <v>3783</v>
      </c>
      <c r="C516" s="219">
        <v>1</v>
      </c>
      <c r="D516" s="219">
        <v>2</v>
      </c>
      <c r="E516" s="205"/>
      <c r="F516" s="194"/>
      <c r="G516" s="213"/>
      <c r="H516" s="205">
        <f>ROUND(PRODUCT(C516:G516),2)</f>
        <v>2</v>
      </c>
    </row>
    <row r="517" spans="1:10" s="186" customFormat="1" ht="20.100000000000001" customHeight="1">
      <c r="A517" s="244"/>
      <c r="B517" s="218"/>
      <c r="C517" s="219"/>
      <c r="D517" s="219"/>
      <c r="E517" s="204"/>
      <c r="F517" s="193"/>
      <c r="G517" s="213"/>
      <c r="H517" s="205">
        <f>J517</f>
        <v>2</v>
      </c>
      <c r="I517" s="186">
        <f>SUM(H516:H516)</f>
        <v>2</v>
      </c>
      <c r="J517" s="186">
        <f>ROUNDUP(I517,1)</f>
        <v>2</v>
      </c>
    </row>
    <row r="518" spans="1:10" s="199" customFormat="1" ht="20.100000000000001" customHeight="1">
      <c r="A518" s="182"/>
      <c r="B518" s="216"/>
      <c r="C518" s="220"/>
      <c r="D518" s="220"/>
      <c r="E518" s="252"/>
      <c r="F518" s="197" t="s">
        <v>2560</v>
      </c>
      <c r="G518" s="197">
        <f>H517</f>
        <v>2</v>
      </c>
      <c r="H518" s="248" t="s">
        <v>1166</v>
      </c>
    </row>
    <row r="519" spans="1:10" ht="34.15" customHeight="1">
      <c r="A519" s="244">
        <v>24.1</v>
      </c>
      <c r="B519" s="992" t="s">
        <v>3784</v>
      </c>
      <c r="C519" s="993"/>
      <c r="D519" s="993"/>
      <c r="E519" s="993"/>
      <c r="F519" s="993"/>
      <c r="G519" s="994"/>
      <c r="H519" s="205"/>
    </row>
    <row r="520" spans="1:10" ht="20.100000000000001" customHeight="1">
      <c r="A520" s="244"/>
      <c r="B520" s="218" t="s">
        <v>3785</v>
      </c>
      <c r="C520" s="219"/>
      <c r="D520" s="219"/>
      <c r="E520" s="205"/>
      <c r="F520" s="194"/>
      <c r="G520" s="213"/>
      <c r="H520" s="205">
        <f>ROUND(PRODUCT(C520:G520),2)</f>
        <v>0</v>
      </c>
    </row>
    <row r="521" spans="1:10" ht="20.100000000000001" customHeight="1">
      <c r="A521" s="244"/>
      <c r="B521" s="218" t="s">
        <v>3786</v>
      </c>
      <c r="C521" s="219">
        <v>1</v>
      </c>
      <c r="D521" s="219">
        <v>2</v>
      </c>
      <c r="E521" s="247">
        <v>1.35</v>
      </c>
      <c r="F521" s="194"/>
      <c r="G521" s="235">
        <v>0.6</v>
      </c>
      <c r="H521" s="205">
        <f>ROUND(PRODUCT(C521:G521),2)</f>
        <v>1.62</v>
      </c>
    </row>
    <row r="522" spans="1:10" ht="20.100000000000001" customHeight="1">
      <c r="A522" s="244"/>
      <c r="B522" s="218" t="s">
        <v>3787</v>
      </c>
      <c r="C522" s="219">
        <v>1</v>
      </c>
      <c r="D522" s="219">
        <v>1</v>
      </c>
      <c r="E522" s="247">
        <v>1.35</v>
      </c>
      <c r="F522" s="194"/>
      <c r="G522" s="235">
        <v>0.6</v>
      </c>
      <c r="H522" s="205">
        <f>ROUND(PRODUCT(C522:G522),2)</f>
        <v>0.81</v>
      </c>
    </row>
    <row r="523" spans="1:10" s="866" customFormat="1" ht="20.100000000000001" customHeight="1">
      <c r="A523" s="244"/>
      <c r="B523" s="218"/>
      <c r="C523" s="219"/>
      <c r="D523" s="219"/>
      <c r="E523" s="247"/>
      <c r="F523" s="194"/>
      <c r="G523" s="235"/>
      <c r="H523" s="205">
        <f>J524-I524</f>
        <v>7.0000000000000007E-2</v>
      </c>
    </row>
    <row r="524" spans="1:10" s="186" customFormat="1" ht="20.100000000000001" customHeight="1">
      <c r="A524" s="244"/>
      <c r="B524" s="218"/>
      <c r="C524" s="219"/>
      <c r="D524" s="219"/>
      <c r="E524" s="204"/>
      <c r="F524" s="193"/>
      <c r="G524" s="213" t="s">
        <v>1827</v>
      </c>
      <c r="H524" s="205">
        <f>J524</f>
        <v>2.5</v>
      </c>
      <c r="I524" s="186">
        <f>SUM(H521:H522)</f>
        <v>2.4300000000000002</v>
      </c>
      <c r="J524" s="186">
        <f>ROUNDUP(I524,1)</f>
        <v>2.5</v>
      </c>
    </row>
    <row r="525" spans="1:10" s="199" customFormat="1" ht="20.100000000000001" customHeight="1">
      <c r="A525" s="182"/>
      <c r="B525" s="216"/>
      <c r="C525" s="220"/>
      <c r="D525" s="220"/>
      <c r="E525" s="252"/>
      <c r="F525" s="197" t="s">
        <v>2560</v>
      </c>
      <c r="G525" s="197">
        <f>H524</f>
        <v>2.5</v>
      </c>
      <c r="H525" s="248" t="s">
        <v>1166</v>
      </c>
    </row>
    <row r="526" spans="1:10" s="228" customFormat="1" ht="20.100000000000001" customHeight="1">
      <c r="A526" s="187">
        <v>26</v>
      </c>
      <c r="B526" s="989" t="s">
        <v>3788</v>
      </c>
      <c r="C526" s="990"/>
      <c r="D526" s="990"/>
      <c r="E526" s="990"/>
      <c r="F526" s="990"/>
      <c r="G526" s="991"/>
      <c r="H526" s="205"/>
    </row>
    <row r="527" spans="1:10" s="186" customFormat="1" ht="20.100000000000001" customHeight="1">
      <c r="A527" s="187"/>
      <c r="B527" s="192" t="e">
        <f>'[12]UPS Below Basement'!B23</f>
        <v>#REF!</v>
      </c>
      <c r="C527" s="190"/>
      <c r="D527" s="190"/>
      <c r="E527" s="204"/>
      <c r="F527" s="193"/>
      <c r="G527" s="213"/>
      <c r="H527" s="205"/>
    </row>
    <row r="528" spans="1:10" s="186" customFormat="1" ht="20.100000000000001" customHeight="1">
      <c r="A528" s="187"/>
      <c r="B528" s="192" t="s">
        <v>3789</v>
      </c>
      <c r="C528" s="190">
        <v>1</v>
      </c>
      <c r="D528" s="190">
        <v>1</v>
      </c>
      <c r="E528" s="204">
        <v>4.3499999999999996</v>
      </c>
      <c r="F528" s="193">
        <v>3</v>
      </c>
      <c r="G528" s="213">
        <v>7.4999999999999997E-2</v>
      </c>
      <c r="H528" s="205">
        <f t="shared" ref="H528:H538" si="25">ROUND(PRODUCT(C528:G528),2)</f>
        <v>0.98</v>
      </c>
    </row>
    <row r="529" spans="1:9" s="186" customFormat="1" ht="20.100000000000001" customHeight="1">
      <c r="A529" s="187"/>
      <c r="B529" s="192" t="s">
        <v>3790</v>
      </c>
      <c r="C529" s="190">
        <v>1</v>
      </c>
      <c r="D529" s="190">
        <v>1</v>
      </c>
      <c r="E529" s="204">
        <v>4.3499999999999996</v>
      </c>
      <c r="F529" s="235">
        <v>1.5</v>
      </c>
      <c r="G529" s="213">
        <v>7.4999999999999997E-2</v>
      </c>
      <c r="H529" s="205">
        <f>ROUND(PRODUCT(C529:G529),2)</f>
        <v>0.49</v>
      </c>
    </row>
    <row r="530" spans="1:9" s="186" customFormat="1" ht="20.100000000000001" customHeight="1">
      <c r="A530" s="187"/>
      <c r="B530" s="192" t="s">
        <v>3507</v>
      </c>
      <c r="C530" s="190">
        <v>1</v>
      </c>
      <c r="D530" s="190">
        <v>1</v>
      </c>
      <c r="E530" s="204">
        <v>4.3499999999999996</v>
      </c>
      <c r="F530" s="193">
        <v>2.4</v>
      </c>
      <c r="G530" s="213">
        <v>7.4999999999999997E-2</v>
      </c>
      <c r="H530" s="205">
        <f t="shared" si="25"/>
        <v>0.78</v>
      </c>
    </row>
    <row r="531" spans="1:9" s="186" customFormat="1" ht="20.100000000000001" customHeight="1">
      <c r="A531" s="187"/>
      <c r="B531" s="192" t="s">
        <v>3508</v>
      </c>
      <c r="C531" s="190">
        <v>1</v>
      </c>
      <c r="D531" s="190">
        <v>1</v>
      </c>
      <c r="E531" s="204">
        <v>4.3499999999999996</v>
      </c>
      <c r="F531" s="193">
        <v>3.9</v>
      </c>
      <c r="G531" s="213">
        <v>7.4999999999999997E-2</v>
      </c>
      <c r="H531" s="205">
        <f t="shared" si="25"/>
        <v>1.27</v>
      </c>
    </row>
    <row r="532" spans="1:9" s="186" customFormat="1" ht="20.100000000000001" customHeight="1">
      <c r="A532" s="187"/>
      <c r="B532" s="192"/>
      <c r="C532" s="190">
        <v>1</v>
      </c>
      <c r="D532" s="190">
        <v>1</v>
      </c>
      <c r="E532" s="204">
        <v>4.3499999999999996</v>
      </c>
      <c r="F532" s="235">
        <v>3</v>
      </c>
      <c r="G532" s="213">
        <v>7.4999999999999997E-2</v>
      </c>
      <c r="H532" s="205">
        <f t="shared" si="25"/>
        <v>0.98</v>
      </c>
    </row>
    <row r="533" spans="1:9" s="186" customFormat="1" ht="20.100000000000001" customHeight="1">
      <c r="A533" s="187"/>
      <c r="B533" s="192" t="s">
        <v>3510</v>
      </c>
      <c r="C533" s="190">
        <v>1</v>
      </c>
      <c r="D533" s="190">
        <v>1</v>
      </c>
      <c r="E533" s="204">
        <v>2.1</v>
      </c>
      <c r="F533" s="235">
        <v>3</v>
      </c>
      <c r="G533" s="213">
        <v>7.4999999999999997E-2</v>
      </c>
      <c r="H533" s="205">
        <f t="shared" si="25"/>
        <v>0.47</v>
      </c>
    </row>
    <row r="534" spans="1:9" s="186" customFormat="1" ht="20.100000000000001" customHeight="1">
      <c r="A534" s="187"/>
      <c r="B534" s="192"/>
      <c r="C534" s="233">
        <v>1</v>
      </c>
      <c r="D534" s="233">
        <v>1</v>
      </c>
      <c r="E534" s="251">
        <v>2.1</v>
      </c>
      <c r="F534" s="235">
        <v>2.4</v>
      </c>
      <c r="G534" s="249">
        <v>7.4999999999999997E-2</v>
      </c>
      <c r="H534" s="247">
        <f>ROUND(PRODUCT(C534:G534),2)</f>
        <v>0.38</v>
      </c>
    </row>
    <row r="535" spans="1:9" s="186" customFormat="1" ht="20.100000000000001" customHeight="1">
      <c r="A535" s="187"/>
      <c r="B535" s="192"/>
      <c r="C535" s="233">
        <v>1</v>
      </c>
      <c r="D535" s="233">
        <v>1</v>
      </c>
      <c r="E535" s="251">
        <v>2.1</v>
      </c>
      <c r="F535" s="235">
        <v>3.9</v>
      </c>
      <c r="G535" s="249">
        <v>7.4999999999999997E-2</v>
      </c>
      <c r="H535" s="247">
        <f>ROUND(PRODUCT(C535:G535),2)</f>
        <v>0.61</v>
      </c>
    </row>
    <row r="536" spans="1:9" s="186" customFormat="1" ht="20.100000000000001" customHeight="1">
      <c r="A536" s="187"/>
      <c r="B536" s="192" t="s">
        <v>3511</v>
      </c>
      <c r="C536" s="190">
        <v>1</v>
      </c>
      <c r="D536" s="190">
        <v>1</v>
      </c>
      <c r="E536" s="204">
        <v>4.3499999999999996</v>
      </c>
      <c r="F536" s="193">
        <v>5.63</v>
      </c>
      <c r="G536" s="213">
        <v>7.4999999999999997E-2</v>
      </c>
      <c r="H536" s="205">
        <f t="shared" si="25"/>
        <v>1.84</v>
      </c>
    </row>
    <row r="537" spans="1:9" s="186" customFormat="1" ht="20.100000000000001" customHeight="1">
      <c r="A537" s="187"/>
      <c r="B537" s="192" t="s">
        <v>3511</v>
      </c>
      <c r="C537" s="190">
        <v>1</v>
      </c>
      <c r="D537" s="190">
        <v>1</v>
      </c>
      <c r="E537" s="204">
        <v>4.3499999999999996</v>
      </c>
      <c r="F537" s="193">
        <v>5.63</v>
      </c>
      <c r="G537" s="213">
        <v>7.4999999999999997E-2</v>
      </c>
      <c r="H537" s="205">
        <f t="shared" si="25"/>
        <v>1.84</v>
      </c>
    </row>
    <row r="538" spans="1:9" s="186" customFormat="1" ht="20.100000000000001" customHeight="1">
      <c r="A538" s="187"/>
      <c r="B538" s="192" t="s">
        <v>3514</v>
      </c>
      <c r="C538" s="190">
        <v>1</v>
      </c>
      <c r="D538" s="190">
        <v>1</v>
      </c>
      <c r="E538" s="204">
        <v>2.33</v>
      </c>
      <c r="F538" s="193">
        <v>1.5</v>
      </c>
      <c r="G538" s="213">
        <v>7.4999999999999997E-2</v>
      </c>
      <c r="H538" s="205">
        <f t="shared" si="25"/>
        <v>0.26</v>
      </c>
    </row>
    <row r="539" spans="1:9" s="186" customFormat="1" ht="20.100000000000001" customHeight="1">
      <c r="A539" s="244"/>
      <c r="B539" s="218"/>
      <c r="C539" s="219"/>
      <c r="D539" s="219"/>
      <c r="E539" s="253"/>
      <c r="F539" s="244"/>
      <c r="G539" s="213"/>
      <c r="H539" s="253">
        <f>I540-I539</f>
        <v>0</v>
      </c>
      <c r="I539" s="186">
        <f>SUM(H528:H538)</f>
        <v>9.9</v>
      </c>
    </row>
    <row r="540" spans="1:9" s="186" customFormat="1" ht="20.100000000000001" customHeight="1">
      <c r="A540" s="244"/>
      <c r="B540" s="218"/>
      <c r="C540" s="219"/>
      <c r="D540" s="219"/>
      <c r="E540" s="253"/>
      <c r="F540" s="244"/>
      <c r="G540" s="213" t="s">
        <v>1827</v>
      </c>
      <c r="H540" s="253">
        <f>+I540</f>
        <v>9.9</v>
      </c>
      <c r="I540" s="186">
        <f>ROUNDUP(I539,1)</f>
        <v>9.9</v>
      </c>
    </row>
    <row r="541" spans="1:9" s="199" customFormat="1" ht="20.100000000000001" customHeight="1">
      <c r="A541" s="182"/>
      <c r="B541" s="216"/>
      <c r="C541" s="220"/>
      <c r="D541" s="220"/>
      <c r="E541" s="262"/>
      <c r="F541" s="182" t="s">
        <v>2560</v>
      </c>
      <c r="G541" s="197">
        <f>H540</f>
        <v>9.9</v>
      </c>
      <c r="H541" s="262" t="s">
        <v>1861</v>
      </c>
    </row>
    <row r="542" spans="1:9" s="228" customFormat="1" ht="20.100000000000001" customHeight="1">
      <c r="A542" s="187">
        <v>28</v>
      </c>
      <c r="B542" s="989" t="s">
        <v>3791</v>
      </c>
      <c r="C542" s="990"/>
      <c r="D542" s="990"/>
      <c r="E542" s="990"/>
      <c r="F542" s="990"/>
      <c r="G542" s="991"/>
      <c r="H542" s="205"/>
    </row>
    <row r="543" spans="1:9" s="228" customFormat="1" ht="20.100000000000001" customHeight="1">
      <c r="A543" s="187"/>
      <c r="B543" s="192" t="s">
        <v>3792</v>
      </c>
      <c r="C543" s="190">
        <v>1</v>
      </c>
      <c r="D543" s="190">
        <v>8</v>
      </c>
      <c r="E543" s="205">
        <v>0.6</v>
      </c>
      <c r="F543" s="194">
        <v>0.6</v>
      </c>
      <c r="G543" s="213"/>
      <c r="H543" s="205">
        <f>ROUND(PRODUCT(C543:G543),2)</f>
        <v>2.88</v>
      </c>
    </row>
    <row r="544" spans="1:9" ht="20.100000000000001" customHeight="1">
      <c r="A544" s="244"/>
      <c r="B544" s="218" t="s">
        <v>3793</v>
      </c>
      <c r="C544" s="219">
        <v>1</v>
      </c>
      <c r="D544" s="219">
        <v>2</v>
      </c>
      <c r="E544" s="205">
        <v>3</v>
      </c>
      <c r="F544" s="194">
        <v>3</v>
      </c>
      <c r="G544" s="213"/>
      <c r="H544" s="205">
        <f>ROUND(PRODUCT(C544:G544),2)</f>
        <v>18</v>
      </c>
    </row>
    <row r="545" spans="1:9" s="186" customFormat="1" ht="20.100000000000001" customHeight="1">
      <c r="A545" s="244"/>
      <c r="B545" s="218" t="s">
        <v>10</v>
      </c>
      <c r="C545" s="219"/>
      <c r="D545" s="219"/>
      <c r="E545" s="253"/>
      <c r="F545" s="244"/>
      <c r="G545" s="213"/>
      <c r="H545" s="253">
        <f>I546-I545</f>
        <v>0.02</v>
      </c>
      <c r="I545" s="186">
        <f>SUM(H543:H544)</f>
        <v>20.88</v>
      </c>
    </row>
    <row r="546" spans="1:9" s="186" customFormat="1" ht="20.100000000000001" customHeight="1">
      <c r="A546" s="244"/>
      <c r="B546" s="218"/>
      <c r="C546" s="219"/>
      <c r="D546" s="219"/>
      <c r="E546" s="253"/>
      <c r="F546" s="244"/>
      <c r="G546" s="213" t="s">
        <v>1827</v>
      </c>
      <c r="H546" s="253">
        <f>+I546</f>
        <v>20.9</v>
      </c>
      <c r="I546" s="186">
        <f>ROUNDUP(I545,1)</f>
        <v>20.9</v>
      </c>
    </row>
    <row r="547" spans="1:9" s="199" customFormat="1" ht="20.100000000000001" customHeight="1">
      <c r="A547" s="182"/>
      <c r="B547" s="216"/>
      <c r="C547" s="220"/>
      <c r="D547" s="220"/>
      <c r="E547" s="262"/>
      <c r="F547" s="182" t="s">
        <v>2560</v>
      </c>
      <c r="G547" s="197">
        <f>H546</f>
        <v>20.9</v>
      </c>
      <c r="H547" s="262" t="s">
        <v>1861</v>
      </c>
    </row>
    <row r="548" spans="1:9" ht="19.899999999999999" customHeight="1">
      <c r="A548" s="263" t="s">
        <v>3794</v>
      </c>
      <c r="B548" s="992" t="s">
        <v>3795</v>
      </c>
      <c r="C548" s="993"/>
      <c r="D548" s="993"/>
      <c r="E548" s="993"/>
      <c r="F548" s="993"/>
      <c r="G548" s="994"/>
      <c r="H548" s="253"/>
    </row>
    <row r="549" spans="1:9" ht="19.899999999999999" customHeight="1">
      <c r="A549" s="244"/>
      <c r="B549" s="218" t="s">
        <v>3796</v>
      </c>
      <c r="C549" s="219">
        <v>1</v>
      </c>
      <c r="D549" s="219">
        <v>1</v>
      </c>
      <c r="E549" s="253">
        <v>5.56</v>
      </c>
      <c r="F549" s="244">
        <v>1.2</v>
      </c>
      <c r="G549" s="213"/>
      <c r="H549" s="205">
        <f>ROUND(PRODUCT(C549:G549),2)</f>
        <v>6.67</v>
      </c>
    </row>
    <row r="550" spans="1:9" ht="19.899999999999999" customHeight="1">
      <c r="A550" s="244"/>
      <c r="B550" s="216" t="s">
        <v>3511</v>
      </c>
      <c r="C550" s="219"/>
      <c r="D550" s="219"/>
      <c r="E550" s="253"/>
      <c r="F550" s="244"/>
      <c r="G550" s="213"/>
      <c r="H550" s="205">
        <f t="shared" ref="H550:H562" si="26">ROUND(PRODUCT(C550:G550),2)</f>
        <v>0</v>
      </c>
    </row>
    <row r="551" spans="1:9" ht="19.899999999999999" customHeight="1">
      <c r="A551" s="244"/>
      <c r="B551" s="218" t="s">
        <v>3797</v>
      </c>
      <c r="C551" s="219">
        <v>1</v>
      </c>
      <c r="D551" s="219">
        <v>1</v>
      </c>
      <c r="E551" s="253">
        <v>4.58</v>
      </c>
      <c r="F551" s="244">
        <v>6.09</v>
      </c>
      <c r="G551" s="213"/>
      <c r="H551" s="205">
        <f t="shared" si="26"/>
        <v>27.89</v>
      </c>
    </row>
    <row r="552" spans="1:9" ht="19.899999999999999" customHeight="1">
      <c r="A552" s="244"/>
      <c r="B552" s="218" t="s">
        <v>3798</v>
      </c>
      <c r="C552" s="219">
        <v>1</v>
      </c>
      <c r="D552" s="219">
        <v>1</v>
      </c>
      <c r="E552" s="253">
        <v>7.25</v>
      </c>
      <c r="F552" s="244">
        <v>9.08</v>
      </c>
      <c r="G552" s="213"/>
      <c r="H552" s="205">
        <f t="shared" si="26"/>
        <v>65.83</v>
      </c>
    </row>
    <row r="553" spans="1:9" ht="19.899999999999999" customHeight="1">
      <c r="A553" s="244"/>
      <c r="B553" s="218" t="s">
        <v>3799</v>
      </c>
      <c r="C553" s="219">
        <v>1</v>
      </c>
      <c r="D553" s="219">
        <v>1</v>
      </c>
      <c r="E553" s="253">
        <v>4.8099999999999996</v>
      </c>
      <c r="F553" s="244">
        <v>3.23</v>
      </c>
      <c r="G553" s="213"/>
      <c r="H553" s="205">
        <f t="shared" si="26"/>
        <v>15.54</v>
      </c>
    </row>
    <row r="554" spans="1:9" ht="19.899999999999999" customHeight="1">
      <c r="A554" s="244"/>
      <c r="B554" s="218" t="s">
        <v>3800</v>
      </c>
      <c r="C554" s="219">
        <v>1</v>
      </c>
      <c r="D554" s="219">
        <v>-1</v>
      </c>
      <c r="E554" s="253">
        <v>5.56</v>
      </c>
      <c r="F554" s="244">
        <v>1.2</v>
      </c>
      <c r="G554" s="213"/>
      <c r="H554" s="205">
        <f t="shared" si="26"/>
        <v>-6.67</v>
      </c>
    </row>
    <row r="555" spans="1:9" ht="19.899999999999999" customHeight="1">
      <c r="A555" s="244"/>
      <c r="B555" s="218" t="s">
        <v>3801</v>
      </c>
      <c r="C555" s="219">
        <v>1</v>
      </c>
      <c r="D555" s="219">
        <v>2</v>
      </c>
      <c r="E555" s="253">
        <v>2.1</v>
      </c>
      <c r="F555" s="244">
        <v>0.45</v>
      </c>
      <c r="G555" s="213"/>
      <c r="H555" s="205">
        <f t="shared" si="26"/>
        <v>1.89</v>
      </c>
    </row>
    <row r="556" spans="1:9" ht="19.899999999999999" customHeight="1">
      <c r="A556" s="244"/>
      <c r="B556" s="218" t="s">
        <v>3802</v>
      </c>
      <c r="C556" s="219">
        <v>1</v>
      </c>
      <c r="D556" s="219">
        <v>1</v>
      </c>
      <c r="E556" s="253">
        <v>2.1</v>
      </c>
      <c r="F556" s="244">
        <v>1.2</v>
      </c>
      <c r="G556" s="213"/>
      <c r="H556" s="205">
        <f t="shared" si="26"/>
        <v>2.52</v>
      </c>
    </row>
    <row r="557" spans="1:9" ht="19.899999999999999" customHeight="1">
      <c r="A557" s="244"/>
      <c r="B557" s="218" t="s">
        <v>3803</v>
      </c>
      <c r="C557" s="219">
        <v>1</v>
      </c>
      <c r="D557" s="219">
        <v>1</v>
      </c>
      <c r="E557" s="253">
        <v>1.2</v>
      </c>
      <c r="F557" s="244">
        <v>0.23</v>
      </c>
      <c r="G557" s="213"/>
      <c r="H557" s="205">
        <f t="shared" si="26"/>
        <v>0.28000000000000003</v>
      </c>
    </row>
    <row r="558" spans="1:9" ht="19.899999999999999" customHeight="1">
      <c r="A558" s="244"/>
      <c r="B558" s="218" t="s">
        <v>3804</v>
      </c>
      <c r="C558" s="219">
        <v>1</v>
      </c>
      <c r="D558" s="219">
        <v>6</v>
      </c>
      <c r="E558" s="253">
        <v>4</v>
      </c>
      <c r="F558" s="244">
        <v>0.15</v>
      </c>
      <c r="G558" s="213"/>
      <c r="H558" s="205">
        <f t="shared" si="26"/>
        <v>3.6</v>
      </c>
    </row>
    <row r="559" spans="1:9" ht="19.899999999999999" customHeight="1">
      <c r="A559" s="244"/>
      <c r="B559" s="218" t="s">
        <v>3296</v>
      </c>
      <c r="C559" s="219">
        <v>3</v>
      </c>
      <c r="D559" s="219">
        <v>21</v>
      </c>
      <c r="E559" s="253">
        <v>1.2</v>
      </c>
      <c r="F559" s="244">
        <v>0.46</v>
      </c>
      <c r="G559" s="213"/>
      <c r="H559" s="205">
        <f t="shared" si="26"/>
        <v>34.78</v>
      </c>
    </row>
    <row r="560" spans="1:9" ht="19.899999999999999" customHeight="1">
      <c r="A560" s="244"/>
      <c r="B560" s="218" t="s">
        <v>3805</v>
      </c>
      <c r="C560" s="219">
        <v>1</v>
      </c>
      <c r="D560" s="219">
        <v>3</v>
      </c>
      <c r="E560" s="253">
        <v>1.2</v>
      </c>
      <c r="F560" s="244">
        <v>2.4</v>
      </c>
      <c r="G560" s="213"/>
      <c r="H560" s="205">
        <f t="shared" si="26"/>
        <v>8.64</v>
      </c>
    </row>
    <row r="561" spans="1:9" ht="19.899999999999999" customHeight="1">
      <c r="A561" s="244"/>
      <c r="B561" s="218" t="s">
        <v>3806</v>
      </c>
      <c r="C561" s="219">
        <v>1</v>
      </c>
      <c r="D561" s="219">
        <v>1</v>
      </c>
      <c r="E561" s="253">
        <v>1.8</v>
      </c>
      <c r="F561" s="244">
        <v>0.23</v>
      </c>
      <c r="G561" s="213"/>
      <c r="H561" s="205">
        <f t="shared" si="26"/>
        <v>0.41</v>
      </c>
    </row>
    <row r="562" spans="1:9" ht="19.899999999999999" customHeight="1">
      <c r="A562" s="244"/>
      <c r="B562" s="218" t="s">
        <v>3807</v>
      </c>
      <c r="C562" s="219">
        <v>1</v>
      </c>
      <c r="D562" s="219">
        <v>1</v>
      </c>
      <c r="E562" s="253">
        <v>1.2</v>
      </c>
      <c r="F562" s="244">
        <v>0.23</v>
      </c>
      <c r="G562" s="213"/>
      <c r="H562" s="205">
        <f t="shared" si="26"/>
        <v>0.28000000000000003</v>
      </c>
    </row>
    <row r="563" spans="1:9" s="186" customFormat="1" ht="19.899999999999999" customHeight="1">
      <c r="A563" s="244"/>
      <c r="B563" s="218"/>
      <c r="C563" s="219"/>
      <c r="D563" s="219"/>
      <c r="E563" s="253"/>
      <c r="F563" s="244"/>
      <c r="G563" s="213"/>
      <c r="H563" s="253">
        <f>I564-I563</f>
        <v>0.04</v>
      </c>
      <c r="I563" s="186">
        <f>SUM(H549:H562)</f>
        <v>161.66</v>
      </c>
    </row>
    <row r="564" spans="1:9" s="186" customFormat="1" ht="19.899999999999999" customHeight="1">
      <c r="A564" s="244"/>
      <c r="B564" s="218"/>
      <c r="C564" s="219"/>
      <c r="D564" s="219"/>
      <c r="E564" s="253"/>
      <c r="F564" s="244"/>
      <c r="G564" s="213" t="s">
        <v>1827</v>
      </c>
      <c r="H564" s="253">
        <f>+I564</f>
        <v>161.69999999999999</v>
      </c>
      <c r="I564" s="186">
        <f>ROUNDUP(I563,1)</f>
        <v>161.69999999999999</v>
      </c>
    </row>
    <row r="565" spans="1:9" s="199" customFormat="1" ht="19.899999999999999" customHeight="1">
      <c r="A565" s="182"/>
      <c r="B565" s="216"/>
      <c r="C565" s="220"/>
      <c r="D565" s="220"/>
      <c r="E565" s="262"/>
      <c r="F565" s="182" t="s">
        <v>2560</v>
      </c>
      <c r="G565" s="197">
        <f>H564</f>
        <v>161.69999999999999</v>
      </c>
      <c r="H565" s="262" t="s">
        <v>1861</v>
      </c>
      <c r="I565" s="199">
        <v>161</v>
      </c>
    </row>
    <row r="566" spans="1:9" s="228" customFormat="1" ht="20.100000000000001" customHeight="1">
      <c r="A566" s="187">
        <v>29.9</v>
      </c>
      <c r="B566" s="989" t="s">
        <v>3808</v>
      </c>
      <c r="C566" s="990"/>
      <c r="D566" s="990"/>
      <c r="E566" s="990"/>
      <c r="F566" s="990"/>
      <c r="G566" s="991"/>
      <c r="H566" s="205"/>
    </row>
    <row r="567" spans="1:9" s="228" customFormat="1" ht="20.100000000000001" customHeight="1">
      <c r="A567" s="187"/>
      <c r="B567" s="189" t="s">
        <v>3809</v>
      </c>
      <c r="C567" s="190"/>
      <c r="D567" s="190"/>
      <c r="E567" s="250"/>
      <c r="F567" s="187"/>
      <c r="G567" s="213"/>
      <c r="H567" s="205">
        <f>PRODUCT(C567:G567)</f>
        <v>0</v>
      </c>
    </row>
    <row r="568" spans="1:9" s="228" customFormat="1" ht="20.100000000000001" customHeight="1">
      <c r="A568" s="187"/>
      <c r="B568" s="192" t="s">
        <v>3810</v>
      </c>
      <c r="C568" s="190">
        <v>1</v>
      </c>
      <c r="D568" s="190">
        <v>1</v>
      </c>
      <c r="E568" s="205">
        <v>2.1</v>
      </c>
      <c r="F568" s="264">
        <v>1.615</v>
      </c>
      <c r="G568" s="213"/>
      <c r="H568" s="205">
        <f>ROUND(PRODUCT(C568:G568),2)</f>
        <v>3.39</v>
      </c>
    </row>
    <row r="569" spans="1:9" s="228" customFormat="1" ht="20.100000000000001" customHeight="1">
      <c r="A569" s="187"/>
      <c r="B569" s="192" t="s">
        <v>3811</v>
      </c>
      <c r="C569" s="190">
        <v>1</v>
      </c>
      <c r="D569" s="190">
        <v>1</v>
      </c>
      <c r="E569" s="250">
        <v>0.75</v>
      </c>
      <c r="F569" s="187">
        <v>0.115</v>
      </c>
      <c r="G569" s="213"/>
      <c r="H569" s="205">
        <f t="shared" ref="H569:H598" si="27">ROUND(PRODUCT(C569:G569),2)</f>
        <v>0.09</v>
      </c>
    </row>
    <row r="570" spans="1:9" s="228" customFormat="1" ht="20.100000000000001" customHeight="1">
      <c r="A570" s="187"/>
      <c r="B570" s="192" t="s">
        <v>3509</v>
      </c>
      <c r="C570" s="190">
        <v>1</v>
      </c>
      <c r="D570" s="190">
        <v>1</v>
      </c>
      <c r="E570" s="250">
        <v>1.2350000000000001</v>
      </c>
      <c r="F570" s="187">
        <v>1.615</v>
      </c>
      <c r="G570" s="213"/>
      <c r="H570" s="205">
        <f t="shared" si="27"/>
        <v>1.99</v>
      </c>
    </row>
    <row r="571" spans="1:9" s="228" customFormat="1" ht="20.100000000000001" customHeight="1">
      <c r="A571" s="187"/>
      <c r="B571" s="192" t="s">
        <v>3812</v>
      </c>
      <c r="C571" s="190">
        <v>1</v>
      </c>
      <c r="D571" s="190">
        <v>1</v>
      </c>
      <c r="E571" s="250">
        <v>0.75</v>
      </c>
      <c r="F571" s="187">
        <v>0.115</v>
      </c>
      <c r="G571" s="213"/>
      <c r="H571" s="205">
        <f t="shared" si="27"/>
        <v>0.09</v>
      </c>
    </row>
    <row r="572" spans="1:9" s="228" customFormat="1" ht="20.100000000000001" customHeight="1">
      <c r="A572" s="187"/>
      <c r="B572" s="192" t="s">
        <v>3813</v>
      </c>
      <c r="C572" s="190">
        <v>1</v>
      </c>
      <c r="D572" s="190">
        <v>1</v>
      </c>
      <c r="E572" s="205">
        <v>0.9</v>
      </c>
      <c r="F572" s="187">
        <v>1.615</v>
      </c>
      <c r="G572" s="213"/>
      <c r="H572" s="205">
        <f t="shared" si="27"/>
        <v>1.45</v>
      </c>
    </row>
    <row r="573" spans="1:9" s="228" customFormat="1" ht="20.100000000000001" customHeight="1">
      <c r="A573" s="187"/>
      <c r="B573" s="192" t="s">
        <v>3803</v>
      </c>
      <c r="C573" s="190">
        <v>1</v>
      </c>
      <c r="D573" s="190">
        <v>1</v>
      </c>
      <c r="E573" s="205">
        <v>0.75</v>
      </c>
      <c r="F573" s="187">
        <v>0.115</v>
      </c>
      <c r="G573" s="213"/>
      <c r="H573" s="205">
        <f t="shared" si="27"/>
        <v>0.09</v>
      </c>
    </row>
    <row r="574" spans="1:9" s="228" customFormat="1" ht="20.100000000000001" customHeight="1">
      <c r="A574" s="187"/>
      <c r="B574" s="192" t="s">
        <v>3814</v>
      </c>
      <c r="C574" s="190">
        <v>1</v>
      </c>
      <c r="D574" s="190">
        <v>1</v>
      </c>
      <c r="E574" s="205">
        <v>1.5</v>
      </c>
      <c r="F574" s="194">
        <v>2.4</v>
      </c>
      <c r="G574" s="213"/>
      <c r="H574" s="205">
        <f t="shared" si="27"/>
        <v>3.6</v>
      </c>
    </row>
    <row r="575" spans="1:9" s="228" customFormat="1" ht="20.100000000000001" customHeight="1">
      <c r="A575" s="187"/>
      <c r="B575" s="192" t="s">
        <v>3812</v>
      </c>
      <c r="C575" s="190">
        <v>1</v>
      </c>
      <c r="D575" s="190">
        <v>1</v>
      </c>
      <c r="E575" s="250">
        <v>0.75</v>
      </c>
      <c r="F575" s="187">
        <v>0.115</v>
      </c>
      <c r="G575" s="213"/>
      <c r="H575" s="205">
        <f t="shared" si="27"/>
        <v>0.09</v>
      </c>
    </row>
    <row r="576" spans="1:9" s="228" customFormat="1" ht="20.100000000000001" customHeight="1">
      <c r="A576" s="187"/>
      <c r="B576" s="189" t="s">
        <v>309</v>
      </c>
      <c r="C576" s="190"/>
      <c r="D576" s="190"/>
      <c r="E576" s="250"/>
      <c r="F576" s="187"/>
      <c r="G576" s="213"/>
      <c r="H576" s="205">
        <f t="shared" si="27"/>
        <v>0</v>
      </c>
    </row>
    <row r="577" spans="1:8" s="228" customFormat="1" ht="20.100000000000001" customHeight="1">
      <c r="A577" s="187"/>
      <c r="B577" s="192" t="s">
        <v>3815</v>
      </c>
      <c r="C577" s="190">
        <v>1</v>
      </c>
      <c r="D577" s="190">
        <v>1</v>
      </c>
      <c r="E577" s="250">
        <v>1.65</v>
      </c>
      <c r="F577" s="194">
        <v>1.5</v>
      </c>
      <c r="G577" s="213"/>
      <c r="H577" s="205">
        <f t="shared" si="27"/>
        <v>2.48</v>
      </c>
    </row>
    <row r="578" spans="1:8" s="228" customFormat="1" ht="20.100000000000001" customHeight="1">
      <c r="A578" s="187"/>
      <c r="B578" s="192" t="s">
        <v>3813</v>
      </c>
      <c r="C578" s="190">
        <v>1</v>
      </c>
      <c r="D578" s="190">
        <v>1</v>
      </c>
      <c r="E578" s="250">
        <v>2.585</v>
      </c>
      <c r="F578" s="194">
        <v>1.5</v>
      </c>
      <c r="G578" s="213"/>
      <c r="H578" s="205">
        <f t="shared" si="27"/>
        <v>3.88</v>
      </c>
    </row>
    <row r="579" spans="1:8" s="228" customFormat="1" ht="20.100000000000001" customHeight="1">
      <c r="A579" s="187"/>
      <c r="B579" s="192" t="s">
        <v>3812</v>
      </c>
      <c r="C579" s="190">
        <v>1</v>
      </c>
      <c r="D579" s="190">
        <v>1</v>
      </c>
      <c r="E579" s="250">
        <v>0.75</v>
      </c>
      <c r="F579" s="187">
        <v>0.115</v>
      </c>
      <c r="G579" s="213"/>
      <c r="H579" s="205">
        <f t="shared" si="27"/>
        <v>0.09</v>
      </c>
    </row>
    <row r="580" spans="1:8" s="228" customFormat="1" ht="20.100000000000001" customHeight="1">
      <c r="A580" s="187"/>
      <c r="B580" s="192" t="s">
        <v>3803</v>
      </c>
      <c r="C580" s="190">
        <v>1</v>
      </c>
      <c r="D580" s="190">
        <v>1</v>
      </c>
      <c r="E580" s="205">
        <v>0.9</v>
      </c>
      <c r="F580" s="187">
        <v>0.115</v>
      </c>
      <c r="G580" s="213"/>
      <c r="H580" s="205">
        <f t="shared" si="27"/>
        <v>0.1</v>
      </c>
    </row>
    <row r="581" spans="1:8" s="228" customFormat="1" ht="20.100000000000001" customHeight="1">
      <c r="A581" s="187"/>
      <c r="B581" s="192" t="s">
        <v>3816</v>
      </c>
      <c r="C581" s="190">
        <v>1</v>
      </c>
      <c r="D581" s="190">
        <v>1</v>
      </c>
      <c r="E581" s="250">
        <v>1.65</v>
      </c>
      <c r="F581" s="194">
        <v>1.5</v>
      </c>
      <c r="G581" s="213"/>
      <c r="H581" s="205">
        <f t="shared" si="27"/>
        <v>2.48</v>
      </c>
    </row>
    <row r="582" spans="1:8" s="228" customFormat="1" ht="20.100000000000001" customHeight="1">
      <c r="A582" s="187"/>
      <c r="B582" s="192" t="s">
        <v>3813</v>
      </c>
      <c r="C582" s="190">
        <v>1</v>
      </c>
      <c r="D582" s="190">
        <v>1</v>
      </c>
      <c r="E582" s="250">
        <v>2.585</v>
      </c>
      <c r="F582" s="194">
        <v>1.5</v>
      </c>
      <c r="G582" s="213"/>
      <c r="H582" s="205">
        <f t="shared" si="27"/>
        <v>3.88</v>
      </c>
    </row>
    <row r="583" spans="1:8" s="228" customFormat="1" ht="20.100000000000001" customHeight="1">
      <c r="A583" s="187"/>
      <c r="B583" s="192" t="s">
        <v>3812</v>
      </c>
      <c r="C583" s="190">
        <v>1</v>
      </c>
      <c r="D583" s="190">
        <v>1</v>
      </c>
      <c r="E583" s="250">
        <v>0.75</v>
      </c>
      <c r="F583" s="187">
        <v>0.115</v>
      </c>
      <c r="G583" s="213"/>
      <c r="H583" s="205">
        <f t="shared" si="27"/>
        <v>0.09</v>
      </c>
    </row>
    <row r="584" spans="1:8" s="228" customFormat="1" ht="20.100000000000001" customHeight="1">
      <c r="A584" s="187"/>
      <c r="B584" s="192" t="s">
        <v>3803</v>
      </c>
      <c r="C584" s="190">
        <v>1</v>
      </c>
      <c r="D584" s="190">
        <v>1</v>
      </c>
      <c r="E584" s="205">
        <v>0.9</v>
      </c>
      <c r="F584" s="187">
        <v>0.115</v>
      </c>
      <c r="G584" s="213"/>
      <c r="H584" s="205">
        <f t="shared" si="27"/>
        <v>0.1</v>
      </c>
    </row>
    <row r="585" spans="1:8" s="228" customFormat="1" ht="20.100000000000001" customHeight="1">
      <c r="A585" s="187"/>
      <c r="B585" s="189" t="s">
        <v>1818</v>
      </c>
      <c r="C585" s="190"/>
      <c r="D585" s="190"/>
      <c r="E585" s="250"/>
      <c r="F585" s="187"/>
      <c r="G585" s="213"/>
      <c r="H585" s="205">
        <f t="shared" si="27"/>
        <v>0</v>
      </c>
    </row>
    <row r="586" spans="1:8" s="228" customFormat="1" ht="20.100000000000001" customHeight="1">
      <c r="A586" s="187"/>
      <c r="B586" s="192" t="s">
        <v>3815</v>
      </c>
      <c r="C586" s="190">
        <v>1</v>
      </c>
      <c r="D586" s="190">
        <v>1</v>
      </c>
      <c r="E586" s="250">
        <v>1.65</v>
      </c>
      <c r="F586" s="194">
        <v>1.5</v>
      </c>
      <c r="G586" s="213"/>
      <c r="H586" s="205">
        <f t="shared" si="27"/>
        <v>2.48</v>
      </c>
    </row>
    <row r="587" spans="1:8" s="228" customFormat="1" ht="20.100000000000001" customHeight="1">
      <c r="A587" s="187"/>
      <c r="B587" s="192" t="s">
        <v>3813</v>
      </c>
      <c r="C587" s="190">
        <v>1</v>
      </c>
      <c r="D587" s="190">
        <v>1</v>
      </c>
      <c r="E587" s="250">
        <v>2.585</v>
      </c>
      <c r="F587" s="194">
        <v>1.5</v>
      </c>
      <c r="G587" s="213"/>
      <c r="H587" s="205">
        <f t="shared" si="27"/>
        <v>3.88</v>
      </c>
    </row>
    <row r="588" spans="1:8" s="228" customFormat="1" ht="20.100000000000001" customHeight="1">
      <c r="A588" s="187"/>
      <c r="B588" s="192" t="s">
        <v>3812</v>
      </c>
      <c r="C588" s="190">
        <v>1</v>
      </c>
      <c r="D588" s="190">
        <v>1</v>
      </c>
      <c r="E588" s="250">
        <v>0.75</v>
      </c>
      <c r="F588" s="187">
        <v>0.115</v>
      </c>
      <c r="G588" s="213"/>
      <c r="H588" s="205">
        <f t="shared" si="27"/>
        <v>0.09</v>
      </c>
    </row>
    <row r="589" spans="1:8" s="228" customFormat="1" ht="20.100000000000001" customHeight="1">
      <c r="A589" s="187"/>
      <c r="B589" s="192" t="s">
        <v>3803</v>
      </c>
      <c r="C589" s="190">
        <v>1</v>
      </c>
      <c r="D589" s="190">
        <v>1</v>
      </c>
      <c r="E589" s="205">
        <v>0.9</v>
      </c>
      <c r="F589" s="187">
        <v>0.115</v>
      </c>
      <c r="G589" s="213"/>
      <c r="H589" s="205">
        <f t="shared" si="27"/>
        <v>0.1</v>
      </c>
    </row>
    <row r="590" spans="1:8" s="228" customFormat="1" ht="20.100000000000001" customHeight="1">
      <c r="A590" s="187"/>
      <c r="B590" s="192" t="s">
        <v>3817</v>
      </c>
      <c r="C590" s="190">
        <v>1</v>
      </c>
      <c r="D590" s="190">
        <v>1</v>
      </c>
      <c r="E590" s="250">
        <v>1.65</v>
      </c>
      <c r="F590" s="187">
        <v>1.5349999999999999</v>
      </c>
      <c r="G590" s="213"/>
      <c r="H590" s="205">
        <f t="shared" si="27"/>
        <v>2.5299999999999998</v>
      </c>
    </row>
    <row r="591" spans="1:8" s="228" customFormat="1" ht="20.100000000000001" customHeight="1">
      <c r="A591" s="187"/>
      <c r="B591" s="192" t="s">
        <v>3817</v>
      </c>
      <c r="C591" s="190">
        <v>1</v>
      </c>
      <c r="D591" s="190">
        <v>1</v>
      </c>
      <c r="E591" s="250">
        <v>1.65</v>
      </c>
      <c r="F591" s="187">
        <v>1.35</v>
      </c>
      <c r="G591" s="213"/>
      <c r="H591" s="205">
        <f t="shared" si="27"/>
        <v>2.23</v>
      </c>
    </row>
    <row r="592" spans="1:8" s="228" customFormat="1" ht="20.100000000000001" customHeight="1">
      <c r="A592" s="187"/>
      <c r="B592" s="192" t="s">
        <v>3818</v>
      </c>
      <c r="C592" s="190">
        <v>1</v>
      </c>
      <c r="D592" s="190">
        <v>1</v>
      </c>
      <c r="E592" s="205">
        <v>1.5</v>
      </c>
      <c r="F592" s="187">
        <v>1.65</v>
      </c>
      <c r="G592" s="213"/>
      <c r="H592" s="205">
        <f t="shared" si="27"/>
        <v>2.48</v>
      </c>
    </row>
    <row r="593" spans="1:9" s="228" customFormat="1" ht="20.100000000000001" customHeight="1">
      <c r="A593" s="187"/>
      <c r="B593" s="192" t="s">
        <v>3812</v>
      </c>
      <c r="C593" s="190">
        <v>1</v>
      </c>
      <c r="D593" s="190">
        <v>3</v>
      </c>
      <c r="E593" s="250">
        <v>0.75</v>
      </c>
      <c r="F593" s="187">
        <v>0.115</v>
      </c>
      <c r="G593" s="213"/>
      <c r="H593" s="205">
        <f t="shared" si="27"/>
        <v>0.26</v>
      </c>
    </row>
    <row r="594" spans="1:9" s="228" customFormat="1" ht="20.100000000000001" customHeight="1">
      <c r="A594" s="187"/>
      <c r="B594" s="192" t="s">
        <v>3819</v>
      </c>
      <c r="C594" s="190">
        <v>1</v>
      </c>
      <c r="D594" s="190">
        <v>1</v>
      </c>
      <c r="E594" s="205">
        <v>1.5</v>
      </c>
      <c r="F594" s="187">
        <v>1.35</v>
      </c>
      <c r="G594" s="213"/>
      <c r="H594" s="205">
        <f t="shared" si="27"/>
        <v>2.0299999999999998</v>
      </c>
    </row>
    <row r="595" spans="1:9" s="228" customFormat="1" ht="20.100000000000001" customHeight="1">
      <c r="A595" s="187"/>
      <c r="B595" s="192" t="s">
        <v>3819</v>
      </c>
      <c r="C595" s="190">
        <v>1</v>
      </c>
      <c r="D595" s="190">
        <v>1</v>
      </c>
      <c r="E595" s="250">
        <v>1.65</v>
      </c>
      <c r="F595" s="187">
        <v>1.35</v>
      </c>
      <c r="G595" s="213"/>
      <c r="H595" s="205">
        <f t="shared" si="27"/>
        <v>2.23</v>
      </c>
    </row>
    <row r="596" spans="1:9" s="228" customFormat="1" ht="20.100000000000001" customHeight="1">
      <c r="A596" s="187"/>
      <c r="B596" s="192" t="s">
        <v>3812</v>
      </c>
      <c r="C596" s="190">
        <v>1</v>
      </c>
      <c r="D596" s="190">
        <v>2</v>
      </c>
      <c r="E596" s="250">
        <v>0.75</v>
      </c>
      <c r="F596" s="187">
        <v>0.115</v>
      </c>
      <c r="G596" s="213"/>
      <c r="H596" s="205">
        <f t="shared" si="27"/>
        <v>0.17</v>
      </c>
    </row>
    <row r="597" spans="1:9" s="228" customFormat="1" ht="20.100000000000001" customHeight="1">
      <c r="A597" s="187"/>
      <c r="B597" s="192" t="s">
        <v>3803</v>
      </c>
      <c r="C597" s="190">
        <v>1</v>
      </c>
      <c r="D597" s="190">
        <v>1</v>
      </c>
      <c r="E597" s="250">
        <v>1.085</v>
      </c>
      <c r="F597" s="187">
        <v>0.115</v>
      </c>
      <c r="G597" s="213"/>
      <c r="H597" s="205">
        <f t="shared" si="27"/>
        <v>0.12</v>
      </c>
    </row>
    <row r="598" spans="1:9" s="228" customFormat="1" ht="20.100000000000001" customHeight="1">
      <c r="A598" s="187"/>
      <c r="B598" s="192" t="s">
        <v>3813</v>
      </c>
      <c r="C598" s="190">
        <v>1</v>
      </c>
      <c r="D598" s="190">
        <v>1</v>
      </c>
      <c r="E598" s="250">
        <v>1.085</v>
      </c>
      <c r="F598" s="187">
        <v>1.35</v>
      </c>
      <c r="G598" s="213"/>
      <c r="H598" s="205">
        <f t="shared" si="27"/>
        <v>1.46</v>
      </c>
    </row>
    <row r="599" spans="1:9" s="186" customFormat="1" ht="20.100000000000001" customHeight="1">
      <c r="A599" s="244"/>
      <c r="B599" s="218" t="s">
        <v>10</v>
      </c>
      <c r="C599" s="219"/>
      <c r="D599" s="219"/>
      <c r="E599" s="253"/>
      <c r="F599" s="244"/>
      <c r="G599" s="213"/>
      <c r="H599" s="253">
        <f>I600-I599</f>
        <v>0.05</v>
      </c>
      <c r="I599" s="186">
        <f>SUM(H568:H598)</f>
        <v>43.95</v>
      </c>
    </row>
    <row r="600" spans="1:9" s="186" customFormat="1" ht="20.100000000000001" customHeight="1">
      <c r="A600" s="244"/>
      <c r="B600" s="218"/>
      <c r="C600" s="219"/>
      <c r="D600" s="219"/>
      <c r="E600" s="253"/>
      <c r="F600" s="244"/>
      <c r="G600" s="213" t="s">
        <v>1827</v>
      </c>
      <c r="H600" s="253">
        <f>+I600</f>
        <v>44</v>
      </c>
      <c r="I600" s="186">
        <f>ROUNDUP(I599,1)</f>
        <v>44</v>
      </c>
    </row>
    <row r="601" spans="1:9" s="199" customFormat="1" ht="20.100000000000001" customHeight="1">
      <c r="A601" s="182"/>
      <c r="B601" s="216"/>
      <c r="C601" s="220"/>
      <c r="D601" s="220"/>
      <c r="E601" s="262"/>
      <c r="F601" s="182" t="s">
        <v>2560</v>
      </c>
      <c r="G601" s="197">
        <f>H600</f>
        <v>44</v>
      </c>
      <c r="H601" s="262" t="s">
        <v>1861</v>
      </c>
    </row>
    <row r="602" spans="1:9" s="265" customFormat="1" ht="20.100000000000001" customHeight="1">
      <c r="A602" s="195">
        <v>29.8</v>
      </c>
      <c r="B602" s="1010" t="s">
        <v>1385</v>
      </c>
      <c r="C602" s="1011"/>
      <c r="D602" s="1011"/>
      <c r="E602" s="1011"/>
      <c r="F602" s="1011"/>
      <c r="G602" s="1012"/>
      <c r="H602" s="248"/>
    </row>
    <row r="603" spans="1:9" s="228" customFormat="1" ht="20.100000000000001" customHeight="1">
      <c r="A603" s="195"/>
      <c r="B603" s="189" t="s">
        <v>307</v>
      </c>
      <c r="C603" s="190"/>
      <c r="D603" s="190"/>
      <c r="E603" s="187"/>
      <c r="F603" s="187"/>
      <c r="G603" s="187"/>
      <c r="H603" s="194">
        <f>PRODUCT(C603:G603)</f>
        <v>0</v>
      </c>
    </row>
    <row r="604" spans="1:9" s="228" customFormat="1" ht="20.100000000000001" customHeight="1">
      <c r="A604" s="195"/>
      <c r="B604" s="192" t="s">
        <v>3820</v>
      </c>
      <c r="C604" s="190">
        <v>1</v>
      </c>
      <c r="D604" s="190">
        <v>1</v>
      </c>
      <c r="E604" s="194">
        <f>1.2+2.1+1.2</f>
        <v>4.5</v>
      </c>
      <c r="F604" s="187"/>
      <c r="G604" s="194">
        <v>0.1</v>
      </c>
      <c r="H604" s="266">
        <f t="shared" ref="H604:H667" si="28">ROUND(PRODUCT(C604:G604),2)</f>
        <v>0.45</v>
      </c>
    </row>
    <row r="605" spans="1:9" s="228" customFormat="1" ht="20.100000000000001" customHeight="1">
      <c r="A605" s="195"/>
      <c r="B605" s="192" t="s">
        <v>3657</v>
      </c>
      <c r="C605" s="190">
        <v>1</v>
      </c>
      <c r="D605" s="190">
        <v>-1</v>
      </c>
      <c r="E605" s="194">
        <v>1.8</v>
      </c>
      <c r="F605" s="187"/>
      <c r="G605" s="194">
        <v>0.1</v>
      </c>
      <c r="H605" s="266">
        <f t="shared" si="28"/>
        <v>-0.18</v>
      </c>
    </row>
    <row r="606" spans="1:9" s="228" customFormat="1" ht="20.100000000000001" customHeight="1">
      <c r="A606" s="195"/>
      <c r="B606" s="192" t="s">
        <v>3821</v>
      </c>
      <c r="C606" s="190">
        <v>1</v>
      </c>
      <c r="D606" s="190">
        <v>1</v>
      </c>
      <c r="E606" s="194">
        <v>20.6</v>
      </c>
      <c r="F606" s="187"/>
      <c r="G606" s="194">
        <v>0.1</v>
      </c>
      <c r="H606" s="266">
        <f t="shared" si="28"/>
        <v>2.06</v>
      </c>
    </row>
    <row r="607" spans="1:9" s="228" customFormat="1" ht="20.100000000000001" customHeight="1">
      <c r="A607" s="195"/>
      <c r="B607" s="192" t="s">
        <v>3657</v>
      </c>
      <c r="C607" s="190">
        <v>1</v>
      </c>
      <c r="D607" s="190">
        <v>-1</v>
      </c>
      <c r="E607" s="194">
        <v>1.8</v>
      </c>
      <c r="F607" s="187"/>
      <c r="G607" s="194">
        <v>0.1</v>
      </c>
      <c r="H607" s="266">
        <f t="shared" si="28"/>
        <v>-0.18</v>
      </c>
    </row>
    <row r="608" spans="1:9" s="228" customFormat="1" ht="20.100000000000001" customHeight="1">
      <c r="A608" s="195"/>
      <c r="B608" s="192" t="s">
        <v>3659</v>
      </c>
      <c r="C608" s="190">
        <v>1</v>
      </c>
      <c r="D608" s="190">
        <v>-2</v>
      </c>
      <c r="E608" s="194">
        <v>1</v>
      </c>
      <c r="F608" s="187"/>
      <c r="G608" s="194">
        <v>0.1</v>
      </c>
      <c r="H608" s="266">
        <f t="shared" si="28"/>
        <v>-0.2</v>
      </c>
    </row>
    <row r="609" spans="1:8" s="228" customFormat="1" ht="20.100000000000001" customHeight="1">
      <c r="A609" s="195"/>
      <c r="B609" s="192" t="s">
        <v>3660</v>
      </c>
      <c r="C609" s="190">
        <v>1</v>
      </c>
      <c r="D609" s="190">
        <v>-1</v>
      </c>
      <c r="E609" s="194">
        <v>1.2</v>
      </c>
      <c r="F609" s="187"/>
      <c r="G609" s="194">
        <v>0.1</v>
      </c>
      <c r="H609" s="266">
        <f t="shared" si="28"/>
        <v>-0.12</v>
      </c>
    </row>
    <row r="610" spans="1:8" s="228" customFormat="1" ht="20.100000000000001" customHeight="1">
      <c r="A610" s="195"/>
      <c r="B610" s="192" t="s">
        <v>3707</v>
      </c>
      <c r="C610" s="190">
        <v>1</v>
      </c>
      <c r="D610" s="190">
        <v>-1</v>
      </c>
      <c r="E610" s="187">
        <v>0.75</v>
      </c>
      <c r="F610" s="187"/>
      <c r="G610" s="194">
        <v>0.1</v>
      </c>
      <c r="H610" s="266">
        <f t="shared" si="28"/>
        <v>-0.08</v>
      </c>
    </row>
    <row r="611" spans="1:8" s="228" customFormat="1" ht="20.100000000000001" customHeight="1">
      <c r="A611" s="195"/>
      <c r="B611" s="192" t="s">
        <v>3822</v>
      </c>
      <c r="C611" s="190">
        <v>1</v>
      </c>
      <c r="D611" s="190">
        <v>1</v>
      </c>
      <c r="E611" s="194">
        <f>(4.35+3.9)*2</f>
        <v>16.5</v>
      </c>
      <c r="F611" s="187"/>
      <c r="G611" s="194">
        <v>0.1</v>
      </c>
      <c r="H611" s="266">
        <f t="shared" si="28"/>
        <v>1.65</v>
      </c>
    </row>
    <row r="612" spans="1:8" s="228" customFormat="1" ht="20.100000000000001" customHeight="1">
      <c r="A612" s="195"/>
      <c r="B612" s="192" t="s">
        <v>3659</v>
      </c>
      <c r="C612" s="190">
        <v>1</v>
      </c>
      <c r="D612" s="190">
        <v>-1</v>
      </c>
      <c r="E612" s="194">
        <v>1</v>
      </c>
      <c r="F612" s="187"/>
      <c r="G612" s="194">
        <v>0.1</v>
      </c>
      <c r="H612" s="266">
        <f t="shared" si="28"/>
        <v>-0.1</v>
      </c>
    </row>
    <row r="613" spans="1:8" s="228" customFormat="1" ht="20.100000000000001" customHeight="1">
      <c r="A613" s="195"/>
      <c r="B613" s="192" t="s">
        <v>3823</v>
      </c>
      <c r="C613" s="190">
        <v>1</v>
      </c>
      <c r="D613" s="190">
        <v>1</v>
      </c>
      <c r="E613" s="194">
        <f>(1.5+2.4)*2</f>
        <v>7.8</v>
      </c>
      <c r="F613" s="187"/>
      <c r="G613" s="187">
        <v>1.58</v>
      </c>
      <c r="H613" s="266">
        <f t="shared" si="28"/>
        <v>12.32</v>
      </c>
    </row>
    <row r="614" spans="1:8" s="228" customFormat="1" ht="20.100000000000001" customHeight="1">
      <c r="A614" s="195"/>
      <c r="B614" s="192" t="s">
        <v>3707</v>
      </c>
      <c r="C614" s="190">
        <v>1</v>
      </c>
      <c r="D614" s="190">
        <v>-1</v>
      </c>
      <c r="E614" s="194">
        <v>0.75</v>
      </c>
      <c r="F614" s="187"/>
      <c r="G614" s="194">
        <v>1.58</v>
      </c>
      <c r="H614" s="266">
        <f t="shared" si="28"/>
        <v>-1.19</v>
      </c>
    </row>
    <row r="615" spans="1:8" s="228" customFormat="1" ht="20.100000000000001" customHeight="1">
      <c r="A615" s="195"/>
      <c r="B615" s="192" t="s">
        <v>3824</v>
      </c>
      <c r="C615" s="190">
        <v>1</v>
      </c>
      <c r="D615" s="190">
        <v>1</v>
      </c>
      <c r="E615" s="194">
        <f>(4.35+3.9)*2</f>
        <v>16.5</v>
      </c>
      <c r="F615" s="187"/>
      <c r="G615" s="194">
        <v>0.1</v>
      </c>
      <c r="H615" s="266">
        <f t="shared" si="28"/>
        <v>1.65</v>
      </c>
    </row>
    <row r="616" spans="1:8" s="228" customFormat="1" ht="20.100000000000001" customHeight="1">
      <c r="A616" s="195"/>
      <c r="B616" s="192" t="s">
        <v>3659</v>
      </c>
      <c r="C616" s="190">
        <v>1</v>
      </c>
      <c r="D616" s="190">
        <v>-1</v>
      </c>
      <c r="E616" s="194">
        <v>1</v>
      </c>
      <c r="F616" s="187"/>
      <c r="G616" s="194">
        <v>0.1</v>
      </c>
      <c r="H616" s="266">
        <f t="shared" si="28"/>
        <v>-0.1</v>
      </c>
    </row>
    <row r="617" spans="1:8" s="228" customFormat="1" ht="20.100000000000001" customHeight="1">
      <c r="A617" s="195"/>
      <c r="B617" s="192" t="s">
        <v>3710</v>
      </c>
      <c r="C617" s="190">
        <v>1</v>
      </c>
      <c r="D617" s="190">
        <v>-1</v>
      </c>
      <c r="E617" s="194">
        <v>0.75</v>
      </c>
      <c r="F617" s="187"/>
      <c r="G617" s="194">
        <v>0.1</v>
      </c>
      <c r="H617" s="266">
        <f t="shared" si="28"/>
        <v>-0.08</v>
      </c>
    </row>
    <row r="618" spans="1:8" s="228" customFormat="1" ht="20.100000000000001" customHeight="1">
      <c r="A618" s="195"/>
      <c r="B618" s="192" t="s">
        <v>3825</v>
      </c>
      <c r="C618" s="190">
        <v>1</v>
      </c>
      <c r="D618" s="190">
        <v>1</v>
      </c>
      <c r="E618" s="194">
        <f>(2.1+1.615)*2</f>
        <v>7.43</v>
      </c>
      <c r="F618" s="187"/>
      <c r="G618" s="187">
        <v>1.58</v>
      </c>
      <c r="H618" s="266">
        <f t="shared" si="28"/>
        <v>11.74</v>
      </c>
    </row>
    <row r="619" spans="1:8" s="228" customFormat="1" ht="20.100000000000001" customHeight="1">
      <c r="A619" s="195"/>
      <c r="B619" s="192" t="s">
        <v>3710</v>
      </c>
      <c r="C619" s="190">
        <v>1</v>
      </c>
      <c r="D619" s="190">
        <v>-1</v>
      </c>
      <c r="E619" s="194">
        <v>0.75</v>
      </c>
      <c r="F619" s="187"/>
      <c r="G619" s="187">
        <f>G618</f>
        <v>1.58</v>
      </c>
      <c r="H619" s="266">
        <f t="shared" si="28"/>
        <v>-1.19</v>
      </c>
    </row>
    <row r="620" spans="1:8" s="228" customFormat="1" ht="20.100000000000001" customHeight="1">
      <c r="A620" s="195"/>
      <c r="B620" s="192" t="s">
        <v>3826</v>
      </c>
      <c r="C620" s="190">
        <v>1</v>
      </c>
      <c r="D620" s="190">
        <v>1</v>
      </c>
      <c r="E620" s="194">
        <f>(1.235+1.615)*2</f>
        <v>5.7</v>
      </c>
      <c r="F620" s="187"/>
      <c r="G620" s="187">
        <v>1.58</v>
      </c>
      <c r="H620" s="266">
        <f t="shared" si="28"/>
        <v>9.01</v>
      </c>
    </row>
    <row r="621" spans="1:8" s="228" customFormat="1" ht="20.100000000000001" customHeight="1">
      <c r="A621" s="195"/>
      <c r="B621" s="192" t="s">
        <v>3707</v>
      </c>
      <c r="C621" s="190">
        <v>1</v>
      </c>
      <c r="D621" s="190">
        <v>-1</v>
      </c>
      <c r="E621" s="194">
        <v>0.75</v>
      </c>
      <c r="F621" s="187"/>
      <c r="G621" s="194">
        <v>1.58</v>
      </c>
      <c r="H621" s="266">
        <f t="shared" si="28"/>
        <v>-1.19</v>
      </c>
    </row>
    <row r="622" spans="1:8" s="228" customFormat="1" ht="20.100000000000001" customHeight="1">
      <c r="A622" s="195"/>
      <c r="B622" s="192" t="s">
        <v>3827</v>
      </c>
      <c r="C622" s="190">
        <v>1</v>
      </c>
      <c r="D622" s="190">
        <v>1</v>
      </c>
      <c r="E622" s="194">
        <f>(0.9+1.615)*2</f>
        <v>5.03</v>
      </c>
      <c r="F622" s="187"/>
      <c r="G622" s="194">
        <v>1.58</v>
      </c>
      <c r="H622" s="266">
        <f t="shared" si="28"/>
        <v>7.95</v>
      </c>
    </row>
    <row r="623" spans="1:8" s="228" customFormat="1" ht="20.100000000000001" customHeight="1">
      <c r="A623" s="195"/>
      <c r="B623" s="192" t="s">
        <v>3719</v>
      </c>
      <c r="C623" s="190">
        <v>1</v>
      </c>
      <c r="D623" s="190">
        <v>-1</v>
      </c>
      <c r="E623" s="194">
        <v>0.75</v>
      </c>
      <c r="F623" s="187"/>
      <c r="G623" s="187">
        <v>1.58</v>
      </c>
      <c r="H623" s="266">
        <f t="shared" si="28"/>
        <v>-1.19</v>
      </c>
    </row>
    <row r="624" spans="1:8" s="228" customFormat="1" ht="20.100000000000001" customHeight="1">
      <c r="A624" s="195"/>
      <c r="B624" s="192" t="s">
        <v>3828</v>
      </c>
      <c r="C624" s="190">
        <v>1</v>
      </c>
      <c r="D624" s="190">
        <v>1</v>
      </c>
      <c r="E624" s="194">
        <v>5.86</v>
      </c>
      <c r="F624" s="187"/>
      <c r="G624" s="194">
        <v>0.1</v>
      </c>
      <c r="H624" s="266">
        <f t="shared" si="28"/>
        <v>0.59</v>
      </c>
    </row>
    <row r="625" spans="1:8" s="228" customFormat="1" ht="20.100000000000001" customHeight="1">
      <c r="A625" s="195"/>
      <c r="B625" s="192" t="s">
        <v>3829</v>
      </c>
      <c r="C625" s="190">
        <v>1</v>
      </c>
      <c r="D625" s="190">
        <v>1</v>
      </c>
      <c r="E625" s="194">
        <f>2.96+4.58</f>
        <v>7.54</v>
      </c>
      <c r="F625" s="187"/>
      <c r="G625" s="194">
        <v>0.1</v>
      </c>
      <c r="H625" s="266">
        <f t="shared" si="28"/>
        <v>0.75</v>
      </c>
    </row>
    <row r="626" spans="1:8" s="228" customFormat="1" ht="20.100000000000001" customHeight="1">
      <c r="A626" s="195"/>
      <c r="B626" s="189" t="s">
        <v>309</v>
      </c>
      <c r="C626" s="190"/>
      <c r="D626" s="190"/>
      <c r="E626" s="187"/>
      <c r="F626" s="187"/>
      <c r="G626" s="194"/>
      <c r="H626" s="266">
        <f t="shared" si="28"/>
        <v>0</v>
      </c>
    </row>
    <row r="627" spans="1:8" s="228" customFormat="1" ht="20.100000000000001" customHeight="1">
      <c r="A627" s="195"/>
      <c r="B627" s="192" t="s">
        <v>3830</v>
      </c>
      <c r="C627" s="190">
        <v>1</v>
      </c>
      <c r="D627" s="190">
        <v>1</v>
      </c>
      <c r="E627" s="194">
        <f>(4.35+4.015)*2</f>
        <v>16.73</v>
      </c>
      <c r="F627" s="194"/>
      <c r="G627" s="194">
        <v>0.1</v>
      </c>
      <c r="H627" s="266">
        <f t="shared" si="28"/>
        <v>1.67</v>
      </c>
    </row>
    <row r="628" spans="1:8" s="228" customFormat="1" ht="20.100000000000001" customHeight="1">
      <c r="A628" s="195"/>
      <c r="B628" s="192" t="s">
        <v>3831</v>
      </c>
      <c r="C628" s="190">
        <v>1</v>
      </c>
      <c r="D628" s="190">
        <v>1</v>
      </c>
      <c r="E628" s="194">
        <f>(1.65+1.5)*2</f>
        <v>6.3</v>
      </c>
      <c r="F628" s="194"/>
      <c r="G628" s="194">
        <v>1.58</v>
      </c>
      <c r="H628" s="266">
        <f t="shared" si="28"/>
        <v>9.9499999999999993</v>
      </c>
    </row>
    <row r="629" spans="1:8" s="228" customFormat="1" ht="20.100000000000001" customHeight="1">
      <c r="A629" s="195"/>
      <c r="B629" s="192" t="s">
        <v>3707</v>
      </c>
      <c r="C629" s="190">
        <v>1</v>
      </c>
      <c r="D629" s="190">
        <v>-1</v>
      </c>
      <c r="E629" s="194">
        <v>0.75</v>
      </c>
      <c r="F629" s="194"/>
      <c r="G629" s="194">
        <v>1.58</v>
      </c>
      <c r="H629" s="266">
        <f t="shared" si="28"/>
        <v>-1.19</v>
      </c>
    </row>
    <row r="630" spans="1:8" s="228" customFormat="1" ht="20.100000000000001" customHeight="1">
      <c r="A630" s="195"/>
      <c r="B630" s="192" t="s">
        <v>3827</v>
      </c>
      <c r="C630" s="190">
        <v>1</v>
      </c>
      <c r="D630" s="190">
        <v>1</v>
      </c>
      <c r="E630" s="194">
        <f>(2.585+1.5)*2</f>
        <v>8.17</v>
      </c>
      <c r="F630" s="194"/>
      <c r="G630" s="194">
        <v>1.58</v>
      </c>
      <c r="H630" s="266">
        <f t="shared" si="28"/>
        <v>12.91</v>
      </c>
    </row>
    <row r="631" spans="1:8" s="228" customFormat="1" ht="20.100000000000001" customHeight="1">
      <c r="A631" s="195"/>
      <c r="B631" s="192" t="s">
        <v>3707</v>
      </c>
      <c r="C631" s="190">
        <v>1</v>
      </c>
      <c r="D631" s="190">
        <v>-1</v>
      </c>
      <c r="E631" s="194">
        <v>0.75</v>
      </c>
      <c r="F631" s="194"/>
      <c r="G631" s="194">
        <v>1.58</v>
      </c>
      <c r="H631" s="266">
        <f t="shared" si="28"/>
        <v>-1.19</v>
      </c>
    </row>
    <row r="632" spans="1:8" s="228" customFormat="1" ht="20.100000000000001" customHeight="1">
      <c r="A632" s="195"/>
      <c r="B632" s="192" t="s">
        <v>3832</v>
      </c>
      <c r="C632" s="190">
        <v>1</v>
      </c>
      <c r="D632" s="190">
        <v>-1</v>
      </c>
      <c r="E632" s="194">
        <v>0.9</v>
      </c>
      <c r="F632" s="194"/>
      <c r="G632" s="194">
        <v>1.58</v>
      </c>
      <c r="H632" s="266">
        <f t="shared" si="28"/>
        <v>-1.42</v>
      </c>
    </row>
    <row r="633" spans="1:8" s="228" customFormat="1" ht="20.100000000000001" customHeight="1">
      <c r="A633" s="195"/>
      <c r="B633" s="192" t="s">
        <v>3833</v>
      </c>
      <c r="C633" s="190">
        <v>1</v>
      </c>
      <c r="D633" s="190">
        <v>1</v>
      </c>
      <c r="E633" s="194">
        <f>(4.35+2.4)*2</f>
        <v>13.5</v>
      </c>
      <c r="F633" s="194"/>
      <c r="G633" s="194">
        <v>0.1</v>
      </c>
      <c r="H633" s="266">
        <f t="shared" si="28"/>
        <v>1.35</v>
      </c>
    </row>
    <row r="634" spans="1:8" s="228" customFormat="1" ht="20.100000000000001" customHeight="1">
      <c r="A634" s="195"/>
      <c r="B634" s="192" t="s">
        <v>3659</v>
      </c>
      <c r="C634" s="190">
        <v>1</v>
      </c>
      <c r="D634" s="190">
        <v>-1</v>
      </c>
      <c r="E634" s="194">
        <v>1</v>
      </c>
      <c r="F634" s="194"/>
      <c r="G634" s="194">
        <v>0.1</v>
      </c>
      <c r="H634" s="266">
        <f t="shared" si="28"/>
        <v>-0.1</v>
      </c>
    </row>
    <row r="635" spans="1:8" s="228" customFormat="1" ht="20.100000000000001" customHeight="1">
      <c r="A635" s="195"/>
      <c r="B635" s="192" t="s">
        <v>3834</v>
      </c>
      <c r="C635" s="190">
        <v>1</v>
      </c>
      <c r="D635" s="190">
        <v>1</v>
      </c>
      <c r="E635" s="194">
        <v>14.7</v>
      </c>
      <c r="F635" s="194"/>
      <c r="G635" s="194">
        <v>0.1</v>
      </c>
      <c r="H635" s="266">
        <f t="shared" si="28"/>
        <v>1.47</v>
      </c>
    </row>
    <row r="636" spans="1:8" s="228" customFormat="1" ht="20.100000000000001" customHeight="1">
      <c r="A636" s="195"/>
      <c r="B636" s="192" t="s">
        <v>3659</v>
      </c>
      <c r="C636" s="190">
        <v>1</v>
      </c>
      <c r="D636" s="190">
        <v>-1</v>
      </c>
      <c r="E636" s="194">
        <v>1</v>
      </c>
      <c r="F636" s="194"/>
      <c r="G636" s="194">
        <v>0.1</v>
      </c>
      <c r="H636" s="266">
        <f t="shared" si="28"/>
        <v>-0.1</v>
      </c>
    </row>
    <row r="637" spans="1:8" s="228" customFormat="1" ht="34.9" customHeight="1">
      <c r="A637" s="195"/>
      <c r="B637" s="192" t="s">
        <v>3835</v>
      </c>
      <c r="C637" s="190">
        <v>1</v>
      </c>
      <c r="D637" s="190">
        <v>1</v>
      </c>
      <c r="E637" s="194">
        <f>(2+1.5)*2</f>
        <v>7</v>
      </c>
      <c r="F637" s="194"/>
      <c r="G637" s="194">
        <v>0.1</v>
      </c>
      <c r="H637" s="266">
        <f t="shared" si="28"/>
        <v>0.7</v>
      </c>
    </row>
    <row r="638" spans="1:8" s="228" customFormat="1" ht="20.100000000000001" customHeight="1">
      <c r="A638" s="195"/>
      <c r="B638" s="192" t="s">
        <v>3659</v>
      </c>
      <c r="C638" s="190">
        <v>1</v>
      </c>
      <c r="D638" s="190">
        <v>-1</v>
      </c>
      <c r="E638" s="194">
        <v>1</v>
      </c>
      <c r="F638" s="194"/>
      <c r="G638" s="194">
        <v>0.1</v>
      </c>
      <c r="H638" s="266">
        <f t="shared" si="28"/>
        <v>-0.1</v>
      </c>
    </row>
    <row r="639" spans="1:8" s="228" customFormat="1" ht="34.9" customHeight="1">
      <c r="A639" s="195"/>
      <c r="B639" s="192" t="s">
        <v>3836</v>
      </c>
      <c r="C639" s="190">
        <v>1</v>
      </c>
      <c r="D639" s="190">
        <v>1</v>
      </c>
      <c r="E639" s="194">
        <v>48.2</v>
      </c>
      <c r="F639" s="194"/>
      <c r="G639" s="194">
        <v>0.1</v>
      </c>
      <c r="H639" s="266">
        <f t="shared" si="28"/>
        <v>4.82</v>
      </c>
    </row>
    <row r="640" spans="1:8" s="228" customFormat="1" ht="20.100000000000001" customHeight="1">
      <c r="A640" s="195"/>
      <c r="B640" s="192" t="s">
        <v>3659</v>
      </c>
      <c r="C640" s="190">
        <v>1</v>
      </c>
      <c r="D640" s="190">
        <v>-4</v>
      </c>
      <c r="E640" s="194">
        <v>1</v>
      </c>
      <c r="F640" s="194"/>
      <c r="G640" s="194">
        <v>0.1</v>
      </c>
      <c r="H640" s="266">
        <f t="shared" si="28"/>
        <v>-0.4</v>
      </c>
    </row>
    <row r="641" spans="1:8" s="228" customFormat="1" ht="20.100000000000001" customHeight="1">
      <c r="A641" s="195"/>
      <c r="B641" s="192" t="s">
        <v>3681</v>
      </c>
      <c r="C641" s="190">
        <v>1</v>
      </c>
      <c r="D641" s="190">
        <v>-2</v>
      </c>
      <c r="E641" s="194">
        <v>1</v>
      </c>
      <c r="F641" s="194"/>
      <c r="G641" s="194">
        <v>0.1</v>
      </c>
      <c r="H641" s="266">
        <f t="shared" si="28"/>
        <v>-0.2</v>
      </c>
    </row>
    <row r="642" spans="1:8" s="228" customFormat="1" ht="20.100000000000001" customHeight="1">
      <c r="A642" s="195"/>
      <c r="B642" s="192" t="s">
        <v>3680</v>
      </c>
      <c r="C642" s="190">
        <v>1</v>
      </c>
      <c r="D642" s="190">
        <v>-1</v>
      </c>
      <c r="E642" s="194">
        <v>2.4</v>
      </c>
      <c r="F642" s="194"/>
      <c r="G642" s="194">
        <v>0.1</v>
      </c>
      <c r="H642" s="266">
        <f t="shared" si="28"/>
        <v>-0.24</v>
      </c>
    </row>
    <row r="643" spans="1:8" s="228" customFormat="1" ht="20.100000000000001" customHeight="1">
      <c r="A643" s="195"/>
      <c r="B643" s="192" t="s">
        <v>3837</v>
      </c>
      <c r="C643" s="190">
        <v>1</v>
      </c>
      <c r="D643" s="190">
        <v>1</v>
      </c>
      <c r="E643" s="194">
        <f>(4.35+4.015)*2</f>
        <v>16.73</v>
      </c>
      <c r="F643" s="194"/>
      <c r="G643" s="194">
        <v>0.1</v>
      </c>
      <c r="H643" s="266">
        <f t="shared" si="28"/>
        <v>1.67</v>
      </c>
    </row>
    <row r="644" spans="1:8" s="228" customFormat="1" ht="20.100000000000001" customHeight="1">
      <c r="A644" s="195"/>
      <c r="B644" s="192" t="s">
        <v>3659</v>
      </c>
      <c r="C644" s="190">
        <v>1</v>
      </c>
      <c r="D644" s="190">
        <v>-1</v>
      </c>
      <c r="E644" s="194">
        <v>1</v>
      </c>
      <c r="F644" s="194"/>
      <c r="G644" s="194">
        <v>0.1</v>
      </c>
      <c r="H644" s="266">
        <f t="shared" si="28"/>
        <v>-0.1</v>
      </c>
    </row>
    <row r="645" spans="1:8" s="228" customFormat="1" ht="20.100000000000001" customHeight="1">
      <c r="A645" s="195"/>
      <c r="B645" s="192" t="s">
        <v>3838</v>
      </c>
      <c r="C645" s="190">
        <v>1</v>
      </c>
      <c r="D645" s="190">
        <v>-1</v>
      </c>
      <c r="E645" s="194">
        <v>0.9</v>
      </c>
      <c r="F645" s="194"/>
      <c r="G645" s="194">
        <v>0.1</v>
      </c>
      <c r="H645" s="266">
        <f t="shared" si="28"/>
        <v>-0.09</v>
      </c>
    </row>
    <row r="646" spans="1:8" s="228" customFormat="1" ht="20.100000000000001" customHeight="1">
      <c r="A646" s="195"/>
      <c r="B646" s="192" t="s">
        <v>3831</v>
      </c>
      <c r="C646" s="190">
        <v>1</v>
      </c>
      <c r="D646" s="190">
        <v>1</v>
      </c>
      <c r="E646" s="194">
        <f>(1.65+1.5)*2</f>
        <v>6.3</v>
      </c>
      <c r="F646" s="194"/>
      <c r="G646" s="194">
        <v>1.58</v>
      </c>
      <c r="H646" s="266">
        <f t="shared" si="28"/>
        <v>9.9499999999999993</v>
      </c>
    </row>
    <row r="647" spans="1:8" s="228" customFormat="1" ht="20.100000000000001" customHeight="1">
      <c r="A647" s="195"/>
      <c r="B647" s="192" t="s">
        <v>3707</v>
      </c>
      <c r="C647" s="190">
        <v>1</v>
      </c>
      <c r="D647" s="190">
        <v>-1</v>
      </c>
      <c r="E647" s="194">
        <v>0.75</v>
      </c>
      <c r="F647" s="194"/>
      <c r="G647" s="194">
        <v>1.58</v>
      </c>
      <c r="H647" s="266">
        <f t="shared" si="28"/>
        <v>-1.19</v>
      </c>
    </row>
    <row r="648" spans="1:8" s="228" customFormat="1" ht="20.100000000000001" customHeight="1">
      <c r="A648" s="195"/>
      <c r="B648" s="192" t="s">
        <v>3827</v>
      </c>
      <c r="C648" s="190">
        <v>1</v>
      </c>
      <c r="D648" s="190">
        <v>1</v>
      </c>
      <c r="E648" s="194">
        <f>(2.585+1.5)*2</f>
        <v>8.17</v>
      </c>
      <c r="F648" s="194"/>
      <c r="G648" s="194">
        <v>1.58</v>
      </c>
      <c r="H648" s="266">
        <f t="shared" si="28"/>
        <v>12.91</v>
      </c>
    </row>
    <row r="649" spans="1:8" s="228" customFormat="1" ht="20.100000000000001" customHeight="1">
      <c r="A649" s="195"/>
      <c r="B649" s="192" t="s">
        <v>3707</v>
      </c>
      <c r="C649" s="190">
        <v>1</v>
      </c>
      <c r="D649" s="190">
        <v>-1</v>
      </c>
      <c r="E649" s="194">
        <v>0.75</v>
      </c>
      <c r="F649" s="194"/>
      <c r="G649" s="194">
        <v>1.58</v>
      </c>
      <c r="H649" s="266">
        <f t="shared" si="28"/>
        <v>-1.19</v>
      </c>
    </row>
    <row r="650" spans="1:8" s="228" customFormat="1" ht="20.100000000000001" customHeight="1">
      <c r="A650" s="195"/>
      <c r="B650" s="192" t="s">
        <v>3832</v>
      </c>
      <c r="C650" s="190">
        <v>1</v>
      </c>
      <c r="D650" s="190">
        <v>-1</v>
      </c>
      <c r="E650" s="194">
        <v>0.9</v>
      </c>
      <c r="F650" s="194"/>
      <c r="G650" s="194">
        <v>1.58</v>
      </c>
      <c r="H650" s="266">
        <f t="shared" si="28"/>
        <v>-1.42</v>
      </c>
    </row>
    <row r="651" spans="1:8" s="228" customFormat="1" ht="20.100000000000001" customHeight="1">
      <c r="A651" s="195"/>
      <c r="B651" s="189" t="s">
        <v>1818</v>
      </c>
      <c r="C651" s="190"/>
      <c r="D651" s="190"/>
      <c r="E651" s="187"/>
      <c r="F651" s="187"/>
      <c r="G651" s="187"/>
      <c r="H651" s="266">
        <f t="shared" si="28"/>
        <v>0</v>
      </c>
    </row>
    <row r="652" spans="1:8" s="228" customFormat="1" ht="20.100000000000001" customHeight="1">
      <c r="A652" s="195"/>
      <c r="B652" s="192" t="s">
        <v>3830</v>
      </c>
      <c r="C652" s="190">
        <v>1</v>
      </c>
      <c r="D652" s="190">
        <v>1</v>
      </c>
      <c r="E652" s="194">
        <f>(4.35+4.015)*2</f>
        <v>16.73</v>
      </c>
      <c r="F652" s="194"/>
      <c r="G652" s="194">
        <v>0.1</v>
      </c>
      <c r="H652" s="266">
        <f t="shared" si="28"/>
        <v>1.67</v>
      </c>
    </row>
    <row r="653" spans="1:8" s="228" customFormat="1" ht="20.100000000000001" customHeight="1">
      <c r="A653" s="195"/>
      <c r="B653" s="192" t="s">
        <v>3659</v>
      </c>
      <c r="C653" s="190">
        <v>1</v>
      </c>
      <c r="D653" s="190">
        <v>-1</v>
      </c>
      <c r="E653" s="194">
        <v>1</v>
      </c>
      <c r="F653" s="194"/>
      <c r="G653" s="194">
        <v>0.1</v>
      </c>
      <c r="H653" s="266">
        <f t="shared" si="28"/>
        <v>-0.1</v>
      </c>
    </row>
    <row r="654" spans="1:8" s="228" customFormat="1" ht="20.100000000000001" customHeight="1">
      <c r="A654" s="195"/>
      <c r="B654" s="192" t="s">
        <v>3832</v>
      </c>
      <c r="C654" s="190">
        <v>1</v>
      </c>
      <c r="D654" s="190">
        <v>-1</v>
      </c>
      <c r="E654" s="194">
        <v>0.9</v>
      </c>
      <c r="F654" s="194"/>
      <c r="G654" s="194">
        <v>0.1</v>
      </c>
      <c r="H654" s="266">
        <f t="shared" si="28"/>
        <v>-0.09</v>
      </c>
    </row>
    <row r="655" spans="1:8" s="228" customFormat="1" ht="20.100000000000001" customHeight="1">
      <c r="A655" s="195"/>
      <c r="B655" s="192" t="s">
        <v>3831</v>
      </c>
      <c r="C655" s="190">
        <v>1</v>
      </c>
      <c r="D655" s="190">
        <v>1</v>
      </c>
      <c r="E655" s="194">
        <f>(1.65+1.5)*2</f>
        <v>6.3</v>
      </c>
      <c r="F655" s="194"/>
      <c r="G655" s="194">
        <v>1.58</v>
      </c>
      <c r="H655" s="266">
        <f t="shared" si="28"/>
        <v>9.9499999999999993</v>
      </c>
    </row>
    <row r="656" spans="1:8" s="228" customFormat="1" ht="20.100000000000001" customHeight="1">
      <c r="A656" s="195"/>
      <c r="B656" s="192" t="s">
        <v>3707</v>
      </c>
      <c r="C656" s="190">
        <v>1</v>
      </c>
      <c r="D656" s="190">
        <v>-1</v>
      </c>
      <c r="E656" s="194">
        <v>0.75</v>
      </c>
      <c r="F656" s="194"/>
      <c r="G656" s="194">
        <v>1.58</v>
      </c>
      <c r="H656" s="266">
        <f t="shared" si="28"/>
        <v>-1.19</v>
      </c>
    </row>
    <row r="657" spans="1:8" s="228" customFormat="1" ht="20.100000000000001" customHeight="1">
      <c r="A657" s="195"/>
      <c r="B657" s="192" t="s">
        <v>3827</v>
      </c>
      <c r="C657" s="190">
        <v>1</v>
      </c>
      <c r="D657" s="190">
        <v>1</v>
      </c>
      <c r="E657" s="194">
        <f>(2.585+1.5)*2</f>
        <v>8.17</v>
      </c>
      <c r="F657" s="194"/>
      <c r="G657" s="194">
        <v>1.58</v>
      </c>
      <c r="H657" s="266">
        <f t="shared" si="28"/>
        <v>12.91</v>
      </c>
    </row>
    <row r="658" spans="1:8" s="228" customFormat="1" ht="20.100000000000001" customHeight="1">
      <c r="A658" s="195"/>
      <c r="B658" s="192" t="s">
        <v>3707</v>
      </c>
      <c r="C658" s="190">
        <v>1</v>
      </c>
      <c r="D658" s="190">
        <v>-1</v>
      </c>
      <c r="E658" s="194">
        <v>0.75</v>
      </c>
      <c r="F658" s="194"/>
      <c r="G658" s="194">
        <v>1.58</v>
      </c>
      <c r="H658" s="266">
        <f t="shared" si="28"/>
        <v>-1.19</v>
      </c>
    </row>
    <row r="659" spans="1:8" s="228" customFormat="1" ht="20.100000000000001" customHeight="1">
      <c r="A659" s="195"/>
      <c r="B659" s="192" t="s">
        <v>3832</v>
      </c>
      <c r="C659" s="190">
        <v>1</v>
      </c>
      <c r="D659" s="190">
        <v>-1</v>
      </c>
      <c r="E659" s="194">
        <v>0.9</v>
      </c>
      <c r="F659" s="194"/>
      <c r="G659" s="194">
        <v>1.58</v>
      </c>
      <c r="H659" s="266">
        <f t="shared" si="28"/>
        <v>-1.42</v>
      </c>
    </row>
    <row r="660" spans="1:8" s="228" customFormat="1" ht="20.100000000000001" customHeight="1">
      <c r="A660" s="195"/>
      <c r="B660" s="192" t="s">
        <v>3837</v>
      </c>
      <c r="C660" s="190">
        <v>1</v>
      </c>
      <c r="D660" s="190">
        <v>1</v>
      </c>
      <c r="E660" s="187">
        <f>(4.35+4.015)*2</f>
        <v>16.73</v>
      </c>
      <c r="F660" s="187"/>
      <c r="G660" s="194">
        <v>0.1</v>
      </c>
      <c r="H660" s="266">
        <f t="shared" si="28"/>
        <v>1.67</v>
      </c>
    </row>
    <row r="661" spans="1:8" s="228" customFormat="1" ht="20.100000000000001" customHeight="1">
      <c r="A661" s="195"/>
      <c r="B661" s="192" t="s">
        <v>3659</v>
      </c>
      <c r="C661" s="190">
        <v>1</v>
      </c>
      <c r="D661" s="190">
        <v>-1</v>
      </c>
      <c r="E661" s="194">
        <v>1</v>
      </c>
      <c r="F661" s="194"/>
      <c r="G661" s="194">
        <v>0.1</v>
      </c>
      <c r="H661" s="266">
        <f t="shared" si="28"/>
        <v>-0.1</v>
      </c>
    </row>
    <row r="662" spans="1:8" s="228" customFormat="1" ht="20.100000000000001" customHeight="1">
      <c r="A662" s="195"/>
      <c r="B662" s="192" t="s">
        <v>3707</v>
      </c>
      <c r="C662" s="190">
        <v>1</v>
      </c>
      <c r="D662" s="190">
        <v>-1</v>
      </c>
      <c r="E662" s="194">
        <v>0.75</v>
      </c>
      <c r="F662" s="194"/>
      <c r="G662" s="194">
        <v>0.1</v>
      </c>
      <c r="H662" s="266">
        <f t="shared" si="28"/>
        <v>-0.08</v>
      </c>
    </row>
    <row r="663" spans="1:8" s="228" customFormat="1" ht="20.100000000000001" customHeight="1">
      <c r="A663" s="195"/>
      <c r="B663" s="192" t="s">
        <v>3839</v>
      </c>
      <c r="C663" s="190">
        <v>1</v>
      </c>
      <c r="D663" s="190">
        <v>1</v>
      </c>
      <c r="E663" s="194">
        <f>(1.5+1.65)*2</f>
        <v>6.3</v>
      </c>
      <c r="F663" s="194"/>
      <c r="G663" s="194">
        <v>1.58</v>
      </c>
      <c r="H663" s="266">
        <f t="shared" si="28"/>
        <v>9.9499999999999993</v>
      </c>
    </row>
    <row r="664" spans="1:8" s="228" customFormat="1" ht="20.100000000000001" customHeight="1">
      <c r="A664" s="195"/>
      <c r="B664" s="192" t="s">
        <v>3707</v>
      </c>
      <c r="C664" s="190">
        <v>1</v>
      </c>
      <c r="D664" s="190">
        <v>-1</v>
      </c>
      <c r="E664" s="194">
        <v>0.75</v>
      </c>
      <c r="F664" s="194"/>
      <c r="G664" s="194">
        <v>1.58</v>
      </c>
      <c r="H664" s="266">
        <f t="shared" si="28"/>
        <v>-1.19</v>
      </c>
    </row>
    <row r="665" spans="1:8" s="228" customFormat="1" ht="20.100000000000001" customHeight="1">
      <c r="A665" s="195"/>
      <c r="B665" s="192" t="s">
        <v>3840</v>
      </c>
      <c r="C665" s="190">
        <v>1</v>
      </c>
      <c r="D665" s="190">
        <v>1</v>
      </c>
      <c r="E665" s="194">
        <f>(1.35+1.65)*2</f>
        <v>6</v>
      </c>
      <c r="F665" s="194"/>
      <c r="G665" s="194">
        <v>1.58</v>
      </c>
      <c r="H665" s="266">
        <f t="shared" si="28"/>
        <v>9.48</v>
      </c>
    </row>
    <row r="666" spans="1:8" s="228" customFormat="1" ht="20.100000000000001" customHeight="1">
      <c r="A666" s="195"/>
      <c r="B666" s="192" t="s">
        <v>3707</v>
      </c>
      <c r="C666" s="190">
        <v>1</v>
      </c>
      <c r="D666" s="190">
        <v>-1</v>
      </c>
      <c r="E666" s="194">
        <v>0.75</v>
      </c>
      <c r="F666" s="194"/>
      <c r="G666" s="194">
        <v>1.58</v>
      </c>
      <c r="H666" s="266">
        <f t="shared" si="28"/>
        <v>-1.19</v>
      </c>
    </row>
    <row r="667" spans="1:8" s="228" customFormat="1" ht="20.100000000000001" customHeight="1">
      <c r="A667" s="195"/>
      <c r="B667" s="192" t="s">
        <v>3840</v>
      </c>
      <c r="C667" s="190">
        <v>1</v>
      </c>
      <c r="D667" s="190">
        <v>1</v>
      </c>
      <c r="E667" s="194">
        <f>(1.535+1.65)*2</f>
        <v>6.37</v>
      </c>
      <c r="F667" s="194"/>
      <c r="G667" s="194">
        <v>1.58</v>
      </c>
      <c r="H667" s="266">
        <f t="shared" si="28"/>
        <v>10.06</v>
      </c>
    </row>
    <row r="668" spans="1:8" s="228" customFormat="1" ht="20.100000000000001" customHeight="1">
      <c r="A668" s="195"/>
      <c r="B668" s="192" t="s">
        <v>3707</v>
      </c>
      <c r="C668" s="190">
        <v>1</v>
      </c>
      <c r="D668" s="190">
        <v>-1</v>
      </c>
      <c r="E668" s="194">
        <v>0.75</v>
      </c>
      <c r="F668" s="194"/>
      <c r="G668" s="194">
        <v>1.58</v>
      </c>
      <c r="H668" s="266">
        <f t="shared" ref="H668:H687" si="29">ROUND(PRODUCT(C668:G668),2)</f>
        <v>-1.19</v>
      </c>
    </row>
    <row r="669" spans="1:8" s="228" customFormat="1" ht="20.100000000000001" customHeight="1">
      <c r="A669" s="195"/>
      <c r="B669" s="192" t="s">
        <v>3841</v>
      </c>
      <c r="C669" s="190">
        <v>1</v>
      </c>
      <c r="D669" s="190">
        <v>1</v>
      </c>
      <c r="E669" s="194">
        <f>(4.915+4.615)*2</f>
        <v>19.059999999999999</v>
      </c>
      <c r="F669" s="194"/>
      <c r="G669" s="194">
        <v>0.1</v>
      </c>
      <c r="H669" s="266">
        <f t="shared" si="29"/>
        <v>1.91</v>
      </c>
    </row>
    <row r="670" spans="1:8" s="228" customFormat="1" ht="20.100000000000001" customHeight="1">
      <c r="A670" s="195"/>
      <c r="B670" s="192" t="s">
        <v>3659</v>
      </c>
      <c r="C670" s="190">
        <v>1</v>
      </c>
      <c r="D670" s="190">
        <v>-1</v>
      </c>
      <c r="E670" s="194">
        <v>1</v>
      </c>
      <c r="F670" s="194"/>
      <c r="G670" s="194">
        <v>0.1</v>
      </c>
      <c r="H670" s="266">
        <f t="shared" si="29"/>
        <v>-0.1</v>
      </c>
    </row>
    <row r="671" spans="1:8" s="228" customFormat="1" ht="20.100000000000001" customHeight="1">
      <c r="A671" s="195"/>
      <c r="B671" s="192" t="s">
        <v>3707</v>
      </c>
      <c r="C671" s="190">
        <v>1</v>
      </c>
      <c r="D671" s="190">
        <v>-2</v>
      </c>
      <c r="E671" s="194">
        <v>0.75</v>
      </c>
      <c r="F671" s="194"/>
      <c r="G671" s="194">
        <v>0.1</v>
      </c>
      <c r="H671" s="266">
        <f t="shared" si="29"/>
        <v>-0.15</v>
      </c>
    </row>
    <row r="672" spans="1:8" s="228" customFormat="1" ht="20.100000000000001" customHeight="1">
      <c r="A672" s="195"/>
      <c r="B672" s="192" t="s">
        <v>3842</v>
      </c>
      <c r="C672" s="190">
        <v>1</v>
      </c>
      <c r="D672" s="190">
        <v>1</v>
      </c>
      <c r="E672" s="187">
        <v>26.4</v>
      </c>
      <c r="F672" s="187"/>
      <c r="G672" s="194">
        <v>0.1</v>
      </c>
      <c r="H672" s="266">
        <f t="shared" si="29"/>
        <v>2.64</v>
      </c>
    </row>
    <row r="673" spans="1:9" s="228" customFormat="1" ht="20.100000000000001" customHeight="1">
      <c r="A673" s="195"/>
      <c r="B673" s="192" t="s">
        <v>3659</v>
      </c>
      <c r="C673" s="190">
        <v>1</v>
      </c>
      <c r="D673" s="190">
        <v>-6</v>
      </c>
      <c r="E673" s="194">
        <v>1</v>
      </c>
      <c r="F673" s="194"/>
      <c r="G673" s="194">
        <v>0.1</v>
      </c>
      <c r="H673" s="266">
        <f t="shared" si="29"/>
        <v>-0.6</v>
      </c>
    </row>
    <row r="674" spans="1:9" s="228" customFormat="1" ht="20.100000000000001" customHeight="1">
      <c r="A674" s="195"/>
      <c r="B674" s="192" t="s">
        <v>3680</v>
      </c>
      <c r="C674" s="190">
        <v>1</v>
      </c>
      <c r="D674" s="190">
        <v>-1</v>
      </c>
      <c r="E674" s="187">
        <v>2.4</v>
      </c>
      <c r="F674" s="187"/>
      <c r="G674" s="194">
        <v>0.1</v>
      </c>
      <c r="H674" s="266">
        <f t="shared" si="29"/>
        <v>-0.24</v>
      </c>
    </row>
    <row r="675" spans="1:9" s="228" customFormat="1" ht="20.100000000000001" customHeight="1">
      <c r="A675" s="195"/>
      <c r="B675" s="192" t="s">
        <v>3843</v>
      </c>
      <c r="C675" s="190">
        <v>1</v>
      </c>
      <c r="D675" s="190">
        <v>1</v>
      </c>
      <c r="E675" s="187">
        <f>(4.35+3)*2</f>
        <v>14.7</v>
      </c>
      <c r="F675" s="187"/>
      <c r="G675" s="194">
        <v>0.1</v>
      </c>
      <c r="H675" s="266">
        <f t="shared" si="29"/>
        <v>1.47</v>
      </c>
    </row>
    <row r="676" spans="1:9" s="228" customFormat="1" ht="20.100000000000001" customHeight="1">
      <c r="A676" s="195"/>
      <c r="B676" s="192" t="s">
        <v>3659</v>
      </c>
      <c r="C676" s="190">
        <v>1</v>
      </c>
      <c r="D676" s="190">
        <v>-6</v>
      </c>
      <c r="E676" s="194">
        <v>1</v>
      </c>
      <c r="F676" s="194"/>
      <c r="G676" s="194">
        <v>0.1</v>
      </c>
      <c r="H676" s="266">
        <f t="shared" si="29"/>
        <v>-0.6</v>
      </c>
    </row>
    <row r="677" spans="1:9" s="228" customFormat="1" ht="20.100000000000001" customHeight="1">
      <c r="A677" s="195"/>
      <c r="B677" s="192" t="s">
        <v>3844</v>
      </c>
      <c r="C677" s="190">
        <v>1</v>
      </c>
      <c r="D677" s="190">
        <v>1</v>
      </c>
      <c r="E677" s="187">
        <f>(3.12+2.4)*2</f>
        <v>11.04</v>
      </c>
      <c r="F677" s="187"/>
      <c r="G677" s="194">
        <v>0.1</v>
      </c>
      <c r="H677" s="266">
        <f t="shared" si="29"/>
        <v>1.1000000000000001</v>
      </c>
    </row>
    <row r="678" spans="1:9" s="228" customFormat="1" ht="20.100000000000001" customHeight="1">
      <c r="A678" s="195"/>
      <c r="B678" s="192" t="s">
        <v>3659</v>
      </c>
      <c r="C678" s="190">
        <v>1</v>
      </c>
      <c r="D678" s="190">
        <v>-1</v>
      </c>
      <c r="E678" s="194">
        <v>1</v>
      </c>
      <c r="F678" s="194"/>
      <c r="G678" s="194">
        <v>0.1</v>
      </c>
      <c r="H678" s="266">
        <f t="shared" si="29"/>
        <v>-0.1</v>
      </c>
    </row>
    <row r="679" spans="1:9" s="228" customFormat="1" ht="20.100000000000001" customHeight="1">
      <c r="A679" s="195"/>
      <c r="B679" s="192" t="s">
        <v>3845</v>
      </c>
      <c r="C679" s="190">
        <v>1</v>
      </c>
      <c r="D679" s="190">
        <v>1</v>
      </c>
      <c r="E679" s="187">
        <f>(4.35+4.765)*2</f>
        <v>18.23</v>
      </c>
      <c r="F679" s="187"/>
      <c r="G679" s="194">
        <v>0.1</v>
      </c>
      <c r="H679" s="266">
        <f t="shared" si="29"/>
        <v>1.82</v>
      </c>
    </row>
    <row r="680" spans="1:9" s="228" customFormat="1" ht="20.100000000000001" customHeight="1">
      <c r="A680" s="195"/>
      <c r="B680" s="192" t="s">
        <v>3659</v>
      </c>
      <c r="C680" s="190">
        <v>1</v>
      </c>
      <c r="D680" s="190">
        <v>-1</v>
      </c>
      <c r="E680" s="194">
        <v>1</v>
      </c>
      <c r="F680" s="194"/>
      <c r="G680" s="194">
        <v>0.1</v>
      </c>
      <c r="H680" s="266">
        <f t="shared" si="29"/>
        <v>-0.1</v>
      </c>
    </row>
    <row r="681" spans="1:9" s="228" customFormat="1" ht="20.100000000000001" customHeight="1">
      <c r="A681" s="195"/>
      <c r="B681" s="192" t="s">
        <v>3838</v>
      </c>
      <c r="C681" s="190">
        <v>1</v>
      </c>
      <c r="D681" s="190">
        <v>-1</v>
      </c>
      <c r="E681" s="194">
        <v>1.0900000000000001</v>
      </c>
      <c r="F681" s="194"/>
      <c r="G681" s="194">
        <v>0.1</v>
      </c>
      <c r="H681" s="266">
        <f t="shared" si="29"/>
        <v>-0.11</v>
      </c>
    </row>
    <row r="682" spans="1:9" s="228" customFormat="1" ht="20.100000000000001" customHeight="1">
      <c r="A682" s="195"/>
      <c r="B682" s="192" t="s">
        <v>3831</v>
      </c>
      <c r="C682" s="190">
        <v>1</v>
      </c>
      <c r="D682" s="190">
        <v>1</v>
      </c>
      <c r="E682" s="194">
        <f>(1.5+1.35)*2</f>
        <v>5.7</v>
      </c>
      <c r="F682" s="194"/>
      <c r="G682" s="194">
        <v>1.58</v>
      </c>
      <c r="H682" s="266">
        <f t="shared" si="29"/>
        <v>9.01</v>
      </c>
    </row>
    <row r="683" spans="1:9" s="228" customFormat="1" ht="20.100000000000001" customHeight="1">
      <c r="A683" s="195"/>
      <c r="B683" s="192" t="s">
        <v>3707</v>
      </c>
      <c r="C683" s="190">
        <v>1</v>
      </c>
      <c r="D683" s="190">
        <v>-1</v>
      </c>
      <c r="E683" s="194">
        <v>0.75</v>
      </c>
      <c r="F683" s="194"/>
      <c r="G683" s="194">
        <v>1.58</v>
      </c>
      <c r="H683" s="266">
        <f t="shared" si="29"/>
        <v>-1.19</v>
      </c>
    </row>
    <row r="684" spans="1:9" s="228" customFormat="1" ht="20.100000000000001" customHeight="1">
      <c r="A684" s="195"/>
      <c r="B684" s="192" t="s">
        <v>3827</v>
      </c>
      <c r="C684" s="190">
        <v>1</v>
      </c>
      <c r="D684" s="190">
        <v>1</v>
      </c>
      <c r="E684" s="194">
        <f>(1.085+1.35*2)</f>
        <v>3.79</v>
      </c>
      <c r="F684" s="194"/>
      <c r="G684" s="194">
        <v>1.58</v>
      </c>
      <c r="H684" s="266">
        <f t="shared" si="29"/>
        <v>5.99</v>
      </c>
    </row>
    <row r="685" spans="1:9" s="228" customFormat="1" ht="20.100000000000001" customHeight="1">
      <c r="A685" s="195"/>
      <c r="B685" s="192" t="s">
        <v>3707</v>
      </c>
      <c r="C685" s="190">
        <v>1</v>
      </c>
      <c r="D685" s="190">
        <v>-2</v>
      </c>
      <c r="E685" s="194">
        <v>0.75</v>
      </c>
      <c r="F685" s="194"/>
      <c r="G685" s="194">
        <v>1.58</v>
      </c>
      <c r="H685" s="266">
        <f t="shared" si="29"/>
        <v>-2.37</v>
      </c>
    </row>
    <row r="686" spans="1:9" s="228" customFormat="1" ht="20.100000000000001" customHeight="1">
      <c r="A686" s="195"/>
      <c r="B686" s="192" t="s">
        <v>3831</v>
      </c>
      <c r="C686" s="190">
        <v>1</v>
      </c>
      <c r="D686" s="190">
        <v>1</v>
      </c>
      <c r="E686" s="194">
        <f>(1.65+1.35)*2</f>
        <v>6</v>
      </c>
      <c r="F686" s="194"/>
      <c r="G686" s="194">
        <v>1.58</v>
      </c>
      <c r="H686" s="266">
        <f t="shared" si="29"/>
        <v>9.48</v>
      </c>
    </row>
    <row r="687" spans="1:9" s="228" customFormat="1" ht="20.100000000000001" customHeight="1">
      <c r="A687" s="195"/>
      <c r="B687" s="192" t="s">
        <v>3707</v>
      </c>
      <c r="C687" s="190">
        <v>1</v>
      </c>
      <c r="D687" s="190">
        <v>-1</v>
      </c>
      <c r="E687" s="194">
        <v>0.75</v>
      </c>
      <c r="F687" s="194"/>
      <c r="G687" s="194">
        <v>1.58</v>
      </c>
      <c r="H687" s="266">
        <f t="shared" si="29"/>
        <v>-1.19</v>
      </c>
    </row>
    <row r="688" spans="1:9" s="271" customFormat="1" ht="20.100000000000001" customHeight="1">
      <c r="A688" s="267"/>
      <c r="B688" s="268"/>
      <c r="C688" s="269"/>
      <c r="D688" s="269"/>
      <c r="E688" s="270"/>
      <c r="F688" s="270"/>
      <c r="G688" s="270"/>
      <c r="H688" s="270">
        <f>I689-I688</f>
        <v>0.04</v>
      </c>
      <c r="I688" s="271">
        <f>SUM(H603:H687)</f>
        <v>165.46</v>
      </c>
    </row>
    <row r="689" spans="1:9" s="271" customFormat="1" ht="20.100000000000001" customHeight="1">
      <c r="A689" s="267"/>
      <c r="B689" s="268"/>
      <c r="C689" s="269"/>
      <c r="D689" s="269"/>
      <c r="E689" s="270"/>
      <c r="F689" s="270"/>
      <c r="G689" s="270"/>
      <c r="H689" s="267">
        <f>+I689</f>
        <v>165.5</v>
      </c>
      <c r="I689" s="271">
        <f>ROUNDUP(I688,1)</f>
        <v>165.5</v>
      </c>
    </row>
    <row r="690" spans="1:9" s="271" customFormat="1" ht="20.100000000000001" customHeight="1">
      <c r="A690" s="267"/>
      <c r="B690" s="268"/>
      <c r="C690" s="269"/>
      <c r="D690" s="269"/>
      <c r="E690" s="270"/>
      <c r="F690" s="267" t="s">
        <v>2560</v>
      </c>
      <c r="G690" s="267">
        <f>H689</f>
        <v>165.5</v>
      </c>
      <c r="H690" s="272" t="s">
        <v>1861</v>
      </c>
    </row>
    <row r="691" spans="1:9" ht="24.6" customHeight="1">
      <c r="A691" s="263" t="s">
        <v>3846</v>
      </c>
      <c r="B691" s="992" t="s">
        <v>3847</v>
      </c>
      <c r="C691" s="993"/>
      <c r="D691" s="993"/>
      <c r="E691" s="993"/>
      <c r="F691" s="993"/>
      <c r="G691" s="994"/>
      <c r="H691" s="253"/>
    </row>
    <row r="692" spans="1:9" ht="20.100000000000001" customHeight="1">
      <c r="A692" s="244"/>
      <c r="B692" s="216" t="s">
        <v>307</v>
      </c>
      <c r="C692" s="219"/>
      <c r="D692" s="245"/>
      <c r="E692" s="253"/>
      <c r="F692" s="244"/>
      <c r="G692" s="213"/>
      <c r="H692" s="253"/>
    </row>
    <row r="693" spans="1:9" ht="20.100000000000001" customHeight="1">
      <c r="A693" s="244"/>
      <c r="B693" s="218" t="s">
        <v>3506</v>
      </c>
      <c r="C693" s="219">
        <v>1</v>
      </c>
      <c r="D693" s="219">
        <v>1</v>
      </c>
      <c r="E693" s="204">
        <v>4.3499999999999996</v>
      </c>
      <c r="F693" s="244">
        <v>3.9</v>
      </c>
      <c r="G693" s="213"/>
      <c r="H693" s="205">
        <f>ROUND(PRODUCT(C693:G693),2)</f>
        <v>16.97</v>
      </c>
    </row>
    <row r="694" spans="1:9" ht="20.100000000000001" customHeight="1">
      <c r="A694" s="244"/>
      <c r="B694" s="218" t="s">
        <v>3848</v>
      </c>
      <c r="C694" s="219">
        <v>1</v>
      </c>
      <c r="D694" s="219">
        <v>1</v>
      </c>
      <c r="E694" s="204">
        <v>1.27</v>
      </c>
      <c r="F694" s="193">
        <v>2</v>
      </c>
      <c r="G694" s="213"/>
      <c r="H694" s="205">
        <f t="shared" ref="H694:H726" si="30">ROUND(PRODUCT(C694:G694),2)</f>
        <v>2.54</v>
      </c>
    </row>
    <row r="695" spans="1:9" ht="20.100000000000001" customHeight="1">
      <c r="A695" s="244"/>
      <c r="B695" s="218" t="s">
        <v>3849</v>
      </c>
      <c r="C695" s="219">
        <v>1</v>
      </c>
      <c r="D695" s="219">
        <v>1</v>
      </c>
      <c r="E695" s="204">
        <v>4.3499999999999996</v>
      </c>
      <c r="F695" s="193">
        <v>3.9</v>
      </c>
      <c r="G695" s="213"/>
      <c r="H695" s="205">
        <f t="shared" si="30"/>
        <v>16.97</v>
      </c>
    </row>
    <row r="696" spans="1:9" ht="20.100000000000001" customHeight="1">
      <c r="A696" s="244"/>
      <c r="B696" s="218" t="s">
        <v>3850</v>
      </c>
      <c r="C696" s="219">
        <v>1</v>
      </c>
      <c r="D696" s="219">
        <v>2</v>
      </c>
      <c r="E696" s="204">
        <v>1</v>
      </c>
      <c r="F696" s="193">
        <v>0.23</v>
      </c>
      <c r="G696" s="213"/>
      <c r="H696" s="205">
        <f t="shared" si="30"/>
        <v>0.46</v>
      </c>
    </row>
    <row r="697" spans="1:9" ht="20.100000000000001" customHeight="1">
      <c r="A697" s="244"/>
      <c r="B697" s="216" t="s">
        <v>309</v>
      </c>
      <c r="C697" s="219"/>
      <c r="D697" s="219"/>
      <c r="E697" s="204"/>
      <c r="F697" s="193"/>
      <c r="G697" s="213"/>
      <c r="H697" s="205">
        <f t="shared" si="30"/>
        <v>0</v>
      </c>
    </row>
    <row r="698" spans="1:9" ht="20.100000000000001" customHeight="1">
      <c r="A698" s="244"/>
      <c r="B698" s="218" t="s">
        <v>3851</v>
      </c>
      <c r="C698" s="219">
        <v>1</v>
      </c>
      <c r="D698" s="219">
        <v>1</v>
      </c>
      <c r="E698" s="204">
        <v>4.3499999999999996</v>
      </c>
      <c r="F698" s="193">
        <v>4.0199999999999996</v>
      </c>
      <c r="G698" s="213"/>
      <c r="H698" s="205">
        <f t="shared" si="30"/>
        <v>17.489999999999998</v>
      </c>
    </row>
    <row r="699" spans="1:9" ht="20.100000000000001" customHeight="1">
      <c r="A699" s="244"/>
      <c r="B699" s="218" t="s">
        <v>3850</v>
      </c>
      <c r="C699" s="219">
        <v>1</v>
      </c>
      <c r="D699" s="219">
        <v>1</v>
      </c>
      <c r="E699" s="204">
        <v>1</v>
      </c>
      <c r="F699" s="244">
        <v>0.23</v>
      </c>
      <c r="G699" s="213"/>
      <c r="H699" s="205">
        <f t="shared" si="30"/>
        <v>0.23</v>
      </c>
    </row>
    <row r="700" spans="1:9" ht="20.100000000000001" customHeight="1">
      <c r="A700" s="244"/>
      <c r="B700" s="218" t="s">
        <v>3852</v>
      </c>
      <c r="C700" s="219">
        <v>1</v>
      </c>
      <c r="D700" s="219">
        <v>1</v>
      </c>
      <c r="E700" s="204">
        <v>4.3499999999999996</v>
      </c>
      <c r="F700" s="244">
        <v>2.4</v>
      </c>
      <c r="G700" s="213"/>
      <c r="H700" s="205">
        <f t="shared" si="30"/>
        <v>10.44</v>
      </c>
    </row>
    <row r="701" spans="1:9" ht="20.100000000000001" customHeight="1">
      <c r="A701" s="244"/>
      <c r="B701" s="218" t="s">
        <v>3850</v>
      </c>
      <c r="C701" s="219">
        <v>1</v>
      </c>
      <c r="D701" s="219">
        <v>1</v>
      </c>
      <c r="E701" s="204">
        <v>1</v>
      </c>
      <c r="F701" s="244">
        <v>0.23</v>
      </c>
      <c r="G701" s="213"/>
      <c r="H701" s="205">
        <f t="shared" si="30"/>
        <v>0.23</v>
      </c>
    </row>
    <row r="702" spans="1:9" ht="20.100000000000001" customHeight="1">
      <c r="A702" s="244"/>
      <c r="B702" s="218" t="s">
        <v>3853</v>
      </c>
      <c r="C702" s="219">
        <v>1</v>
      </c>
      <c r="D702" s="219">
        <v>1</v>
      </c>
      <c r="E702" s="204">
        <v>2.12</v>
      </c>
      <c r="F702" s="244">
        <v>3</v>
      </c>
      <c r="G702" s="213"/>
      <c r="H702" s="205">
        <f t="shared" si="30"/>
        <v>6.36</v>
      </c>
    </row>
    <row r="703" spans="1:9" ht="20.100000000000001" customHeight="1">
      <c r="A703" s="244"/>
      <c r="B703" s="218" t="s">
        <v>3853</v>
      </c>
      <c r="C703" s="219">
        <v>1</v>
      </c>
      <c r="D703" s="219">
        <v>1</v>
      </c>
      <c r="E703" s="204">
        <v>2.23</v>
      </c>
      <c r="F703" s="244">
        <v>1.39</v>
      </c>
      <c r="G703" s="213"/>
      <c r="H703" s="205">
        <f t="shared" si="30"/>
        <v>3.1</v>
      </c>
    </row>
    <row r="704" spans="1:9" ht="20.100000000000001" customHeight="1">
      <c r="A704" s="244"/>
      <c r="B704" s="218" t="s">
        <v>3850</v>
      </c>
      <c r="C704" s="219">
        <v>1</v>
      </c>
      <c r="D704" s="219">
        <v>1</v>
      </c>
      <c r="E704" s="204">
        <v>1</v>
      </c>
      <c r="F704" s="244">
        <v>0.23</v>
      </c>
      <c r="G704" s="213"/>
      <c r="H704" s="205">
        <f t="shared" si="30"/>
        <v>0.23</v>
      </c>
    </row>
    <row r="705" spans="1:8" ht="20.100000000000001" customHeight="1">
      <c r="A705" s="244"/>
      <c r="B705" s="218" t="s">
        <v>3854</v>
      </c>
      <c r="C705" s="219">
        <v>1</v>
      </c>
      <c r="D705" s="219">
        <v>1</v>
      </c>
      <c r="E705" s="253">
        <v>2</v>
      </c>
      <c r="F705" s="244">
        <v>1.5</v>
      </c>
      <c r="G705" s="213"/>
      <c r="H705" s="205">
        <f t="shared" si="30"/>
        <v>3</v>
      </c>
    </row>
    <row r="706" spans="1:8" ht="20.100000000000001" customHeight="1">
      <c r="A706" s="244"/>
      <c r="B706" s="218" t="s">
        <v>3850</v>
      </c>
      <c r="C706" s="219">
        <v>1</v>
      </c>
      <c r="D706" s="219">
        <v>1</v>
      </c>
      <c r="E706" s="204">
        <v>1</v>
      </c>
      <c r="F706" s="244">
        <v>0.23</v>
      </c>
      <c r="G706" s="213"/>
      <c r="H706" s="205">
        <f t="shared" si="30"/>
        <v>0.23</v>
      </c>
    </row>
    <row r="707" spans="1:8" ht="20.100000000000001" customHeight="1">
      <c r="A707" s="244"/>
      <c r="B707" s="218" t="s">
        <v>3855</v>
      </c>
      <c r="C707" s="219">
        <v>1</v>
      </c>
      <c r="D707" s="219">
        <v>1</v>
      </c>
      <c r="E707" s="253">
        <v>4.8</v>
      </c>
      <c r="F707" s="244">
        <v>3</v>
      </c>
      <c r="G707" s="213"/>
      <c r="H707" s="205">
        <f t="shared" si="30"/>
        <v>14.4</v>
      </c>
    </row>
    <row r="708" spans="1:8" ht="20.100000000000001" customHeight="1">
      <c r="A708" s="244"/>
      <c r="B708" s="218" t="s">
        <v>3856</v>
      </c>
      <c r="C708" s="219">
        <v>1</v>
      </c>
      <c r="D708" s="219">
        <v>1</v>
      </c>
      <c r="E708" s="204">
        <v>4.3499999999999996</v>
      </c>
      <c r="F708" s="244">
        <v>4.0199999999999996</v>
      </c>
      <c r="G708" s="213"/>
      <c r="H708" s="205">
        <f t="shared" si="30"/>
        <v>17.489999999999998</v>
      </c>
    </row>
    <row r="709" spans="1:8" ht="20.100000000000001" customHeight="1">
      <c r="A709" s="244"/>
      <c r="B709" s="218" t="s">
        <v>3850</v>
      </c>
      <c r="C709" s="219">
        <v>1</v>
      </c>
      <c r="D709" s="219">
        <v>1</v>
      </c>
      <c r="E709" s="204">
        <v>1</v>
      </c>
      <c r="F709" s="244">
        <v>0.23</v>
      </c>
      <c r="G709" s="213"/>
      <c r="H709" s="205">
        <f t="shared" si="30"/>
        <v>0.23</v>
      </c>
    </row>
    <row r="710" spans="1:8" ht="20.100000000000001" customHeight="1">
      <c r="A710" s="244"/>
      <c r="B710" s="218" t="s">
        <v>3857</v>
      </c>
      <c r="C710" s="219">
        <v>1</v>
      </c>
      <c r="D710" s="219">
        <v>1</v>
      </c>
      <c r="E710" s="204">
        <v>6.68</v>
      </c>
      <c r="F710" s="193">
        <v>3</v>
      </c>
      <c r="G710" s="213"/>
      <c r="H710" s="205">
        <f t="shared" si="30"/>
        <v>20.04</v>
      </c>
    </row>
    <row r="711" spans="1:8" ht="20.100000000000001" customHeight="1">
      <c r="A711" s="244"/>
      <c r="B711" s="216" t="s">
        <v>1818</v>
      </c>
      <c r="C711" s="219"/>
      <c r="D711" s="219"/>
      <c r="E711" s="273"/>
      <c r="F711" s="213"/>
      <c r="G711" s="213"/>
      <c r="H711" s="205">
        <f t="shared" si="30"/>
        <v>0</v>
      </c>
    </row>
    <row r="712" spans="1:8" ht="20.100000000000001" customHeight="1">
      <c r="A712" s="244"/>
      <c r="B712" s="218" t="s">
        <v>3851</v>
      </c>
      <c r="C712" s="219">
        <v>1</v>
      </c>
      <c r="D712" s="219">
        <v>1</v>
      </c>
      <c r="E712" s="204">
        <v>4.3499999999999996</v>
      </c>
      <c r="F712" s="193">
        <v>4.0199999999999996</v>
      </c>
      <c r="G712" s="213"/>
      <c r="H712" s="205">
        <f t="shared" si="30"/>
        <v>17.489999999999998</v>
      </c>
    </row>
    <row r="713" spans="1:8" ht="20.100000000000001" customHeight="1">
      <c r="A713" s="244"/>
      <c r="B713" s="218" t="s">
        <v>3850</v>
      </c>
      <c r="C713" s="219">
        <v>1</v>
      </c>
      <c r="D713" s="219">
        <v>1</v>
      </c>
      <c r="E713" s="204">
        <v>1</v>
      </c>
      <c r="F713" s="244">
        <v>0.23</v>
      </c>
      <c r="G713" s="213"/>
      <c r="H713" s="205">
        <f t="shared" si="30"/>
        <v>0.23</v>
      </c>
    </row>
    <row r="714" spans="1:8" ht="20.100000000000001" customHeight="1">
      <c r="A714" s="244"/>
      <c r="B714" s="218" t="s">
        <v>3856</v>
      </c>
      <c r="C714" s="219">
        <v>1</v>
      </c>
      <c r="D714" s="219">
        <v>1</v>
      </c>
      <c r="E714" s="204">
        <v>4.3499999999999996</v>
      </c>
      <c r="F714" s="213">
        <v>4.0149999999999997</v>
      </c>
      <c r="G714" s="213"/>
      <c r="H714" s="205">
        <f t="shared" si="30"/>
        <v>17.47</v>
      </c>
    </row>
    <row r="715" spans="1:8" ht="20.100000000000001" customHeight="1">
      <c r="A715" s="244"/>
      <c r="B715" s="218" t="s">
        <v>3850</v>
      </c>
      <c r="C715" s="219">
        <v>1</v>
      </c>
      <c r="D715" s="219">
        <v>1</v>
      </c>
      <c r="E715" s="204">
        <v>1</v>
      </c>
      <c r="F715" s="244">
        <v>0.23</v>
      </c>
      <c r="G715" s="213"/>
      <c r="H715" s="205">
        <f t="shared" si="30"/>
        <v>0.23</v>
      </c>
    </row>
    <row r="716" spans="1:8" ht="20.100000000000001" customHeight="1">
      <c r="A716" s="244"/>
      <c r="B716" s="218" t="s">
        <v>3858</v>
      </c>
      <c r="C716" s="219">
        <v>1</v>
      </c>
      <c r="D716" s="219">
        <v>1</v>
      </c>
      <c r="E716" s="273">
        <v>4.915</v>
      </c>
      <c r="F716" s="213">
        <v>4.6150000000000002</v>
      </c>
      <c r="G716" s="213"/>
      <c r="H716" s="205">
        <f t="shared" si="30"/>
        <v>22.68</v>
      </c>
    </row>
    <row r="717" spans="1:8" ht="20.100000000000001" customHeight="1">
      <c r="A717" s="244"/>
      <c r="B717" s="218" t="s">
        <v>3850</v>
      </c>
      <c r="C717" s="219">
        <v>1</v>
      </c>
      <c r="D717" s="219">
        <v>1</v>
      </c>
      <c r="E717" s="204">
        <v>1</v>
      </c>
      <c r="F717" s="244">
        <v>0.23</v>
      </c>
      <c r="G717" s="213"/>
      <c r="H717" s="205">
        <f t="shared" si="30"/>
        <v>0.23</v>
      </c>
    </row>
    <row r="718" spans="1:8" ht="20.100000000000001" customHeight="1">
      <c r="A718" s="244"/>
      <c r="B718" s="218" t="s">
        <v>3859</v>
      </c>
      <c r="C718" s="219">
        <v>1</v>
      </c>
      <c r="D718" s="219">
        <v>1</v>
      </c>
      <c r="E718" s="204">
        <v>4.3499999999999996</v>
      </c>
      <c r="F718" s="213">
        <v>4.7649999999999997</v>
      </c>
      <c r="G718" s="213"/>
      <c r="H718" s="205">
        <f t="shared" si="30"/>
        <v>20.73</v>
      </c>
    </row>
    <row r="719" spans="1:8" ht="20.100000000000001" customHeight="1">
      <c r="A719" s="244"/>
      <c r="B719" s="218" t="s">
        <v>3850</v>
      </c>
      <c r="C719" s="219">
        <v>1</v>
      </c>
      <c r="D719" s="219">
        <v>1</v>
      </c>
      <c r="E719" s="204">
        <v>1</v>
      </c>
      <c r="F719" s="244">
        <v>0.23</v>
      </c>
      <c r="G719" s="213"/>
      <c r="H719" s="205">
        <f t="shared" si="30"/>
        <v>0.23</v>
      </c>
    </row>
    <row r="720" spans="1:8" ht="20.100000000000001" customHeight="1">
      <c r="A720" s="244"/>
      <c r="B720" s="218" t="s">
        <v>3860</v>
      </c>
      <c r="C720" s="219">
        <v>1</v>
      </c>
      <c r="D720" s="219">
        <v>1</v>
      </c>
      <c r="E720" s="204">
        <v>1</v>
      </c>
      <c r="F720" s="244">
        <v>1</v>
      </c>
      <c r="G720" s="213"/>
      <c r="H720" s="205">
        <f t="shared" si="30"/>
        <v>1</v>
      </c>
    </row>
    <row r="721" spans="1:10" ht="20.100000000000001" customHeight="1">
      <c r="A721" s="244"/>
      <c r="B721" s="218" t="s">
        <v>3861</v>
      </c>
      <c r="C721" s="219">
        <v>1</v>
      </c>
      <c r="D721" s="219">
        <v>1</v>
      </c>
      <c r="E721" s="204">
        <v>3.12</v>
      </c>
      <c r="F721" s="244">
        <v>2.4</v>
      </c>
      <c r="G721" s="213"/>
      <c r="H721" s="205">
        <f t="shared" si="30"/>
        <v>7.49</v>
      </c>
    </row>
    <row r="722" spans="1:10" ht="20.100000000000001" customHeight="1">
      <c r="A722" s="244"/>
      <c r="B722" s="218" t="s">
        <v>3850</v>
      </c>
      <c r="C722" s="219">
        <v>1</v>
      </c>
      <c r="D722" s="219">
        <v>1</v>
      </c>
      <c r="E722" s="204">
        <v>1</v>
      </c>
      <c r="F722" s="244">
        <v>0.23</v>
      </c>
      <c r="G722" s="213"/>
      <c r="H722" s="205">
        <f t="shared" si="30"/>
        <v>0.23</v>
      </c>
    </row>
    <row r="723" spans="1:10" ht="20.100000000000001" customHeight="1">
      <c r="A723" s="244"/>
      <c r="B723" s="218" t="s">
        <v>3862</v>
      </c>
      <c r="C723" s="219">
        <v>1</v>
      </c>
      <c r="D723" s="219">
        <v>1</v>
      </c>
      <c r="E723" s="204">
        <v>1</v>
      </c>
      <c r="F723" s="244">
        <v>1.63</v>
      </c>
      <c r="G723" s="213"/>
      <c r="H723" s="205">
        <f t="shared" si="30"/>
        <v>1.63</v>
      </c>
    </row>
    <row r="724" spans="1:10" ht="20.100000000000001" customHeight="1">
      <c r="A724" s="244"/>
      <c r="B724" s="218" t="s">
        <v>3803</v>
      </c>
      <c r="C724" s="219">
        <v>1</v>
      </c>
      <c r="D724" s="219">
        <v>1</v>
      </c>
      <c r="E724" s="204">
        <v>1.63</v>
      </c>
      <c r="F724" s="244">
        <v>0.23</v>
      </c>
      <c r="G724" s="213"/>
      <c r="H724" s="205">
        <f t="shared" si="30"/>
        <v>0.37</v>
      </c>
    </row>
    <row r="725" spans="1:10" ht="20.100000000000001" customHeight="1">
      <c r="A725" s="244"/>
      <c r="B725" s="218" t="s">
        <v>3344</v>
      </c>
      <c r="C725" s="219">
        <v>1</v>
      </c>
      <c r="D725" s="219">
        <v>1</v>
      </c>
      <c r="E725" s="204">
        <v>4.3499999999999996</v>
      </c>
      <c r="F725" s="244">
        <v>3</v>
      </c>
      <c r="G725" s="213"/>
      <c r="H725" s="205">
        <f t="shared" si="30"/>
        <v>13.05</v>
      </c>
    </row>
    <row r="726" spans="1:10" ht="20.100000000000001" customHeight="1">
      <c r="A726" s="244"/>
      <c r="B726" s="218" t="s">
        <v>3850</v>
      </c>
      <c r="C726" s="219">
        <v>1</v>
      </c>
      <c r="D726" s="219">
        <v>1</v>
      </c>
      <c r="E726" s="204">
        <v>1</v>
      </c>
      <c r="F726" s="244">
        <v>0.23</v>
      </c>
      <c r="G726" s="213"/>
      <c r="H726" s="205">
        <f t="shared" si="30"/>
        <v>0.23</v>
      </c>
    </row>
    <row r="727" spans="1:10" s="186" customFormat="1" ht="20.100000000000001" customHeight="1">
      <c r="A727" s="244"/>
      <c r="B727" s="218"/>
      <c r="C727" s="219"/>
      <c r="D727" s="219"/>
      <c r="E727" s="253"/>
      <c r="F727" s="244"/>
      <c r="G727" s="213"/>
      <c r="H727" s="253">
        <f>I728-I727</f>
        <v>0</v>
      </c>
      <c r="I727" s="186">
        <f>SUM(H693:H726)</f>
        <v>233.7</v>
      </c>
    </row>
    <row r="728" spans="1:10" s="186" customFormat="1" ht="20.100000000000001" customHeight="1">
      <c r="A728" s="244"/>
      <c r="B728" s="218"/>
      <c r="C728" s="219"/>
      <c r="D728" s="219"/>
      <c r="E728" s="253"/>
      <c r="F728" s="244"/>
      <c r="G728" s="213"/>
      <c r="H728" s="253">
        <f>+I728</f>
        <v>233.7</v>
      </c>
      <c r="I728" s="186">
        <f>ROUNDUP(I727,1)</f>
        <v>233.7</v>
      </c>
    </row>
    <row r="729" spans="1:10" s="199" customFormat="1" ht="20.100000000000001" customHeight="1">
      <c r="A729" s="182"/>
      <c r="B729" s="216"/>
      <c r="C729" s="220"/>
      <c r="D729" s="220"/>
      <c r="E729" s="262"/>
      <c r="F729" s="182" t="s">
        <v>2560</v>
      </c>
      <c r="G729" s="197">
        <f>H728</f>
        <v>233.7</v>
      </c>
      <c r="H729" s="262" t="s">
        <v>1861</v>
      </c>
    </row>
    <row r="730" spans="1:10" s="228" customFormat="1" ht="20.100000000000001" customHeight="1">
      <c r="A730" s="187">
        <v>31</v>
      </c>
      <c r="B730" s="989" t="s">
        <v>1386</v>
      </c>
      <c r="C730" s="990"/>
      <c r="D730" s="990"/>
      <c r="E730" s="990"/>
      <c r="F730" s="990"/>
      <c r="G730" s="991"/>
      <c r="H730" s="205"/>
    </row>
    <row r="731" spans="1:10" s="228" customFormat="1" ht="33" customHeight="1">
      <c r="A731" s="187"/>
      <c r="B731" s="192" t="s">
        <v>3863</v>
      </c>
      <c r="C731" s="190">
        <v>1</v>
      </c>
      <c r="D731" s="190">
        <v>2</v>
      </c>
      <c r="E731" s="205">
        <v>1.5</v>
      </c>
      <c r="F731" s="187">
        <v>4.3499999999999996</v>
      </c>
      <c r="G731" s="193">
        <v>0.2</v>
      </c>
      <c r="H731" s="205">
        <f>ROUND(PRODUCT(C731:G731),2)</f>
        <v>2.61</v>
      </c>
    </row>
    <row r="732" spans="1:10" s="228" customFormat="1" ht="33" customHeight="1">
      <c r="A732" s="187"/>
      <c r="B732" s="192" t="s">
        <v>3864</v>
      </c>
      <c r="C732" s="190">
        <v>1</v>
      </c>
      <c r="D732" s="190">
        <v>1</v>
      </c>
      <c r="E732" s="250">
        <v>1.65</v>
      </c>
      <c r="F732" s="187">
        <v>4.6150000000000002</v>
      </c>
      <c r="G732" s="193">
        <v>0.45</v>
      </c>
      <c r="H732" s="205">
        <f>ROUND(PRODUCT(C732:G732),2)</f>
        <v>3.43</v>
      </c>
    </row>
    <row r="733" spans="1:10" s="228" customFormat="1" ht="19.899999999999999" customHeight="1">
      <c r="A733" s="187"/>
      <c r="B733" s="192" t="s">
        <v>3865</v>
      </c>
      <c r="C733" s="190">
        <v>1</v>
      </c>
      <c r="D733" s="190">
        <v>2</v>
      </c>
      <c r="E733" s="205">
        <v>1.5</v>
      </c>
      <c r="F733" s="187">
        <v>4.3499999999999996</v>
      </c>
      <c r="G733" s="193">
        <v>0.45</v>
      </c>
      <c r="H733" s="205">
        <f>ROUND(PRODUCT(C733:G733),2)</f>
        <v>5.87</v>
      </c>
    </row>
    <row r="734" spans="1:10" s="186" customFormat="1" ht="20.100000000000001" customHeight="1">
      <c r="A734" s="244"/>
      <c r="B734" s="218" t="s">
        <v>10</v>
      </c>
      <c r="C734" s="219"/>
      <c r="D734" s="219"/>
      <c r="E734" s="253"/>
      <c r="F734" s="244"/>
      <c r="G734" s="213"/>
      <c r="H734" s="253">
        <f>I735-I734</f>
        <v>0.09</v>
      </c>
      <c r="I734" s="186">
        <f>SUM(H731:H733)</f>
        <v>11.91</v>
      </c>
    </row>
    <row r="735" spans="1:10" s="186" customFormat="1" ht="20.100000000000001" customHeight="1">
      <c r="A735" s="244"/>
      <c r="B735" s="218"/>
      <c r="C735" s="219"/>
      <c r="D735" s="219"/>
      <c r="E735" s="253"/>
      <c r="F735" s="244"/>
      <c r="G735" s="213" t="s">
        <v>1827</v>
      </c>
      <c r="H735" s="253">
        <f>+I735</f>
        <v>12</v>
      </c>
      <c r="I735" s="186">
        <f>ROUNDUP(I734,1)</f>
        <v>12</v>
      </c>
    </row>
    <row r="736" spans="1:10" s="199" customFormat="1" ht="20.100000000000001" customHeight="1">
      <c r="A736" s="182"/>
      <c r="B736" s="216"/>
      <c r="C736" s="220"/>
      <c r="D736" s="220"/>
      <c r="E736" s="262"/>
      <c r="F736" s="182" t="s">
        <v>2560</v>
      </c>
      <c r="G736" s="357">
        <f>H735</f>
        <v>12</v>
      </c>
      <c r="H736" s="262" t="s">
        <v>1749</v>
      </c>
      <c r="J736" s="199">
        <v>25.6</v>
      </c>
    </row>
    <row r="737" spans="1:9" s="228" customFormat="1" ht="20.100000000000001" customHeight="1">
      <c r="A737" s="187" t="s">
        <v>3866</v>
      </c>
      <c r="B737" s="1034" t="s">
        <v>4805</v>
      </c>
      <c r="C737" s="1035"/>
      <c r="D737" s="1035"/>
      <c r="E737" s="1035"/>
      <c r="F737" s="1035"/>
      <c r="G737" s="1036"/>
      <c r="H737" s="205"/>
    </row>
    <row r="738" spans="1:9" s="228" customFormat="1" ht="20.100000000000001" customHeight="1">
      <c r="A738" s="187"/>
      <c r="B738" s="192" t="s">
        <v>3867</v>
      </c>
      <c r="C738" s="190">
        <v>1</v>
      </c>
      <c r="D738" s="190">
        <v>1</v>
      </c>
      <c r="E738" s="205">
        <f>11.72-0.46</f>
        <v>11.26</v>
      </c>
      <c r="F738" s="187">
        <f>15.18-0.46</f>
        <v>14.72</v>
      </c>
      <c r="G738" s="213"/>
      <c r="H738" s="205">
        <f>ROUND(PRODUCT(C738:G738),2)</f>
        <v>165.75</v>
      </c>
    </row>
    <row r="739" spans="1:9" s="228" customFormat="1" ht="20.100000000000001" customHeight="1">
      <c r="A739" s="187"/>
      <c r="B739" s="192" t="s">
        <v>3868</v>
      </c>
      <c r="C739" s="190">
        <v>1</v>
      </c>
      <c r="D739" s="190">
        <v>-1</v>
      </c>
      <c r="E739" s="205">
        <v>6.91</v>
      </c>
      <c r="F739" s="187">
        <v>2.86</v>
      </c>
      <c r="G739" s="213"/>
      <c r="H739" s="205">
        <f>ROUND(PRODUCT(C739:G739),2)</f>
        <v>-19.760000000000002</v>
      </c>
    </row>
    <row r="740" spans="1:9" s="228" customFormat="1" ht="20.100000000000001" customHeight="1">
      <c r="A740" s="187"/>
      <c r="B740" s="192" t="s">
        <v>3869</v>
      </c>
      <c r="C740" s="190">
        <v>1</v>
      </c>
      <c r="D740" s="190">
        <v>1</v>
      </c>
      <c r="E740" s="205">
        <v>65.78</v>
      </c>
      <c r="F740" s="187">
        <v>0.23</v>
      </c>
      <c r="G740" s="213"/>
      <c r="H740" s="205">
        <f>ROUND(PRODUCT(C740:G740),2)</f>
        <v>15.13</v>
      </c>
    </row>
    <row r="741" spans="1:9" s="228" customFormat="1" ht="20.100000000000001" customHeight="1">
      <c r="A741" s="187"/>
      <c r="B741" s="192" t="s">
        <v>3870</v>
      </c>
      <c r="C741" s="190">
        <v>1</v>
      </c>
      <c r="D741" s="190">
        <v>1</v>
      </c>
      <c r="E741" s="205">
        <f>E739-0.46</f>
        <v>6.45</v>
      </c>
      <c r="F741" s="194">
        <f>F739-0.46</f>
        <v>2.4</v>
      </c>
      <c r="G741" s="213"/>
      <c r="H741" s="205">
        <f>ROUND(PRODUCT(C741:G741),2)</f>
        <v>15.48</v>
      </c>
    </row>
    <row r="742" spans="1:9" s="228" customFormat="1" ht="20.100000000000001" customHeight="1">
      <c r="A742" s="187"/>
      <c r="B742" s="192" t="s">
        <v>3869</v>
      </c>
      <c r="C742" s="190">
        <v>1</v>
      </c>
      <c r="D742" s="190">
        <v>1</v>
      </c>
      <c r="E742" s="205">
        <f>(E741+F741)*2</f>
        <v>17.7</v>
      </c>
      <c r="F742" s="187">
        <v>0.23</v>
      </c>
      <c r="G742" s="213"/>
      <c r="H742" s="205">
        <f>ROUND(PRODUCT(C742:G742),2)</f>
        <v>4.07</v>
      </c>
    </row>
    <row r="743" spans="1:9" s="186" customFormat="1" ht="20.100000000000001" customHeight="1">
      <c r="A743" s="244"/>
      <c r="B743" s="218" t="s">
        <v>10</v>
      </c>
      <c r="C743" s="219"/>
      <c r="D743" s="219"/>
      <c r="E743" s="253"/>
      <c r="F743" s="244"/>
      <c r="G743" s="213"/>
      <c r="H743" s="253">
        <f>I744-I743</f>
        <v>0.03</v>
      </c>
      <c r="I743" s="186">
        <f>SUM(H738:H742)</f>
        <v>180.67</v>
      </c>
    </row>
    <row r="744" spans="1:9" s="186" customFormat="1" ht="20.100000000000001" customHeight="1">
      <c r="A744" s="244"/>
      <c r="B744" s="218"/>
      <c r="C744" s="219"/>
      <c r="D744" s="219"/>
      <c r="E744" s="253"/>
      <c r="F744" s="244"/>
      <c r="G744" s="213" t="s">
        <v>1827</v>
      </c>
      <c r="H744" s="253">
        <f>+I744</f>
        <v>180.7</v>
      </c>
      <c r="I744" s="186">
        <f>ROUNDUP(I743,1)</f>
        <v>180.7</v>
      </c>
    </row>
    <row r="745" spans="1:9" s="199" customFormat="1" ht="20.100000000000001" customHeight="1">
      <c r="A745" s="182"/>
      <c r="B745" s="216"/>
      <c r="C745" s="220"/>
      <c r="D745" s="220"/>
      <c r="E745" s="262"/>
      <c r="F745" s="182" t="s">
        <v>2560</v>
      </c>
      <c r="G745" s="197">
        <f>H744</f>
        <v>180.7</v>
      </c>
      <c r="H745" s="262" t="s">
        <v>1861</v>
      </c>
    </row>
    <row r="746" spans="1:9" s="276" customFormat="1" ht="20.100000000000001" hidden="1" customHeight="1">
      <c r="A746" s="274">
        <v>33</v>
      </c>
      <c r="B746" s="1031" t="s">
        <v>3871</v>
      </c>
      <c r="C746" s="1032"/>
      <c r="D746" s="1032"/>
      <c r="E746" s="1032"/>
      <c r="F746" s="1032"/>
      <c r="G746" s="1033"/>
      <c r="H746" s="275"/>
    </row>
    <row r="747" spans="1:9" s="276" customFormat="1" ht="20.100000000000001" hidden="1" customHeight="1">
      <c r="A747" s="274"/>
      <c r="B747" s="277" t="s">
        <v>3872</v>
      </c>
      <c r="C747" s="278"/>
      <c r="D747" s="278"/>
      <c r="E747" s="279"/>
      <c r="F747" s="280"/>
      <c r="G747" s="281"/>
      <c r="H747" s="275"/>
    </row>
    <row r="748" spans="1:9" s="289" customFormat="1" ht="20.100000000000001" hidden="1" customHeight="1">
      <c r="A748" s="282"/>
      <c r="B748" s="283" t="s">
        <v>3873</v>
      </c>
      <c r="C748" s="284"/>
      <c r="D748" s="284"/>
      <c r="E748" s="285"/>
      <c r="F748" s="286"/>
      <c r="G748" s="287"/>
      <c r="H748" s="288"/>
    </row>
    <row r="749" spans="1:9" s="289" customFormat="1" ht="20.100000000000001" hidden="1" customHeight="1">
      <c r="A749" s="286"/>
      <c r="B749" s="283" t="s">
        <v>307</v>
      </c>
      <c r="C749" s="284"/>
      <c r="D749" s="284"/>
      <c r="E749" s="285"/>
      <c r="F749" s="286"/>
      <c r="G749" s="287"/>
      <c r="H749" s="288">
        <f>PRODUCT(C749:G749)</f>
        <v>0</v>
      </c>
    </row>
    <row r="750" spans="1:9" s="289" customFormat="1" ht="20.100000000000001" hidden="1" customHeight="1">
      <c r="A750" s="286"/>
      <c r="B750" s="283" t="s">
        <v>3820</v>
      </c>
      <c r="C750" s="284">
        <v>1</v>
      </c>
      <c r="D750" s="284">
        <v>1</v>
      </c>
      <c r="E750" s="288">
        <v>4.5</v>
      </c>
      <c r="F750" s="286"/>
      <c r="G750" s="290">
        <v>3.18</v>
      </c>
      <c r="H750" s="288">
        <f>ROUND(PRODUCT(C750:G750),2)</f>
        <v>14.31</v>
      </c>
    </row>
    <row r="751" spans="1:9" s="289" customFormat="1" ht="20.100000000000001" hidden="1" customHeight="1">
      <c r="A751" s="286"/>
      <c r="B751" s="283" t="s">
        <v>3657</v>
      </c>
      <c r="C751" s="284">
        <v>1</v>
      </c>
      <c r="D751" s="284">
        <v>-1</v>
      </c>
      <c r="E751" s="288">
        <v>1.8</v>
      </c>
      <c r="F751" s="286"/>
      <c r="G751" s="290">
        <v>2.1</v>
      </c>
      <c r="H751" s="288">
        <f t="shared" ref="H751:H815" si="31">ROUND(PRODUCT(C751:G751),2)</f>
        <v>-3.78</v>
      </c>
    </row>
    <row r="752" spans="1:9" s="289" customFormat="1" ht="20.100000000000001" hidden="1" customHeight="1">
      <c r="A752" s="286"/>
      <c r="B752" s="283" t="s">
        <v>3821</v>
      </c>
      <c r="C752" s="284">
        <v>1</v>
      </c>
      <c r="D752" s="284">
        <v>1</v>
      </c>
      <c r="E752" s="288">
        <v>20.6</v>
      </c>
      <c r="F752" s="286"/>
      <c r="G752" s="290">
        <v>3.18</v>
      </c>
      <c r="H752" s="288">
        <f t="shared" si="31"/>
        <v>65.510000000000005</v>
      </c>
    </row>
    <row r="753" spans="1:8" s="289" customFormat="1" ht="20.100000000000001" hidden="1" customHeight="1">
      <c r="A753" s="286"/>
      <c r="B753" s="283" t="s">
        <v>3657</v>
      </c>
      <c r="C753" s="284">
        <v>1</v>
      </c>
      <c r="D753" s="284">
        <v>-1</v>
      </c>
      <c r="E753" s="288">
        <v>1.8</v>
      </c>
      <c r="F753" s="286"/>
      <c r="G753" s="290">
        <v>2.1</v>
      </c>
      <c r="H753" s="288">
        <f t="shared" si="31"/>
        <v>-3.78</v>
      </c>
    </row>
    <row r="754" spans="1:8" s="289" customFormat="1" ht="20.100000000000001" hidden="1" customHeight="1">
      <c r="A754" s="286"/>
      <c r="B754" s="283" t="s">
        <v>3659</v>
      </c>
      <c r="C754" s="284">
        <v>1</v>
      </c>
      <c r="D754" s="284">
        <v>-2</v>
      </c>
      <c r="E754" s="288">
        <v>1</v>
      </c>
      <c r="F754" s="286"/>
      <c r="G754" s="290">
        <v>2.1</v>
      </c>
      <c r="H754" s="288">
        <f t="shared" si="31"/>
        <v>-4.2</v>
      </c>
    </row>
    <row r="755" spans="1:8" s="289" customFormat="1" ht="20.100000000000001" hidden="1" customHeight="1">
      <c r="A755" s="286"/>
      <c r="B755" s="283" t="s">
        <v>3660</v>
      </c>
      <c r="C755" s="284">
        <v>1</v>
      </c>
      <c r="D755" s="284">
        <v>-1</v>
      </c>
      <c r="E755" s="288">
        <v>1.2</v>
      </c>
      <c r="F755" s="286"/>
      <c r="G755" s="290">
        <v>2.1</v>
      </c>
      <c r="H755" s="288">
        <f t="shared" si="31"/>
        <v>-2.52</v>
      </c>
    </row>
    <row r="756" spans="1:8" s="289" customFormat="1" ht="20.100000000000001" hidden="1" customHeight="1">
      <c r="A756" s="286"/>
      <c r="B756" s="283" t="s">
        <v>3707</v>
      </c>
      <c r="C756" s="284">
        <v>1</v>
      </c>
      <c r="D756" s="284">
        <v>-1</v>
      </c>
      <c r="E756" s="288">
        <v>0.75</v>
      </c>
      <c r="F756" s="286"/>
      <c r="G756" s="290">
        <v>2.1</v>
      </c>
      <c r="H756" s="288">
        <f t="shared" si="31"/>
        <v>-1.58</v>
      </c>
    </row>
    <row r="757" spans="1:8" s="289" customFormat="1" ht="20.100000000000001" hidden="1" customHeight="1">
      <c r="A757" s="286"/>
      <c r="B757" s="283" t="s">
        <v>3662</v>
      </c>
      <c r="C757" s="284">
        <v>1</v>
      </c>
      <c r="D757" s="284">
        <v>-1</v>
      </c>
      <c r="E757" s="288">
        <v>1.8</v>
      </c>
      <c r="F757" s="286"/>
      <c r="G757" s="290">
        <v>1.35</v>
      </c>
      <c r="H757" s="288">
        <f t="shared" si="31"/>
        <v>-2.4300000000000002</v>
      </c>
    </row>
    <row r="758" spans="1:8" s="289" customFormat="1" ht="20.100000000000001" hidden="1" customHeight="1">
      <c r="A758" s="286"/>
      <c r="B758" s="283" t="s">
        <v>3822</v>
      </c>
      <c r="C758" s="284">
        <v>1</v>
      </c>
      <c r="D758" s="284">
        <v>1</v>
      </c>
      <c r="E758" s="205">
        <v>16.5</v>
      </c>
      <c r="F758" s="286"/>
      <c r="G758" s="290">
        <v>3.18</v>
      </c>
      <c r="H758" s="288">
        <f t="shared" si="31"/>
        <v>52.47</v>
      </c>
    </row>
    <row r="759" spans="1:8" s="289" customFormat="1" ht="20.100000000000001" hidden="1" customHeight="1">
      <c r="A759" s="286"/>
      <c r="B759" s="283" t="s">
        <v>3659</v>
      </c>
      <c r="C759" s="284">
        <v>1</v>
      </c>
      <c r="D759" s="284">
        <v>-1</v>
      </c>
      <c r="E759" s="288">
        <v>1</v>
      </c>
      <c r="F759" s="286"/>
      <c r="G759" s="290">
        <v>2.1</v>
      </c>
      <c r="H759" s="288">
        <f t="shared" si="31"/>
        <v>-2.1</v>
      </c>
    </row>
    <row r="760" spans="1:8" s="289" customFormat="1" ht="20.100000000000001" hidden="1" customHeight="1">
      <c r="A760" s="286"/>
      <c r="B760" s="283" t="s">
        <v>3667</v>
      </c>
      <c r="C760" s="284">
        <v>1</v>
      </c>
      <c r="D760" s="284">
        <v>-2</v>
      </c>
      <c r="E760" s="288">
        <v>1.5</v>
      </c>
      <c r="F760" s="286"/>
      <c r="G760" s="290">
        <v>1.35</v>
      </c>
      <c r="H760" s="288">
        <f t="shared" si="31"/>
        <v>-4.05</v>
      </c>
    </row>
    <row r="761" spans="1:8" s="289" customFormat="1" ht="20.100000000000001" hidden="1" customHeight="1">
      <c r="A761" s="286"/>
      <c r="B761" s="283" t="s">
        <v>3823</v>
      </c>
      <c r="C761" s="284">
        <v>1</v>
      </c>
      <c r="D761" s="284">
        <v>1</v>
      </c>
      <c r="E761" s="288">
        <v>7.8</v>
      </c>
      <c r="F761" s="286"/>
      <c r="G761" s="290">
        <v>2.33</v>
      </c>
      <c r="H761" s="288">
        <f t="shared" si="31"/>
        <v>18.170000000000002</v>
      </c>
    </row>
    <row r="762" spans="1:8" s="289" customFormat="1" ht="20.100000000000001" hidden="1" customHeight="1">
      <c r="A762" s="286"/>
      <c r="B762" s="283" t="s">
        <v>3707</v>
      </c>
      <c r="C762" s="284">
        <v>1</v>
      </c>
      <c r="D762" s="284">
        <v>-1</v>
      </c>
      <c r="E762" s="288">
        <v>0.75</v>
      </c>
      <c r="F762" s="286"/>
      <c r="G762" s="290">
        <v>0.52</v>
      </c>
      <c r="H762" s="288">
        <f t="shared" si="31"/>
        <v>-0.39</v>
      </c>
    </row>
    <row r="763" spans="1:8" s="289" customFormat="1" ht="20.100000000000001" hidden="1" customHeight="1">
      <c r="A763" s="286"/>
      <c r="B763" s="283" t="s">
        <v>3665</v>
      </c>
      <c r="C763" s="284">
        <v>1</v>
      </c>
      <c r="D763" s="284">
        <v>-1</v>
      </c>
      <c r="E763" s="288">
        <v>0.9</v>
      </c>
      <c r="F763" s="286"/>
      <c r="G763" s="290">
        <v>0.6</v>
      </c>
      <c r="H763" s="288">
        <f t="shared" si="31"/>
        <v>-0.54</v>
      </c>
    </row>
    <row r="764" spans="1:8" s="289" customFormat="1" ht="20.100000000000001" hidden="1" customHeight="1">
      <c r="A764" s="286"/>
      <c r="B764" s="283" t="s">
        <v>3824</v>
      </c>
      <c r="C764" s="284">
        <v>1</v>
      </c>
      <c r="D764" s="284">
        <v>1</v>
      </c>
      <c r="E764" s="288">
        <v>16.5</v>
      </c>
      <c r="F764" s="286"/>
      <c r="G764" s="290">
        <v>3.18</v>
      </c>
      <c r="H764" s="288">
        <f t="shared" si="31"/>
        <v>52.47</v>
      </c>
    </row>
    <row r="765" spans="1:8" s="289" customFormat="1" ht="20.100000000000001" hidden="1" customHeight="1">
      <c r="A765" s="286"/>
      <c r="B765" s="283" t="s">
        <v>3659</v>
      </c>
      <c r="C765" s="284">
        <v>1</v>
      </c>
      <c r="D765" s="284">
        <v>-1</v>
      </c>
      <c r="E765" s="288">
        <v>1</v>
      </c>
      <c r="F765" s="286"/>
      <c r="G765" s="290">
        <v>2.1</v>
      </c>
      <c r="H765" s="288">
        <f t="shared" si="31"/>
        <v>-2.1</v>
      </c>
    </row>
    <row r="766" spans="1:8" s="289" customFormat="1" ht="20.100000000000001" hidden="1" customHeight="1">
      <c r="A766" s="286"/>
      <c r="B766" s="283" t="s">
        <v>3710</v>
      </c>
      <c r="C766" s="284">
        <v>1</v>
      </c>
      <c r="D766" s="284">
        <v>-1</v>
      </c>
      <c r="E766" s="288">
        <v>0.75</v>
      </c>
      <c r="F766" s="286"/>
      <c r="G766" s="290">
        <v>2</v>
      </c>
      <c r="H766" s="288">
        <f t="shared" si="31"/>
        <v>-1.5</v>
      </c>
    </row>
    <row r="767" spans="1:8" s="289" customFormat="1" ht="20.100000000000001" hidden="1" customHeight="1">
      <c r="A767" s="286"/>
      <c r="B767" s="283" t="s">
        <v>3663</v>
      </c>
      <c r="C767" s="284">
        <v>1</v>
      </c>
      <c r="D767" s="284">
        <v>-1</v>
      </c>
      <c r="E767" s="288">
        <v>1.05</v>
      </c>
      <c r="F767" s="286"/>
      <c r="G767" s="290">
        <v>1.35</v>
      </c>
      <c r="H767" s="288">
        <f t="shared" si="31"/>
        <v>-1.42</v>
      </c>
    </row>
    <row r="768" spans="1:8" s="289" customFormat="1" ht="20.100000000000001" hidden="1" customHeight="1">
      <c r="A768" s="286"/>
      <c r="B768" s="283" t="s">
        <v>3666</v>
      </c>
      <c r="C768" s="284">
        <v>1</v>
      </c>
      <c r="D768" s="284">
        <v>-2</v>
      </c>
      <c r="E768" s="288">
        <v>1.35</v>
      </c>
      <c r="F768" s="286"/>
      <c r="G768" s="290">
        <v>1.35</v>
      </c>
      <c r="H768" s="288">
        <f t="shared" si="31"/>
        <v>-3.65</v>
      </c>
    </row>
    <row r="769" spans="1:8" s="289" customFormat="1" ht="20.100000000000001" hidden="1" customHeight="1">
      <c r="A769" s="286"/>
      <c r="B769" s="283" t="s">
        <v>3825</v>
      </c>
      <c r="C769" s="284">
        <v>1</v>
      </c>
      <c r="D769" s="284">
        <v>1</v>
      </c>
      <c r="E769" s="288">
        <v>7.5</v>
      </c>
      <c r="F769" s="286"/>
      <c r="G769" s="290">
        <v>3.18</v>
      </c>
      <c r="H769" s="288">
        <f t="shared" si="31"/>
        <v>23.85</v>
      </c>
    </row>
    <row r="770" spans="1:8" s="289" customFormat="1" ht="20.100000000000001" hidden="1" customHeight="1">
      <c r="A770" s="286"/>
      <c r="B770" s="283" t="s">
        <v>3710</v>
      </c>
      <c r="C770" s="284">
        <v>1</v>
      </c>
      <c r="D770" s="284">
        <v>-1</v>
      </c>
      <c r="E770" s="288">
        <v>0.75</v>
      </c>
      <c r="F770" s="286"/>
      <c r="G770" s="290">
        <v>0.52</v>
      </c>
      <c r="H770" s="288">
        <f t="shared" si="31"/>
        <v>-0.39</v>
      </c>
    </row>
    <row r="771" spans="1:8" s="289" customFormat="1" ht="20.100000000000001" hidden="1" customHeight="1">
      <c r="A771" s="286"/>
      <c r="B771" s="283" t="s">
        <v>3665</v>
      </c>
      <c r="C771" s="284">
        <v>1</v>
      </c>
      <c r="D771" s="284">
        <v>-1</v>
      </c>
      <c r="E771" s="288">
        <v>0.9</v>
      </c>
      <c r="F771" s="286"/>
      <c r="G771" s="290">
        <v>0.6</v>
      </c>
      <c r="H771" s="288">
        <f t="shared" si="31"/>
        <v>-0.54</v>
      </c>
    </row>
    <row r="772" spans="1:8" s="289" customFormat="1" ht="20.100000000000001" hidden="1" customHeight="1">
      <c r="A772" s="286"/>
      <c r="B772" s="283" t="s">
        <v>3826</v>
      </c>
      <c r="C772" s="284">
        <v>1</v>
      </c>
      <c r="D772" s="284">
        <v>1</v>
      </c>
      <c r="E772" s="288">
        <v>5.7</v>
      </c>
      <c r="F772" s="286"/>
      <c r="G772" s="290">
        <v>3.18</v>
      </c>
      <c r="H772" s="288">
        <f t="shared" si="31"/>
        <v>18.13</v>
      </c>
    </row>
    <row r="773" spans="1:8" s="289" customFormat="1" ht="20.100000000000001" hidden="1" customHeight="1">
      <c r="A773" s="286"/>
      <c r="B773" s="283" t="s">
        <v>3707</v>
      </c>
      <c r="C773" s="284">
        <v>1</v>
      </c>
      <c r="D773" s="284">
        <v>-1</v>
      </c>
      <c r="E773" s="288">
        <v>0.75</v>
      </c>
      <c r="F773" s="286"/>
      <c r="G773" s="290">
        <v>0.52</v>
      </c>
      <c r="H773" s="288">
        <f t="shared" si="31"/>
        <v>-0.39</v>
      </c>
    </row>
    <row r="774" spans="1:8" s="289" customFormat="1" ht="20.100000000000001" hidden="1" customHeight="1">
      <c r="A774" s="286"/>
      <c r="B774" s="283" t="s">
        <v>3665</v>
      </c>
      <c r="C774" s="284">
        <v>1</v>
      </c>
      <c r="D774" s="284">
        <v>-2</v>
      </c>
      <c r="E774" s="288">
        <v>0.9</v>
      </c>
      <c r="F774" s="286"/>
      <c r="G774" s="290">
        <v>0.6</v>
      </c>
      <c r="H774" s="288">
        <f t="shared" si="31"/>
        <v>-1.08</v>
      </c>
    </row>
    <row r="775" spans="1:8" s="289" customFormat="1" ht="20.100000000000001" hidden="1" customHeight="1">
      <c r="A775" s="286"/>
      <c r="B775" s="283" t="s">
        <v>3827</v>
      </c>
      <c r="C775" s="284">
        <v>1</v>
      </c>
      <c r="D775" s="284">
        <v>1</v>
      </c>
      <c r="E775" s="288">
        <v>5.03</v>
      </c>
      <c r="F775" s="286"/>
      <c r="G775" s="290">
        <v>3.18</v>
      </c>
      <c r="H775" s="288">
        <f t="shared" si="31"/>
        <v>16</v>
      </c>
    </row>
    <row r="776" spans="1:8" s="289" customFormat="1" ht="20.100000000000001" hidden="1" customHeight="1">
      <c r="A776" s="286"/>
      <c r="B776" s="283" t="s">
        <v>3719</v>
      </c>
      <c r="C776" s="284">
        <v>1</v>
      </c>
      <c r="D776" s="284">
        <v>-1</v>
      </c>
      <c r="E776" s="288">
        <v>0.75</v>
      </c>
      <c r="F776" s="286"/>
      <c r="G776" s="290">
        <v>0.52</v>
      </c>
      <c r="H776" s="288">
        <f t="shared" si="31"/>
        <v>-0.39</v>
      </c>
    </row>
    <row r="777" spans="1:8" s="289" customFormat="1" ht="20.100000000000001" hidden="1" customHeight="1">
      <c r="A777" s="286"/>
      <c r="B777" s="283" t="s">
        <v>3828</v>
      </c>
      <c r="C777" s="284">
        <v>1</v>
      </c>
      <c r="D777" s="284">
        <v>1</v>
      </c>
      <c r="E777" s="288">
        <v>19.09</v>
      </c>
      <c r="F777" s="286"/>
      <c r="G777" s="290">
        <v>3.18</v>
      </c>
      <c r="H777" s="288">
        <f t="shared" si="31"/>
        <v>60.71</v>
      </c>
    </row>
    <row r="778" spans="1:8" s="289" customFormat="1" ht="20.100000000000001" hidden="1" customHeight="1">
      <c r="A778" s="286"/>
      <c r="B778" s="283" t="s">
        <v>3660</v>
      </c>
      <c r="C778" s="284">
        <v>1</v>
      </c>
      <c r="D778" s="284">
        <v>-1</v>
      </c>
      <c r="E778" s="288">
        <v>1.2</v>
      </c>
      <c r="F778" s="286"/>
      <c r="G778" s="290">
        <v>2.1</v>
      </c>
      <c r="H778" s="288">
        <f t="shared" si="31"/>
        <v>-2.52</v>
      </c>
    </row>
    <row r="779" spans="1:8" s="289" customFormat="1" ht="20.100000000000001" hidden="1" customHeight="1">
      <c r="A779" s="286"/>
      <c r="B779" s="283" t="s">
        <v>3662</v>
      </c>
      <c r="C779" s="284">
        <v>1</v>
      </c>
      <c r="D779" s="284">
        <v>-1</v>
      </c>
      <c r="E779" s="288">
        <v>1.8</v>
      </c>
      <c r="F779" s="286"/>
      <c r="G779" s="290">
        <v>1.35</v>
      </c>
      <c r="H779" s="288">
        <f t="shared" si="31"/>
        <v>-2.4300000000000002</v>
      </c>
    </row>
    <row r="780" spans="1:8" s="289" customFormat="1" ht="20.100000000000001" hidden="1" customHeight="1">
      <c r="A780" s="286"/>
      <c r="B780" s="283" t="s">
        <v>3874</v>
      </c>
      <c r="C780" s="284">
        <v>1</v>
      </c>
      <c r="D780" s="284">
        <v>-1</v>
      </c>
      <c r="E780" s="288">
        <v>0.9</v>
      </c>
      <c r="F780" s="286"/>
      <c r="G780" s="290">
        <v>2.1</v>
      </c>
      <c r="H780" s="288">
        <f t="shared" si="31"/>
        <v>-1.89</v>
      </c>
    </row>
    <row r="781" spans="1:8" s="289" customFormat="1" ht="20.100000000000001" hidden="1" customHeight="1">
      <c r="A781" s="286"/>
      <c r="B781" s="283" t="s">
        <v>309</v>
      </c>
      <c r="C781" s="284"/>
      <c r="D781" s="284"/>
      <c r="E781" s="288"/>
      <c r="F781" s="286"/>
      <c r="G781" s="290"/>
      <c r="H781" s="288">
        <f t="shared" si="31"/>
        <v>0</v>
      </c>
    </row>
    <row r="782" spans="1:8" s="289" customFormat="1" ht="20.100000000000001" hidden="1" customHeight="1">
      <c r="A782" s="286"/>
      <c r="B782" s="283" t="s">
        <v>3830</v>
      </c>
      <c r="C782" s="284">
        <v>1</v>
      </c>
      <c r="D782" s="284">
        <v>1</v>
      </c>
      <c r="E782" s="288">
        <v>16.73</v>
      </c>
      <c r="F782" s="286"/>
      <c r="G782" s="290">
        <v>3.18</v>
      </c>
      <c r="H782" s="288">
        <f t="shared" si="31"/>
        <v>53.2</v>
      </c>
    </row>
    <row r="783" spans="1:8" s="289" customFormat="1" ht="20.100000000000001" hidden="1" customHeight="1">
      <c r="A783" s="286"/>
      <c r="B783" s="283" t="s">
        <v>3659</v>
      </c>
      <c r="C783" s="284">
        <v>1</v>
      </c>
      <c r="D783" s="284">
        <v>-1</v>
      </c>
      <c r="E783" s="288">
        <v>1</v>
      </c>
      <c r="F783" s="286"/>
      <c r="G783" s="290">
        <v>2.1</v>
      </c>
      <c r="H783" s="288">
        <f t="shared" si="31"/>
        <v>-2.1</v>
      </c>
    </row>
    <row r="784" spans="1:8" s="289" customFormat="1" ht="20.100000000000001" hidden="1" customHeight="1">
      <c r="A784" s="286"/>
      <c r="B784" s="283" t="s">
        <v>3667</v>
      </c>
      <c r="C784" s="284">
        <v>1</v>
      </c>
      <c r="D784" s="284">
        <v>-2</v>
      </c>
      <c r="E784" s="288">
        <v>1.5</v>
      </c>
      <c r="F784" s="286"/>
      <c r="G784" s="290">
        <v>1.35</v>
      </c>
      <c r="H784" s="288">
        <f t="shared" si="31"/>
        <v>-4.05</v>
      </c>
    </row>
    <row r="785" spans="1:8" s="289" customFormat="1" ht="20.100000000000001" hidden="1" customHeight="1">
      <c r="A785" s="286"/>
      <c r="B785" s="283" t="s">
        <v>3719</v>
      </c>
      <c r="C785" s="284">
        <v>1</v>
      </c>
      <c r="D785" s="284">
        <v>-1</v>
      </c>
      <c r="E785" s="288">
        <v>0.9</v>
      </c>
      <c r="F785" s="286"/>
      <c r="G785" s="290">
        <v>2.1</v>
      </c>
      <c r="H785" s="288">
        <f t="shared" si="31"/>
        <v>-1.89</v>
      </c>
    </row>
    <row r="786" spans="1:8" s="289" customFormat="1" ht="20.100000000000001" hidden="1" customHeight="1">
      <c r="A786" s="286"/>
      <c r="B786" s="283" t="s">
        <v>3875</v>
      </c>
      <c r="C786" s="284">
        <v>1</v>
      </c>
      <c r="D786" s="284">
        <v>6</v>
      </c>
      <c r="E786" s="288">
        <v>0.45</v>
      </c>
      <c r="F786" s="286"/>
      <c r="G786" s="290">
        <v>2.1</v>
      </c>
      <c r="H786" s="288">
        <f t="shared" si="31"/>
        <v>5.67</v>
      </c>
    </row>
    <row r="787" spans="1:8" s="289" customFormat="1" ht="20.100000000000001" hidden="1" customHeight="1">
      <c r="A787" s="286"/>
      <c r="B787" s="283" t="s">
        <v>3876</v>
      </c>
      <c r="C787" s="284">
        <v>1</v>
      </c>
      <c r="D787" s="284">
        <v>5</v>
      </c>
      <c r="E787" s="288">
        <v>0.45</v>
      </c>
      <c r="F787" s="286">
        <v>0.115</v>
      </c>
      <c r="G787" s="287"/>
      <c r="H787" s="288">
        <f t="shared" si="31"/>
        <v>0.26</v>
      </c>
    </row>
    <row r="788" spans="1:8" s="289" customFormat="1" ht="20.100000000000001" hidden="1" customHeight="1">
      <c r="A788" s="286"/>
      <c r="B788" s="283" t="s">
        <v>3877</v>
      </c>
      <c r="C788" s="284">
        <v>1</v>
      </c>
      <c r="D788" s="284">
        <v>1</v>
      </c>
      <c r="E788" s="288">
        <v>4.0199999999999996</v>
      </c>
      <c r="F788" s="291">
        <v>0.6</v>
      </c>
      <c r="G788" s="287"/>
      <c r="H788" s="288">
        <f t="shared" si="31"/>
        <v>2.41</v>
      </c>
    </row>
    <row r="789" spans="1:8" s="289" customFormat="1" ht="20.100000000000001" hidden="1" customHeight="1">
      <c r="A789" s="286"/>
      <c r="B789" s="283" t="s">
        <v>3831</v>
      </c>
      <c r="C789" s="284">
        <v>1</v>
      </c>
      <c r="D789" s="284">
        <v>1</v>
      </c>
      <c r="E789" s="288">
        <v>6.3</v>
      </c>
      <c r="F789" s="286"/>
      <c r="G789" s="290">
        <v>3.18</v>
      </c>
      <c r="H789" s="288">
        <f t="shared" si="31"/>
        <v>20.03</v>
      </c>
    </row>
    <row r="790" spans="1:8" s="289" customFormat="1" ht="20.100000000000001" hidden="1" customHeight="1">
      <c r="A790" s="286"/>
      <c r="B790" s="283" t="s">
        <v>3707</v>
      </c>
      <c r="C790" s="284">
        <v>1</v>
      </c>
      <c r="D790" s="284">
        <v>-1</v>
      </c>
      <c r="E790" s="288">
        <v>0.75</v>
      </c>
      <c r="F790" s="286"/>
      <c r="G790" s="290">
        <v>0.52</v>
      </c>
      <c r="H790" s="288">
        <f t="shared" si="31"/>
        <v>-0.39</v>
      </c>
    </row>
    <row r="791" spans="1:8" s="289" customFormat="1" ht="20.100000000000001" hidden="1" customHeight="1">
      <c r="A791" s="286"/>
      <c r="B791" s="283" t="s">
        <v>3674</v>
      </c>
      <c r="C791" s="284">
        <v>1</v>
      </c>
      <c r="D791" s="284">
        <v>-1</v>
      </c>
      <c r="E791" s="288">
        <v>0.9</v>
      </c>
      <c r="F791" s="286"/>
      <c r="G791" s="290">
        <v>0.6</v>
      </c>
      <c r="H791" s="288">
        <f t="shared" si="31"/>
        <v>-0.54</v>
      </c>
    </row>
    <row r="792" spans="1:8" s="289" customFormat="1" ht="20.100000000000001" hidden="1" customHeight="1">
      <c r="A792" s="286"/>
      <c r="B792" s="283" t="s">
        <v>3827</v>
      </c>
      <c r="C792" s="284">
        <v>1</v>
      </c>
      <c r="D792" s="284">
        <v>1</v>
      </c>
      <c r="E792" s="288">
        <v>8.17</v>
      </c>
      <c r="F792" s="286"/>
      <c r="G792" s="290">
        <v>3.18</v>
      </c>
      <c r="H792" s="288">
        <f t="shared" si="31"/>
        <v>25.98</v>
      </c>
    </row>
    <row r="793" spans="1:8" s="289" customFormat="1" ht="20.100000000000001" hidden="1" customHeight="1">
      <c r="A793" s="286"/>
      <c r="B793" s="283" t="s">
        <v>3707</v>
      </c>
      <c r="C793" s="284">
        <v>1</v>
      </c>
      <c r="D793" s="284">
        <v>-1</v>
      </c>
      <c r="E793" s="288">
        <v>0.75</v>
      </c>
      <c r="F793" s="286"/>
      <c r="G793" s="290">
        <v>0.52</v>
      </c>
      <c r="H793" s="288">
        <f t="shared" si="31"/>
        <v>-0.39</v>
      </c>
    </row>
    <row r="794" spans="1:8" s="289" customFormat="1" ht="20.100000000000001" hidden="1" customHeight="1">
      <c r="A794" s="286"/>
      <c r="B794" s="283" t="s">
        <v>3832</v>
      </c>
      <c r="C794" s="284">
        <v>1</v>
      </c>
      <c r="D794" s="284">
        <v>-1</v>
      </c>
      <c r="E794" s="288">
        <v>0.9</v>
      </c>
      <c r="F794" s="286"/>
      <c r="G794" s="290">
        <v>0.52</v>
      </c>
      <c r="H794" s="288">
        <f t="shared" si="31"/>
        <v>-0.47</v>
      </c>
    </row>
    <row r="795" spans="1:8" s="289" customFormat="1" ht="20.100000000000001" hidden="1" customHeight="1">
      <c r="A795" s="286"/>
      <c r="B795" s="283" t="s">
        <v>3833</v>
      </c>
      <c r="C795" s="284">
        <v>1</v>
      </c>
      <c r="D795" s="284">
        <v>1</v>
      </c>
      <c r="E795" s="288">
        <v>13.5</v>
      </c>
      <c r="F795" s="286"/>
      <c r="G795" s="290">
        <v>3.18</v>
      </c>
      <c r="H795" s="288">
        <f t="shared" si="31"/>
        <v>42.93</v>
      </c>
    </row>
    <row r="796" spans="1:8" s="289" customFormat="1" ht="20.100000000000001" hidden="1" customHeight="1">
      <c r="A796" s="286"/>
      <c r="B796" s="283" t="s">
        <v>3659</v>
      </c>
      <c r="C796" s="284">
        <v>1</v>
      </c>
      <c r="D796" s="284">
        <v>-1</v>
      </c>
      <c r="E796" s="288">
        <v>1</v>
      </c>
      <c r="F796" s="286"/>
      <c r="G796" s="290">
        <v>0.1</v>
      </c>
      <c r="H796" s="288">
        <f t="shared" si="31"/>
        <v>-0.1</v>
      </c>
    </row>
    <row r="797" spans="1:8" s="289" customFormat="1" ht="20.100000000000001" hidden="1" customHeight="1">
      <c r="A797" s="286"/>
      <c r="B797" s="283" t="s">
        <v>3666</v>
      </c>
      <c r="C797" s="284">
        <v>1</v>
      </c>
      <c r="D797" s="284">
        <v>-1</v>
      </c>
      <c r="E797" s="288">
        <v>1.35</v>
      </c>
      <c r="F797" s="286"/>
      <c r="G797" s="290">
        <v>1.35</v>
      </c>
      <c r="H797" s="288">
        <f t="shared" si="31"/>
        <v>-1.82</v>
      </c>
    </row>
    <row r="798" spans="1:8" s="289" customFormat="1" ht="20.100000000000001" hidden="1" customHeight="1">
      <c r="A798" s="286"/>
      <c r="B798" s="283" t="s">
        <v>3875</v>
      </c>
      <c r="C798" s="284">
        <v>1</v>
      </c>
      <c r="D798" s="284">
        <v>6</v>
      </c>
      <c r="E798" s="288">
        <v>0.45</v>
      </c>
      <c r="F798" s="286"/>
      <c r="G798" s="290">
        <v>2.1</v>
      </c>
      <c r="H798" s="288">
        <f t="shared" si="31"/>
        <v>5.67</v>
      </c>
    </row>
    <row r="799" spans="1:8" s="289" customFormat="1" ht="20.100000000000001" hidden="1" customHeight="1">
      <c r="A799" s="286"/>
      <c r="B799" s="283" t="s">
        <v>3876</v>
      </c>
      <c r="C799" s="284">
        <v>1</v>
      </c>
      <c r="D799" s="284">
        <v>5</v>
      </c>
      <c r="E799" s="288">
        <v>0.45</v>
      </c>
      <c r="F799" s="286">
        <v>0.115</v>
      </c>
      <c r="G799" s="287"/>
      <c r="H799" s="288">
        <f t="shared" si="31"/>
        <v>0.26</v>
      </c>
    </row>
    <row r="800" spans="1:8" s="289" customFormat="1" ht="20.100000000000001" hidden="1" customHeight="1">
      <c r="A800" s="286"/>
      <c r="B800" s="283" t="s">
        <v>3878</v>
      </c>
      <c r="C800" s="284">
        <v>1</v>
      </c>
      <c r="D800" s="284">
        <v>1</v>
      </c>
      <c r="E800" s="288">
        <v>2.4</v>
      </c>
      <c r="F800" s="291">
        <v>0.6</v>
      </c>
      <c r="G800" s="287"/>
      <c r="H800" s="288">
        <f t="shared" si="31"/>
        <v>1.44</v>
      </c>
    </row>
    <row r="801" spans="1:8" s="289" customFormat="1" ht="20.100000000000001" hidden="1" customHeight="1">
      <c r="A801" s="286"/>
      <c r="B801" s="283" t="s">
        <v>3834</v>
      </c>
      <c r="C801" s="284">
        <v>1</v>
      </c>
      <c r="D801" s="284">
        <v>1</v>
      </c>
      <c r="E801" s="288">
        <v>14.7</v>
      </c>
      <c r="F801" s="286"/>
      <c r="G801" s="290">
        <v>3.18</v>
      </c>
      <c r="H801" s="288">
        <f t="shared" si="31"/>
        <v>46.75</v>
      </c>
    </row>
    <row r="802" spans="1:8" s="289" customFormat="1" ht="20.100000000000001" hidden="1" customHeight="1">
      <c r="A802" s="286"/>
      <c r="B802" s="283" t="s">
        <v>3659</v>
      </c>
      <c r="C802" s="284">
        <v>1</v>
      </c>
      <c r="D802" s="284">
        <v>-1</v>
      </c>
      <c r="E802" s="288">
        <v>1</v>
      </c>
      <c r="F802" s="286"/>
      <c r="G802" s="290">
        <v>2.1</v>
      </c>
      <c r="H802" s="288">
        <f t="shared" si="31"/>
        <v>-2.1</v>
      </c>
    </row>
    <row r="803" spans="1:8" s="289" customFormat="1" ht="20.100000000000001" hidden="1" customHeight="1">
      <c r="A803" s="286"/>
      <c r="B803" s="283" t="s">
        <v>3675</v>
      </c>
      <c r="C803" s="284">
        <v>1</v>
      </c>
      <c r="D803" s="284">
        <v>-1</v>
      </c>
      <c r="E803" s="288">
        <v>1.35</v>
      </c>
      <c r="F803" s="286"/>
      <c r="G803" s="290">
        <v>0.6</v>
      </c>
      <c r="H803" s="288">
        <f t="shared" si="31"/>
        <v>-0.81</v>
      </c>
    </row>
    <row r="804" spans="1:8" s="289" customFormat="1" ht="20.100000000000001" hidden="1" customHeight="1">
      <c r="A804" s="286"/>
      <c r="B804" s="283" t="s">
        <v>3875</v>
      </c>
      <c r="C804" s="284">
        <v>1</v>
      </c>
      <c r="D804" s="284">
        <v>4</v>
      </c>
      <c r="E804" s="288">
        <v>0.45</v>
      </c>
      <c r="F804" s="286"/>
      <c r="G804" s="290">
        <v>2.1</v>
      </c>
      <c r="H804" s="288">
        <f t="shared" si="31"/>
        <v>3.78</v>
      </c>
    </row>
    <row r="805" spans="1:8" s="289" customFormat="1" ht="20.100000000000001" hidden="1" customHeight="1">
      <c r="A805" s="286"/>
      <c r="B805" s="283" t="s">
        <v>3876</v>
      </c>
      <c r="C805" s="284">
        <v>1</v>
      </c>
      <c r="D805" s="284">
        <v>5</v>
      </c>
      <c r="E805" s="288">
        <v>0.45</v>
      </c>
      <c r="F805" s="286">
        <v>0.115</v>
      </c>
      <c r="G805" s="287"/>
      <c r="H805" s="288">
        <f t="shared" si="31"/>
        <v>0.26</v>
      </c>
    </row>
    <row r="806" spans="1:8" s="289" customFormat="1" ht="20.100000000000001" hidden="1" customHeight="1">
      <c r="A806" s="286"/>
      <c r="B806" s="283" t="s">
        <v>3879</v>
      </c>
      <c r="C806" s="284">
        <v>1</v>
      </c>
      <c r="D806" s="284">
        <v>1</v>
      </c>
      <c r="E806" s="288">
        <v>4.3499999999999996</v>
      </c>
      <c r="F806" s="291">
        <v>0.6</v>
      </c>
      <c r="G806" s="287"/>
      <c r="H806" s="288">
        <f t="shared" si="31"/>
        <v>2.61</v>
      </c>
    </row>
    <row r="807" spans="1:8" s="289" customFormat="1" ht="20.100000000000001" hidden="1" customHeight="1">
      <c r="A807" s="286"/>
      <c r="B807" s="283" t="s">
        <v>3835</v>
      </c>
      <c r="C807" s="284">
        <v>1</v>
      </c>
      <c r="D807" s="284">
        <v>1</v>
      </c>
      <c r="E807" s="288">
        <v>7</v>
      </c>
      <c r="F807" s="286"/>
      <c r="G807" s="290">
        <v>3.18</v>
      </c>
      <c r="H807" s="288">
        <f t="shared" si="31"/>
        <v>22.26</v>
      </c>
    </row>
    <row r="808" spans="1:8" s="289" customFormat="1" ht="20.100000000000001" hidden="1" customHeight="1">
      <c r="A808" s="286"/>
      <c r="B808" s="283" t="s">
        <v>3659</v>
      </c>
      <c r="C808" s="284">
        <v>1</v>
      </c>
      <c r="D808" s="284">
        <v>-1</v>
      </c>
      <c r="E808" s="288">
        <v>1</v>
      </c>
      <c r="F808" s="286"/>
      <c r="G808" s="290">
        <v>2.1</v>
      </c>
      <c r="H808" s="288">
        <f t="shared" si="31"/>
        <v>-2.1</v>
      </c>
    </row>
    <row r="809" spans="1:8" s="289" customFormat="1" ht="20.100000000000001" hidden="1" customHeight="1">
      <c r="A809" s="286"/>
      <c r="B809" s="283" t="s">
        <v>3880</v>
      </c>
      <c r="C809" s="284">
        <v>1</v>
      </c>
      <c r="D809" s="284">
        <v>1</v>
      </c>
      <c r="E809" s="288">
        <v>12</v>
      </c>
      <c r="F809" s="286"/>
      <c r="G809" s="290">
        <v>3.18</v>
      </c>
      <c r="H809" s="288">
        <f>ROUND(PRODUCT(C809:G809),2)</f>
        <v>38.159999999999997</v>
      </c>
    </row>
    <row r="810" spans="1:8" s="289" customFormat="1" ht="20.100000000000001" hidden="1" customHeight="1">
      <c r="A810" s="286"/>
      <c r="B810" s="283" t="s">
        <v>3881</v>
      </c>
      <c r="C810" s="284">
        <v>1</v>
      </c>
      <c r="D810" s="284">
        <v>1</v>
      </c>
      <c r="E810" s="288">
        <v>2.33</v>
      </c>
      <c r="F810" s="286"/>
      <c r="G810" s="290">
        <v>1.35</v>
      </c>
      <c r="H810" s="288">
        <f t="shared" si="31"/>
        <v>3.15</v>
      </c>
    </row>
    <row r="811" spans="1:8" s="289" customFormat="1" ht="20.100000000000001" hidden="1" customHeight="1">
      <c r="A811" s="286"/>
      <c r="B811" s="283" t="s">
        <v>3882</v>
      </c>
      <c r="C811" s="284">
        <v>1</v>
      </c>
      <c r="D811" s="284">
        <v>1</v>
      </c>
      <c r="E811" s="288">
        <v>2.1</v>
      </c>
      <c r="F811" s="286"/>
      <c r="G811" s="290">
        <v>1.35</v>
      </c>
      <c r="H811" s="288">
        <f t="shared" si="31"/>
        <v>2.84</v>
      </c>
    </row>
    <row r="812" spans="1:8" s="289" customFormat="1" ht="20.100000000000001" hidden="1" customHeight="1">
      <c r="A812" s="286"/>
      <c r="B812" s="283" t="s">
        <v>3883</v>
      </c>
      <c r="C812" s="284">
        <v>1</v>
      </c>
      <c r="D812" s="284">
        <v>1</v>
      </c>
      <c r="E812" s="288">
        <v>2.2200000000000002</v>
      </c>
      <c r="F812" s="286">
        <v>0.115</v>
      </c>
      <c r="G812" s="287"/>
      <c r="H812" s="288">
        <f t="shared" si="31"/>
        <v>0.26</v>
      </c>
    </row>
    <row r="813" spans="1:8" s="289" customFormat="1" ht="20.100000000000001" hidden="1" customHeight="1">
      <c r="A813" s="286"/>
      <c r="B813" s="283" t="s">
        <v>3715</v>
      </c>
      <c r="C813" s="284">
        <v>1</v>
      </c>
      <c r="D813" s="284">
        <v>-2</v>
      </c>
      <c r="E813" s="288">
        <v>0.75</v>
      </c>
      <c r="F813" s="286"/>
      <c r="G813" s="290">
        <v>1.35</v>
      </c>
      <c r="H813" s="288">
        <f t="shared" si="31"/>
        <v>-2.0299999999999998</v>
      </c>
    </row>
    <row r="814" spans="1:8" s="289" customFormat="1" ht="20.100000000000001" hidden="1" customHeight="1">
      <c r="A814" s="286"/>
      <c r="B814" s="283" t="s">
        <v>3836</v>
      </c>
      <c r="C814" s="284">
        <v>1</v>
      </c>
      <c r="D814" s="284">
        <v>1</v>
      </c>
      <c r="E814" s="288">
        <v>48.2</v>
      </c>
      <c r="F814" s="286"/>
      <c r="G814" s="290">
        <v>3.18</v>
      </c>
      <c r="H814" s="288">
        <f t="shared" si="31"/>
        <v>153.28</v>
      </c>
    </row>
    <row r="815" spans="1:8" s="289" customFormat="1" ht="20.100000000000001" hidden="1" customHeight="1">
      <c r="A815" s="286"/>
      <c r="B815" s="283" t="s">
        <v>3659</v>
      </c>
      <c r="C815" s="284">
        <v>1</v>
      </c>
      <c r="D815" s="284">
        <v>-4</v>
      </c>
      <c r="E815" s="288">
        <v>1</v>
      </c>
      <c r="F815" s="286"/>
      <c r="G815" s="290">
        <v>2.1</v>
      </c>
      <c r="H815" s="288">
        <f t="shared" si="31"/>
        <v>-8.4</v>
      </c>
    </row>
    <row r="816" spans="1:8" s="289" customFormat="1" ht="20.100000000000001" hidden="1" customHeight="1">
      <c r="A816" s="286"/>
      <c r="B816" s="283" t="s">
        <v>3681</v>
      </c>
      <c r="C816" s="284">
        <v>1</v>
      </c>
      <c r="D816" s="284">
        <v>-2</v>
      </c>
      <c r="E816" s="288">
        <v>1</v>
      </c>
      <c r="F816" s="286"/>
      <c r="G816" s="290">
        <v>2.1</v>
      </c>
      <c r="H816" s="288">
        <f t="shared" ref="H816:H879" si="32">ROUND(PRODUCT(C816:G816),2)</f>
        <v>-4.2</v>
      </c>
    </row>
    <row r="817" spans="1:8" s="289" customFormat="1" ht="20.100000000000001" hidden="1" customHeight="1">
      <c r="A817" s="286"/>
      <c r="B817" s="283" t="s">
        <v>3680</v>
      </c>
      <c r="C817" s="284">
        <v>1</v>
      </c>
      <c r="D817" s="284">
        <v>-1</v>
      </c>
      <c r="E817" s="288">
        <v>2.4</v>
      </c>
      <c r="F817" s="286"/>
      <c r="G817" s="290">
        <v>2.1</v>
      </c>
      <c r="H817" s="288">
        <f t="shared" si="32"/>
        <v>-5.04</v>
      </c>
    </row>
    <row r="818" spans="1:8" s="289" customFormat="1" ht="20.100000000000001" hidden="1" customHeight="1">
      <c r="A818" s="286"/>
      <c r="B818" s="283" t="s">
        <v>3662</v>
      </c>
      <c r="C818" s="284">
        <v>1</v>
      </c>
      <c r="D818" s="284">
        <v>-2</v>
      </c>
      <c r="E818" s="288">
        <v>1.8</v>
      </c>
      <c r="F818" s="286"/>
      <c r="G818" s="290">
        <v>1.35</v>
      </c>
      <c r="H818" s="288">
        <f t="shared" si="32"/>
        <v>-4.8600000000000003</v>
      </c>
    </row>
    <row r="819" spans="1:8" s="289" customFormat="1" ht="20.100000000000001" hidden="1" customHeight="1">
      <c r="A819" s="286"/>
      <c r="B819" s="283" t="s">
        <v>3667</v>
      </c>
      <c r="C819" s="284">
        <v>1</v>
      </c>
      <c r="D819" s="284">
        <v>-2</v>
      </c>
      <c r="E819" s="288">
        <v>1.5</v>
      </c>
      <c r="F819" s="286"/>
      <c r="G819" s="290">
        <v>1.35</v>
      </c>
      <c r="H819" s="288">
        <f t="shared" si="32"/>
        <v>-4.05</v>
      </c>
    </row>
    <row r="820" spans="1:8" s="289" customFormat="1" ht="20.100000000000001" hidden="1" customHeight="1">
      <c r="A820" s="286"/>
      <c r="B820" s="283" t="s">
        <v>3875</v>
      </c>
      <c r="C820" s="284">
        <v>1</v>
      </c>
      <c r="D820" s="284">
        <v>4</v>
      </c>
      <c r="E820" s="288">
        <v>0.45</v>
      </c>
      <c r="F820" s="286"/>
      <c r="G820" s="290">
        <v>2.1</v>
      </c>
      <c r="H820" s="288">
        <f t="shared" si="32"/>
        <v>3.78</v>
      </c>
    </row>
    <row r="821" spans="1:8" s="289" customFormat="1" ht="20.100000000000001" hidden="1" customHeight="1">
      <c r="A821" s="286"/>
      <c r="B821" s="283" t="s">
        <v>3876</v>
      </c>
      <c r="C821" s="284">
        <v>1</v>
      </c>
      <c r="D821" s="284">
        <v>4</v>
      </c>
      <c r="E821" s="288">
        <v>0.45</v>
      </c>
      <c r="F821" s="286">
        <v>0.115</v>
      </c>
      <c r="G821" s="287"/>
      <c r="H821" s="288">
        <f t="shared" si="32"/>
        <v>0.21</v>
      </c>
    </row>
    <row r="822" spans="1:8" s="289" customFormat="1" ht="20.100000000000001" hidden="1" customHeight="1">
      <c r="A822" s="286"/>
      <c r="B822" s="283" t="s">
        <v>3884</v>
      </c>
      <c r="C822" s="284">
        <v>1</v>
      </c>
      <c r="D822" s="284">
        <v>2</v>
      </c>
      <c r="E822" s="288">
        <v>3</v>
      </c>
      <c r="F822" s="291">
        <v>0.6</v>
      </c>
      <c r="G822" s="287"/>
      <c r="H822" s="288">
        <f t="shared" si="32"/>
        <v>3.6</v>
      </c>
    </row>
    <row r="823" spans="1:8" s="289" customFormat="1" ht="20.100000000000001" hidden="1" customHeight="1">
      <c r="A823" s="286"/>
      <c r="B823" s="283" t="s">
        <v>3885</v>
      </c>
      <c r="C823" s="284">
        <v>1</v>
      </c>
      <c r="D823" s="284">
        <v>1</v>
      </c>
      <c r="E823" s="288">
        <v>12</v>
      </c>
      <c r="F823" s="286"/>
      <c r="G823" s="290">
        <v>3.18</v>
      </c>
      <c r="H823" s="288">
        <f t="shared" si="32"/>
        <v>38.159999999999997</v>
      </c>
    </row>
    <row r="824" spans="1:8" s="289" customFormat="1" ht="20.100000000000001" hidden="1" customHeight="1">
      <c r="A824" s="286"/>
      <c r="B824" s="283" t="s">
        <v>3881</v>
      </c>
      <c r="C824" s="284">
        <v>1</v>
      </c>
      <c r="D824" s="284">
        <v>1</v>
      </c>
      <c r="E824" s="288">
        <v>2.33</v>
      </c>
      <c r="F824" s="286"/>
      <c r="G824" s="290">
        <v>1.35</v>
      </c>
      <c r="H824" s="288">
        <f t="shared" si="32"/>
        <v>3.15</v>
      </c>
    </row>
    <row r="825" spans="1:8" s="289" customFormat="1" ht="20.100000000000001" hidden="1" customHeight="1">
      <c r="A825" s="286"/>
      <c r="B825" s="283" t="s">
        <v>3882</v>
      </c>
      <c r="C825" s="284">
        <v>1</v>
      </c>
      <c r="D825" s="284">
        <v>1</v>
      </c>
      <c r="E825" s="288">
        <v>2.1</v>
      </c>
      <c r="F825" s="286"/>
      <c r="G825" s="290">
        <v>1.35</v>
      </c>
      <c r="H825" s="288">
        <f t="shared" si="32"/>
        <v>2.84</v>
      </c>
    </row>
    <row r="826" spans="1:8" s="289" customFormat="1" ht="20.100000000000001" hidden="1" customHeight="1">
      <c r="A826" s="286"/>
      <c r="B826" s="283" t="s">
        <v>3883</v>
      </c>
      <c r="C826" s="284">
        <v>1</v>
      </c>
      <c r="D826" s="284">
        <v>1</v>
      </c>
      <c r="E826" s="288">
        <v>2.2200000000000002</v>
      </c>
      <c r="F826" s="286">
        <v>0.115</v>
      </c>
      <c r="G826" s="287"/>
      <c r="H826" s="288">
        <f t="shared" si="32"/>
        <v>0.26</v>
      </c>
    </row>
    <row r="827" spans="1:8" s="289" customFormat="1" ht="20.100000000000001" hidden="1" customHeight="1">
      <c r="A827" s="286"/>
      <c r="B827" s="283" t="s">
        <v>3715</v>
      </c>
      <c r="C827" s="284">
        <v>1</v>
      </c>
      <c r="D827" s="284">
        <v>-2</v>
      </c>
      <c r="E827" s="288">
        <v>0.75</v>
      </c>
      <c r="F827" s="286"/>
      <c r="G827" s="290">
        <v>1.35</v>
      </c>
      <c r="H827" s="288">
        <f t="shared" si="32"/>
        <v>-2.0299999999999998</v>
      </c>
    </row>
    <row r="828" spans="1:8" s="289" customFormat="1" ht="20.100000000000001" hidden="1" customHeight="1">
      <c r="A828" s="286"/>
      <c r="B828" s="283" t="s">
        <v>3837</v>
      </c>
      <c r="C828" s="284">
        <v>1</v>
      </c>
      <c r="D828" s="284">
        <v>1</v>
      </c>
      <c r="E828" s="288">
        <v>16.73</v>
      </c>
      <c r="F828" s="286"/>
      <c r="G828" s="290">
        <v>3.18</v>
      </c>
      <c r="H828" s="288">
        <f t="shared" si="32"/>
        <v>53.2</v>
      </c>
    </row>
    <row r="829" spans="1:8" s="289" customFormat="1" ht="20.100000000000001" hidden="1" customHeight="1">
      <c r="A829" s="286"/>
      <c r="B829" s="283" t="s">
        <v>3659</v>
      </c>
      <c r="C829" s="284">
        <v>1</v>
      </c>
      <c r="D829" s="284">
        <v>-1</v>
      </c>
      <c r="E829" s="288">
        <v>1</v>
      </c>
      <c r="F829" s="286"/>
      <c r="G829" s="290">
        <v>2.1</v>
      </c>
      <c r="H829" s="288">
        <f t="shared" si="32"/>
        <v>-2.1</v>
      </c>
    </row>
    <row r="830" spans="1:8" s="289" customFormat="1" ht="20.100000000000001" hidden="1" customHeight="1">
      <c r="A830" s="286"/>
      <c r="B830" s="283" t="s">
        <v>3838</v>
      </c>
      <c r="C830" s="284">
        <v>1</v>
      </c>
      <c r="D830" s="284">
        <v>-1</v>
      </c>
      <c r="E830" s="288">
        <v>0.9</v>
      </c>
      <c r="F830" s="286"/>
      <c r="G830" s="290">
        <v>2.1</v>
      </c>
      <c r="H830" s="288">
        <f t="shared" si="32"/>
        <v>-1.89</v>
      </c>
    </row>
    <row r="831" spans="1:8" s="289" customFormat="1" ht="20.100000000000001" hidden="1" customHeight="1">
      <c r="A831" s="286"/>
      <c r="B831" s="283" t="s">
        <v>3666</v>
      </c>
      <c r="C831" s="284">
        <v>1</v>
      </c>
      <c r="D831" s="284">
        <v>-1</v>
      </c>
      <c r="E831" s="288">
        <v>1.35</v>
      </c>
      <c r="F831" s="286"/>
      <c r="G831" s="290">
        <v>1.35</v>
      </c>
      <c r="H831" s="288">
        <f t="shared" si="32"/>
        <v>-1.82</v>
      </c>
    </row>
    <row r="832" spans="1:8" s="289" customFormat="1" ht="20.100000000000001" hidden="1" customHeight="1">
      <c r="A832" s="286"/>
      <c r="B832" s="283" t="s">
        <v>3875</v>
      </c>
      <c r="C832" s="284">
        <v>1</v>
      </c>
      <c r="D832" s="284">
        <v>8</v>
      </c>
      <c r="E832" s="288">
        <v>0.45</v>
      </c>
      <c r="F832" s="286"/>
      <c r="G832" s="290">
        <v>2.1</v>
      </c>
      <c r="H832" s="288">
        <f t="shared" si="32"/>
        <v>7.56</v>
      </c>
    </row>
    <row r="833" spans="1:8" s="289" customFormat="1" ht="20.100000000000001" hidden="1" customHeight="1">
      <c r="A833" s="286"/>
      <c r="B833" s="283" t="s">
        <v>3876</v>
      </c>
      <c r="C833" s="284">
        <v>1</v>
      </c>
      <c r="D833" s="284">
        <v>5</v>
      </c>
      <c r="E833" s="288">
        <v>0.45</v>
      </c>
      <c r="F833" s="286">
        <v>0.115</v>
      </c>
      <c r="G833" s="287"/>
      <c r="H833" s="288">
        <f t="shared" si="32"/>
        <v>0.26</v>
      </c>
    </row>
    <row r="834" spans="1:8" s="289" customFormat="1" ht="20.100000000000001" hidden="1" customHeight="1">
      <c r="A834" s="286"/>
      <c r="B834" s="283" t="s">
        <v>3886</v>
      </c>
      <c r="C834" s="284">
        <v>1</v>
      </c>
      <c r="D834" s="284">
        <v>1</v>
      </c>
      <c r="E834" s="288">
        <v>4.0199999999999996</v>
      </c>
      <c r="F834" s="291">
        <v>0.6</v>
      </c>
      <c r="G834" s="287"/>
      <c r="H834" s="288">
        <f t="shared" si="32"/>
        <v>2.41</v>
      </c>
    </row>
    <row r="835" spans="1:8" s="289" customFormat="1" ht="20.100000000000001" hidden="1" customHeight="1">
      <c r="A835" s="286"/>
      <c r="B835" s="283" t="s">
        <v>3831</v>
      </c>
      <c r="C835" s="284">
        <v>1</v>
      </c>
      <c r="D835" s="284">
        <v>1</v>
      </c>
      <c r="E835" s="288">
        <v>6.3</v>
      </c>
      <c r="F835" s="286"/>
      <c r="G835" s="290">
        <v>3.18</v>
      </c>
      <c r="H835" s="288">
        <f t="shared" si="32"/>
        <v>20.03</v>
      </c>
    </row>
    <row r="836" spans="1:8" s="289" customFormat="1" ht="20.100000000000001" hidden="1" customHeight="1">
      <c r="A836" s="286"/>
      <c r="B836" s="283" t="s">
        <v>3707</v>
      </c>
      <c r="C836" s="284">
        <v>1</v>
      </c>
      <c r="D836" s="284">
        <v>-1</v>
      </c>
      <c r="E836" s="288">
        <v>0.75</v>
      </c>
      <c r="F836" s="286"/>
      <c r="G836" s="290">
        <v>0.52</v>
      </c>
      <c r="H836" s="288">
        <f t="shared" si="32"/>
        <v>-0.39</v>
      </c>
    </row>
    <row r="837" spans="1:8" s="289" customFormat="1" ht="20.100000000000001" hidden="1" customHeight="1">
      <c r="A837" s="286"/>
      <c r="B837" s="283" t="s">
        <v>3674</v>
      </c>
      <c r="C837" s="284">
        <v>1</v>
      </c>
      <c r="D837" s="284">
        <v>-1</v>
      </c>
      <c r="E837" s="288">
        <v>0.9</v>
      </c>
      <c r="F837" s="286"/>
      <c r="G837" s="290">
        <v>0.6</v>
      </c>
      <c r="H837" s="288">
        <f t="shared" si="32"/>
        <v>-0.54</v>
      </c>
    </row>
    <row r="838" spans="1:8" s="289" customFormat="1" ht="20.100000000000001" hidden="1" customHeight="1">
      <c r="A838" s="286"/>
      <c r="B838" s="283" t="s">
        <v>3827</v>
      </c>
      <c r="C838" s="284">
        <v>1</v>
      </c>
      <c r="D838" s="284">
        <v>1</v>
      </c>
      <c r="E838" s="288">
        <v>8.17</v>
      </c>
      <c r="F838" s="286"/>
      <c r="G838" s="290">
        <v>3.18</v>
      </c>
      <c r="H838" s="288">
        <f t="shared" si="32"/>
        <v>25.98</v>
      </c>
    </row>
    <row r="839" spans="1:8" s="289" customFormat="1" ht="20.100000000000001" hidden="1" customHeight="1">
      <c r="A839" s="286"/>
      <c r="B839" s="283" t="s">
        <v>3707</v>
      </c>
      <c r="C839" s="284">
        <v>1</v>
      </c>
      <c r="D839" s="284">
        <v>-1</v>
      </c>
      <c r="E839" s="288">
        <v>0.75</v>
      </c>
      <c r="F839" s="286"/>
      <c r="G839" s="290">
        <v>0.52</v>
      </c>
      <c r="H839" s="288">
        <f t="shared" si="32"/>
        <v>-0.39</v>
      </c>
    </row>
    <row r="840" spans="1:8" s="289" customFormat="1" ht="20.100000000000001" hidden="1" customHeight="1">
      <c r="A840" s="286"/>
      <c r="B840" s="283" t="s">
        <v>3832</v>
      </c>
      <c r="C840" s="284">
        <v>1</v>
      </c>
      <c r="D840" s="284">
        <v>-1</v>
      </c>
      <c r="E840" s="288">
        <v>0.9</v>
      </c>
      <c r="F840" s="286"/>
      <c r="G840" s="290">
        <v>0.52</v>
      </c>
      <c r="H840" s="288">
        <f t="shared" si="32"/>
        <v>-0.47</v>
      </c>
    </row>
    <row r="841" spans="1:8" s="289" customFormat="1" ht="20.100000000000001" hidden="1" customHeight="1">
      <c r="A841" s="286"/>
      <c r="B841" s="283" t="s">
        <v>3887</v>
      </c>
      <c r="C841" s="284">
        <v>1</v>
      </c>
      <c r="D841" s="284">
        <v>1</v>
      </c>
      <c r="E841" s="288">
        <v>11.56</v>
      </c>
      <c r="F841" s="286"/>
      <c r="G841" s="290">
        <v>3.3</v>
      </c>
      <c r="H841" s="288">
        <f t="shared" si="32"/>
        <v>38.15</v>
      </c>
    </row>
    <row r="842" spans="1:8" s="289" customFormat="1" ht="20.100000000000001" hidden="1" customHeight="1">
      <c r="A842" s="286"/>
      <c r="B842" s="283" t="s">
        <v>3672</v>
      </c>
      <c r="C842" s="284">
        <v>1</v>
      </c>
      <c r="D842" s="284">
        <v>-1</v>
      </c>
      <c r="E842" s="288">
        <v>1.8</v>
      </c>
      <c r="F842" s="286"/>
      <c r="G842" s="290">
        <v>1.35</v>
      </c>
      <c r="H842" s="288">
        <f t="shared" si="32"/>
        <v>-2.4300000000000002</v>
      </c>
    </row>
    <row r="843" spans="1:8" s="289" customFormat="1" ht="20.100000000000001" hidden="1" customHeight="1">
      <c r="A843" s="286"/>
      <c r="B843" s="283" t="s">
        <v>1818</v>
      </c>
      <c r="C843" s="284"/>
      <c r="D843" s="284"/>
      <c r="E843" s="288"/>
      <c r="F843" s="286"/>
      <c r="G843" s="287"/>
      <c r="H843" s="288">
        <f t="shared" si="32"/>
        <v>0</v>
      </c>
    </row>
    <row r="844" spans="1:8" s="289" customFormat="1" ht="20.100000000000001" hidden="1" customHeight="1">
      <c r="A844" s="286"/>
      <c r="B844" s="283" t="s">
        <v>3830</v>
      </c>
      <c r="C844" s="284">
        <v>1</v>
      </c>
      <c r="D844" s="284">
        <v>1</v>
      </c>
      <c r="E844" s="288">
        <v>16.73</v>
      </c>
      <c r="F844" s="286"/>
      <c r="G844" s="290">
        <v>3.18</v>
      </c>
      <c r="H844" s="288">
        <f t="shared" si="32"/>
        <v>53.2</v>
      </c>
    </row>
    <row r="845" spans="1:8" s="289" customFormat="1" ht="20.100000000000001" hidden="1" customHeight="1">
      <c r="A845" s="286"/>
      <c r="B845" s="283" t="s">
        <v>3659</v>
      </c>
      <c r="C845" s="284">
        <v>1</v>
      </c>
      <c r="D845" s="284">
        <v>-1</v>
      </c>
      <c r="E845" s="288">
        <v>1</v>
      </c>
      <c r="F845" s="286"/>
      <c r="G845" s="290">
        <v>2.1</v>
      </c>
      <c r="H845" s="288">
        <f t="shared" si="32"/>
        <v>-2.1</v>
      </c>
    </row>
    <row r="846" spans="1:8" s="289" customFormat="1" ht="20.100000000000001" hidden="1" customHeight="1">
      <c r="A846" s="286"/>
      <c r="B846" s="283" t="s">
        <v>3667</v>
      </c>
      <c r="C846" s="284">
        <v>1</v>
      </c>
      <c r="D846" s="284">
        <v>-2</v>
      </c>
      <c r="E846" s="288">
        <v>1.5</v>
      </c>
      <c r="F846" s="286"/>
      <c r="G846" s="290">
        <v>1.35</v>
      </c>
      <c r="H846" s="288">
        <f t="shared" si="32"/>
        <v>-4.05</v>
      </c>
    </row>
    <row r="847" spans="1:8" s="289" customFormat="1" ht="20.100000000000001" hidden="1" customHeight="1">
      <c r="A847" s="286"/>
      <c r="B847" s="283" t="s">
        <v>3719</v>
      </c>
      <c r="C847" s="284">
        <v>1</v>
      </c>
      <c r="D847" s="284">
        <v>-1</v>
      </c>
      <c r="E847" s="288">
        <v>0.9</v>
      </c>
      <c r="F847" s="286"/>
      <c r="G847" s="290">
        <v>2.1</v>
      </c>
      <c r="H847" s="288">
        <f t="shared" si="32"/>
        <v>-1.89</v>
      </c>
    </row>
    <row r="848" spans="1:8" s="289" customFormat="1" ht="20.100000000000001" hidden="1" customHeight="1">
      <c r="A848" s="286"/>
      <c r="B848" s="283" t="s">
        <v>3875</v>
      </c>
      <c r="C848" s="284">
        <v>1</v>
      </c>
      <c r="D848" s="284">
        <v>2</v>
      </c>
      <c r="E848" s="288">
        <v>0.45</v>
      </c>
      <c r="F848" s="286"/>
      <c r="G848" s="290">
        <v>2.1</v>
      </c>
      <c r="H848" s="288">
        <f t="shared" si="32"/>
        <v>1.89</v>
      </c>
    </row>
    <row r="849" spans="1:8" s="289" customFormat="1" ht="20.100000000000001" hidden="1" customHeight="1">
      <c r="A849" s="286"/>
      <c r="B849" s="283" t="s">
        <v>3876</v>
      </c>
      <c r="C849" s="284">
        <v>1</v>
      </c>
      <c r="D849" s="284">
        <v>2</v>
      </c>
      <c r="E849" s="288">
        <v>0.45</v>
      </c>
      <c r="F849" s="286">
        <v>0.115</v>
      </c>
      <c r="G849" s="287"/>
      <c r="H849" s="288">
        <f t="shared" si="32"/>
        <v>0.1</v>
      </c>
    </row>
    <row r="850" spans="1:8" s="289" customFormat="1" ht="20.100000000000001" hidden="1" customHeight="1">
      <c r="A850" s="286"/>
      <c r="B850" s="283" t="s">
        <v>3888</v>
      </c>
      <c r="C850" s="284">
        <v>1</v>
      </c>
      <c r="D850" s="284">
        <v>1</v>
      </c>
      <c r="E850" s="288">
        <v>4.0199999999999996</v>
      </c>
      <c r="F850" s="291">
        <v>0.6</v>
      </c>
      <c r="G850" s="287"/>
      <c r="H850" s="288">
        <f t="shared" si="32"/>
        <v>2.41</v>
      </c>
    </row>
    <row r="851" spans="1:8" s="289" customFormat="1" ht="20.100000000000001" hidden="1" customHeight="1">
      <c r="A851" s="286"/>
      <c r="B851" s="283" t="s">
        <v>3831</v>
      </c>
      <c r="C851" s="284">
        <v>1</v>
      </c>
      <c r="D851" s="284">
        <v>1</v>
      </c>
      <c r="E851" s="288">
        <v>6.3</v>
      </c>
      <c r="F851" s="286"/>
      <c r="G851" s="290">
        <v>3.18</v>
      </c>
      <c r="H851" s="288">
        <f t="shared" si="32"/>
        <v>20.03</v>
      </c>
    </row>
    <row r="852" spans="1:8" s="289" customFormat="1" ht="20.100000000000001" hidden="1" customHeight="1">
      <c r="A852" s="286"/>
      <c r="B852" s="283" t="s">
        <v>3707</v>
      </c>
      <c r="C852" s="284">
        <v>1</v>
      </c>
      <c r="D852" s="284">
        <v>-1</v>
      </c>
      <c r="E852" s="288">
        <v>0.75</v>
      </c>
      <c r="F852" s="286"/>
      <c r="G852" s="290">
        <v>0.52</v>
      </c>
      <c r="H852" s="288">
        <f t="shared" si="32"/>
        <v>-0.39</v>
      </c>
    </row>
    <row r="853" spans="1:8" s="289" customFormat="1" ht="20.100000000000001" hidden="1" customHeight="1">
      <c r="A853" s="286"/>
      <c r="B853" s="283" t="s">
        <v>3674</v>
      </c>
      <c r="C853" s="284">
        <v>1</v>
      </c>
      <c r="D853" s="284">
        <v>-1</v>
      </c>
      <c r="E853" s="288">
        <v>0.9</v>
      </c>
      <c r="F853" s="286"/>
      <c r="G853" s="290">
        <v>0.6</v>
      </c>
      <c r="H853" s="288">
        <f t="shared" si="32"/>
        <v>-0.54</v>
      </c>
    </row>
    <row r="854" spans="1:8" s="289" customFormat="1" ht="20.100000000000001" hidden="1" customHeight="1">
      <c r="A854" s="286"/>
      <c r="B854" s="283" t="s">
        <v>3827</v>
      </c>
      <c r="C854" s="284">
        <v>1</v>
      </c>
      <c r="D854" s="284">
        <v>1</v>
      </c>
      <c r="E854" s="288">
        <v>8.17</v>
      </c>
      <c r="F854" s="286"/>
      <c r="G854" s="290">
        <v>3.18</v>
      </c>
      <c r="H854" s="288">
        <f t="shared" si="32"/>
        <v>25.98</v>
      </c>
    </row>
    <row r="855" spans="1:8" s="289" customFormat="1" ht="20.100000000000001" hidden="1" customHeight="1">
      <c r="A855" s="286"/>
      <c r="B855" s="283" t="s">
        <v>3707</v>
      </c>
      <c r="C855" s="284">
        <v>1</v>
      </c>
      <c r="D855" s="284">
        <v>-1</v>
      </c>
      <c r="E855" s="288">
        <v>0.75</v>
      </c>
      <c r="F855" s="286"/>
      <c r="G855" s="290">
        <v>0.52</v>
      </c>
      <c r="H855" s="288">
        <f t="shared" si="32"/>
        <v>-0.39</v>
      </c>
    </row>
    <row r="856" spans="1:8" s="289" customFormat="1" ht="20.100000000000001" hidden="1" customHeight="1">
      <c r="A856" s="286"/>
      <c r="B856" s="283" t="s">
        <v>3832</v>
      </c>
      <c r="C856" s="284">
        <v>1</v>
      </c>
      <c r="D856" s="284">
        <v>-1</v>
      </c>
      <c r="E856" s="288">
        <v>0.9</v>
      </c>
      <c r="F856" s="286"/>
      <c r="G856" s="290">
        <v>0.52</v>
      </c>
      <c r="H856" s="288">
        <f t="shared" si="32"/>
        <v>-0.47</v>
      </c>
    </row>
    <row r="857" spans="1:8" s="289" customFormat="1" ht="20.100000000000001" hidden="1" customHeight="1">
      <c r="A857" s="286"/>
      <c r="B857" s="283" t="s">
        <v>3837</v>
      </c>
      <c r="C857" s="284">
        <v>1</v>
      </c>
      <c r="D857" s="284">
        <v>1</v>
      </c>
      <c r="E857" s="288">
        <v>16.73</v>
      </c>
      <c r="F857" s="286"/>
      <c r="G857" s="290">
        <v>3.18</v>
      </c>
      <c r="H857" s="288">
        <f t="shared" si="32"/>
        <v>53.2</v>
      </c>
    </row>
    <row r="858" spans="1:8" s="289" customFormat="1" ht="20.100000000000001" hidden="1" customHeight="1">
      <c r="A858" s="286"/>
      <c r="B858" s="283" t="s">
        <v>3659</v>
      </c>
      <c r="C858" s="284">
        <v>1</v>
      </c>
      <c r="D858" s="284">
        <v>-1</v>
      </c>
      <c r="E858" s="288">
        <v>1</v>
      </c>
      <c r="F858" s="286"/>
      <c r="G858" s="290">
        <v>2.1</v>
      </c>
      <c r="H858" s="288">
        <f t="shared" si="32"/>
        <v>-2.1</v>
      </c>
    </row>
    <row r="859" spans="1:8" s="289" customFormat="1" ht="20.100000000000001" hidden="1" customHeight="1">
      <c r="A859" s="286"/>
      <c r="B859" s="283" t="s">
        <v>3707</v>
      </c>
      <c r="C859" s="284">
        <v>1</v>
      </c>
      <c r="D859" s="284">
        <v>-1</v>
      </c>
      <c r="E859" s="288">
        <v>0.75</v>
      </c>
      <c r="F859" s="286"/>
      <c r="G859" s="290">
        <v>2.1</v>
      </c>
      <c r="H859" s="288">
        <f t="shared" si="32"/>
        <v>-1.58</v>
      </c>
    </row>
    <row r="860" spans="1:8" s="289" customFormat="1" ht="20.100000000000001" hidden="1" customHeight="1">
      <c r="A860" s="286"/>
      <c r="B860" s="283" t="s">
        <v>3666</v>
      </c>
      <c r="C860" s="284">
        <v>1</v>
      </c>
      <c r="D860" s="284">
        <v>-2</v>
      </c>
      <c r="E860" s="288">
        <v>1.35</v>
      </c>
      <c r="F860" s="286"/>
      <c r="G860" s="290">
        <v>1.35</v>
      </c>
      <c r="H860" s="288">
        <f t="shared" si="32"/>
        <v>-3.65</v>
      </c>
    </row>
    <row r="861" spans="1:8" s="289" customFormat="1" ht="20.100000000000001" hidden="1" customHeight="1">
      <c r="A861" s="286"/>
      <c r="B861" s="283" t="s">
        <v>3875</v>
      </c>
      <c r="C861" s="284">
        <v>1</v>
      </c>
      <c r="D861" s="284">
        <v>2</v>
      </c>
      <c r="E861" s="288">
        <v>0.45</v>
      </c>
      <c r="F861" s="286"/>
      <c r="G861" s="290">
        <v>2.1</v>
      </c>
      <c r="H861" s="288">
        <f t="shared" si="32"/>
        <v>1.89</v>
      </c>
    </row>
    <row r="862" spans="1:8" s="289" customFormat="1" ht="20.100000000000001" hidden="1" customHeight="1">
      <c r="A862" s="286"/>
      <c r="B862" s="283" t="s">
        <v>3876</v>
      </c>
      <c r="C862" s="284">
        <v>1</v>
      </c>
      <c r="D862" s="284">
        <v>2</v>
      </c>
      <c r="E862" s="288">
        <v>0.45</v>
      </c>
      <c r="F862" s="286">
        <v>0.115</v>
      </c>
      <c r="G862" s="287"/>
      <c r="H862" s="288">
        <f t="shared" si="32"/>
        <v>0.1</v>
      </c>
    </row>
    <row r="863" spans="1:8" s="289" customFormat="1" ht="20.100000000000001" hidden="1" customHeight="1">
      <c r="A863" s="286"/>
      <c r="B863" s="283" t="s">
        <v>3888</v>
      </c>
      <c r="C863" s="284">
        <v>1</v>
      </c>
      <c r="D863" s="284">
        <v>1</v>
      </c>
      <c r="E863" s="288">
        <v>4.0199999999999996</v>
      </c>
      <c r="F863" s="291">
        <v>0.6</v>
      </c>
      <c r="G863" s="287"/>
      <c r="H863" s="288">
        <f t="shared" si="32"/>
        <v>2.41</v>
      </c>
    </row>
    <row r="864" spans="1:8" s="289" customFormat="1" ht="20.100000000000001" hidden="1" customHeight="1">
      <c r="A864" s="286"/>
      <c r="B864" s="283" t="s">
        <v>3839</v>
      </c>
      <c r="C864" s="284">
        <v>1</v>
      </c>
      <c r="D864" s="284">
        <v>1</v>
      </c>
      <c r="E864" s="288">
        <v>6.3</v>
      </c>
      <c r="F864" s="286"/>
      <c r="G864" s="290">
        <v>3.18</v>
      </c>
      <c r="H864" s="288">
        <f t="shared" si="32"/>
        <v>20.03</v>
      </c>
    </row>
    <row r="865" spans="1:8" s="289" customFormat="1" ht="20.100000000000001" hidden="1" customHeight="1">
      <c r="A865" s="286"/>
      <c r="B865" s="283" t="s">
        <v>3707</v>
      </c>
      <c r="C865" s="284">
        <v>1</v>
      </c>
      <c r="D865" s="284">
        <v>-1</v>
      </c>
      <c r="E865" s="288">
        <v>0.75</v>
      </c>
      <c r="F865" s="286"/>
      <c r="G865" s="290">
        <v>0.52</v>
      </c>
      <c r="H865" s="288">
        <f t="shared" si="32"/>
        <v>-0.39</v>
      </c>
    </row>
    <row r="866" spans="1:8" s="289" customFormat="1" ht="20.100000000000001" hidden="1" customHeight="1">
      <c r="A866" s="286"/>
      <c r="B866" s="283" t="s">
        <v>3674</v>
      </c>
      <c r="C866" s="284">
        <v>1</v>
      </c>
      <c r="D866" s="284">
        <v>-1</v>
      </c>
      <c r="E866" s="288">
        <v>0.9</v>
      </c>
      <c r="F866" s="286"/>
      <c r="G866" s="290">
        <v>0.6</v>
      </c>
      <c r="H866" s="288">
        <f t="shared" si="32"/>
        <v>-0.54</v>
      </c>
    </row>
    <row r="867" spans="1:8" s="289" customFormat="1" ht="20.100000000000001" hidden="1" customHeight="1">
      <c r="A867" s="286"/>
      <c r="B867" s="283" t="s">
        <v>3840</v>
      </c>
      <c r="C867" s="284">
        <v>1</v>
      </c>
      <c r="D867" s="284">
        <v>1</v>
      </c>
      <c r="E867" s="288">
        <v>6</v>
      </c>
      <c r="F867" s="286"/>
      <c r="G867" s="290">
        <v>3.18</v>
      </c>
      <c r="H867" s="288">
        <f t="shared" si="32"/>
        <v>19.079999999999998</v>
      </c>
    </row>
    <row r="868" spans="1:8" s="289" customFormat="1" ht="20.100000000000001" hidden="1" customHeight="1">
      <c r="A868" s="286"/>
      <c r="B868" s="283" t="s">
        <v>3707</v>
      </c>
      <c r="C868" s="284">
        <v>1</v>
      </c>
      <c r="D868" s="284">
        <v>-1</v>
      </c>
      <c r="E868" s="288">
        <v>0.75</v>
      </c>
      <c r="F868" s="286"/>
      <c r="G868" s="290">
        <v>0.52</v>
      </c>
      <c r="H868" s="288">
        <f t="shared" si="32"/>
        <v>-0.39</v>
      </c>
    </row>
    <row r="869" spans="1:8" s="289" customFormat="1" ht="20.100000000000001" hidden="1" customHeight="1">
      <c r="A869" s="286"/>
      <c r="B869" s="283" t="s">
        <v>3674</v>
      </c>
      <c r="C869" s="284">
        <v>1</v>
      </c>
      <c r="D869" s="284">
        <v>-1</v>
      </c>
      <c r="E869" s="288">
        <v>0.9</v>
      </c>
      <c r="F869" s="286"/>
      <c r="G869" s="290">
        <v>0.6</v>
      </c>
      <c r="H869" s="288">
        <f t="shared" si="32"/>
        <v>-0.54</v>
      </c>
    </row>
    <row r="870" spans="1:8" s="289" customFormat="1" ht="20.100000000000001" hidden="1" customHeight="1">
      <c r="A870" s="286"/>
      <c r="B870" s="283" t="s">
        <v>3840</v>
      </c>
      <c r="C870" s="284">
        <v>1</v>
      </c>
      <c r="D870" s="284">
        <v>1</v>
      </c>
      <c r="E870" s="288">
        <v>6.37</v>
      </c>
      <c r="F870" s="286"/>
      <c r="G870" s="290">
        <v>3.18</v>
      </c>
      <c r="H870" s="288">
        <f t="shared" si="32"/>
        <v>20.260000000000002</v>
      </c>
    </row>
    <row r="871" spans="1:8" s="289" customFormat="1" ht="20.100000000000001" hidden="1" customHeight="1">
      <c r="A871" s="286"/>
      <c r="B871" s="283" t="s">
        <v>3707</v>
      </c>
      <c r="C871" s="284">
        <v>1</v>
      </c>
      <c r="D871" s="284">
        <v>-1</v>
      </c>
      <c r="E871" s="288">
        <v>0.75</v>
      </c>
      <c r="F871" s="286"/>
      <c r="G871" s="290">
        <v>0.52</v>
      </c>
      <c r="H871" s="288">
        <f t="shared" si="32"/>
        <v>-0.39</v>
      </c>
    </row>
    <row r="872" spans="1:8" s="289" customFormat="1" ht="20.100000000000001" hidden="1" customHeight="1">
      <c r="A872" s="286"/>
      <c r="B872" s="283" t="s">
        <v>3674</v>
      </c>
      <c r="C872" s="284">
        <v>1</v>
      </c>
      <c r="D872" s="284">
        <v>-1</v>
      </c>
      <c r="E872" s="288">
        <v>0.9</v>
      </c>
      <c r="F872" s="286"/>
      <c r="G872" s="290">
        <v>0.6</v>
      </c>
      <c r="H872" s="288">
        <f t="shared" si="32"/>
        <v>-0.54</v>
      </c>
    </row>
    <row r="873" spans="1:8" s="289" customFormat="1" ht="20.100000000000001" hidden="1" customHeight="1">
      <c r="A873" s="286"/>
      <c r="B873" s="283" t="s">
        <v>3841</v>
      </c>
      <c r="C873" s="284">
        <v>1</v>
      </c>
      <c r="D873" s="284">
        <v>1</v>
      </c>
      <c r="E873" s="288">
        <v>19.059999999999999</v>
      </c>
      <c r="F873" s="286"/>
      <c r="G873" s="290">
        <v>3.18</v>
      </c>
      <c r="H873" s="288">
        <f t="shared" si="32"/>
        <v>60.61</v>
      </c>
    </row>
    <row r="874" spans="1:8" s="289" customFormat="1" ht="20.100000000000001" hidden="1" customHeight="1">
      <c r="A874" s="286"/>
      <c r="B874" s="283" t="s">
        <v>3659</v>
      </c>
      <c r="C874" s="284">
        <v>1</v>
      </c>
      <c r="D874" s="284">
        <v>-1</v>
      </c>
      <c r="E874" s="288">
        <v>1</v>
      </c>
      <c r="F874" s="286"/>
      <c r="G874" s="290">
        <v>2.1</v>
      </c>
      <c r="H874" s="288">
        <f t="shared" si="32"/>
        <v>-2.1</v>
      </c>
    </row>
    <row r="875" spans="1:8" s="289" customFormat="1" ht="20.100000000000001" hidden="1" customHeight="1">
      <c r="A875" s="286"/>
      <c r="B875" s="283" t="s">
        <v>3707</v>
      </c>
      <c r="C875" s="284">
        <v>1</v>
      </c>
      <c r="D875" s="284">
        <v>-2</v>
      </c>
      <c r="E875" s="288">
        <v>0.75</v>
      </c>
      <c r="F875" s="286"/>
      <c r="G875" s="290">
        <v>2.1</v>
      </c>
      <c r="H875" s="288">
        <f t="shared" si="32"/>
        <v>-3.15</v>
      </c>
    </row>
    <row r="876" spans="1:8" s="289" customFormat="1" ht="20.100000000000001" hidden="1" customHeight="1">
      <c r="A876" s="286"/>
      <c r="B876" s="283" t="s">
        <v>3666</v>
      </c>
      <c r="C876" s="284">
        <v>1</v>
      </c>
      <c r="D876" s="284">
        <v>-2</v>
      </c>
      <c r="E876" s="288">
        <v>1.35</v>
      </c>
      <c r="F876" s="286"/>
      <c r="G876" s="290">
        <v>1.35</v>
      </c>
      <c r="H876" s="288">
        <f t="shared" si="32"/>
        <v>-3.65</v>
      </c>
    </row>
    <row r="877" spans="1:8" s="289" customFormat="1" ht="20.100000000000001" hidden="1" customHeight="1">
      <c r="A877" s="286"/>
      <c r="B877" s="283" t="s">
        <v>3875</v>
      </c>
      <c r="C877" s="284">
        <v>1</v>
      </c>
      <c r="D877" s="284">
        <v>7</v>
      </c>
      <c r="E877" s="288">
        <v>0.45</v>
      </c>
      <c r="F877" s="286"/>
      <c r="G877" s="290">
        <v>2.1</v>
      </c>
      <c r="H877" s="288">
        <f t="shared" si="32"/>
        <v>6.62</v>
      </c>
    </row>
    <row r="878" spans="1:8" s="289" customFormat="1" ht="20.100000000000001" hidden="1" customHeight="1">
      <c r="A878" s="286"/>
      <c r="B878" s="283" t="s">
        <v>3876</v>
      </c>
      <c r="C878" s="284">
        <v>1</v>
      </c>
      <c r="D878" s="284">
        <v>4</v>
      </c>
      <c r="E878" s="288">
        <v>0.45</v>
      </c>
      <c r="F878" s="286">
        <v>0.115</v>
      </c>
      <c r="G878" s="287"/>
      <c r="H878" s="288">
        <f t="shared" si="32"/>
        <v>0.21</v>
      </c>
    </row>
    <row r="879" spans="1:8" s="289" customFormat="1" ht="20.100000000000001" hidden="1" customHeight="1">
      <c r="A879" s="286"/>
      <c r="B879" s="283" t="s">
        <v>3888</v>
      </c>
      <c r="C879" s="284">
        <v>1</v>
      </c>
      <c r="D879" s="284">
        <v>1</v>
      </c>
      <c r="E879" s="288">
        <v>4.92</v>
      </c>
      <c r="F879" s="291">
        <v>0.6</v>
      </c>
      <c r="G879" s="287"/>
      <c r="H879" s="288">
        <f t="shared" si="32"/>
        <v>2.95</v>
      </c>
    </row>
    <row r="880" spans="1:8" s="289" customFormat="1" ht="20.100000000000001" hidden="1" customHeight="1">
      <c r="A880" s="286"/>
      <c r="B880" s="283" t="s">
        <v>3842</v>
      </c>
      <c r="C880" s="284">
        <v>1</v>
      </c>
      <c r="D880" s="284">
        <v>1</v>
      </c>
      <c r="E880" s="288">
        <v>26.4</v>
      </c>
      <c r="F880" s="286"/>
      <c r="G880" s="290">
        <v>3.18</v>
      </c>
      <c r="H880" s="288">
        <f t="shared" ref="H880:H943" si="33">ROUND(PRODUCT(C880:G880),2)</f>
        <v>83.95</v>
      </c>
    </row>
    <row r="881" spans="1:8" s="289" customFormat="1" ht="20.100000000000001" hidden="1" customHeight="1">
      <c r="A881" s="286"/>
      <c r="B881" s="283" t="s">
        <v>3659</v>
      </c>
      <c r="C881" s="284">
        <v>1</v>
      </c>
      <c r="D881" s="284">
        <v>-6</v>
      </c>
      <c r="E881" s="288">
        <v>1</v>
      </c>
      <c r="F881" s="286"/>
      <c r="G881" s="290">
        <v>2.1</v>
      </c>
      <c r="H881" s="288">
        <f t="shared" si="33"/>
        <v>-12.6</v>
      </c>
    </row>
    <row r="882" spans="1:8" s="289" customFormat="1" ht="20.100000000000001" hidden="1" customHeight="1">
      <c r="A882" s="286"/>
      <c r="B882" s="283" t="s">
        <v>3680</v>
      </c>
      <c r="C882" s="284">
        <v>1</v>
      </c>
      <c r="D882" s="284">
        <v>-1</v>
      </c>
      <c r="E882" s="288">
        <v>2.4</v>
      </c>
      <c r="F882" s="286"/>
      <c r="G882" s="290">
        <v>2.1</v>
      </c>
      <c r="H882" s="288">
        <f t="shared" si="33"/>
        <v>-5.04</v>
      </c>
    </row>
    <row r="883" spans="1:8" s="289" customFormat="1" ht="20.100000000000001" hidden="1" customHeight="1">
      <c r="A883" s="286"/>
      <c r="B883" s="283" t="s">
        <v>3662</v>
      </c>
      <c r="C883" s="284">
        <v>1</v>
      </c>
      <c r="D883" s="284">
        <v>-2</v>
      </c>
      <c r="E883" s="288">
        <v>1.8</v>
      </c>
      <c r="F883" s="286"/>
      <c r="G883" s="290">
        <v>1.35</v>
      </c>
      <c r="H883" s="288">
        <f t="shared" si="33"/>
        <v>-4.8600000000000003</v>
      </c>
    </row>
    <row r="884" spans="1:8" s="289" customFormat="1" ht="20.100000000000001" hidden="1" customHeight="1">
      <c r="A884" s="286"/>
      <c r="B884" s="283" t="s">
        <v>3843</v>
      </c>
      <c r="C884" s="284">
        <v>1</v>
      </c>
      <c r="D884" s="284">
        <v>1</v>
      </c>
      <c r="E884" s="288">
        <v>14.7</v>
      </c>
      <c r="F884" s="286"/>
      <c r="G884" s="290">
        <v>3.18</v>
      </c>
      <c r="H884" s="288">
        <f t="shared" si="33"/>
        <v>46.75</v>
      </c>
    </row>
    <row r="885" spans="1:8" s="289" customFormat="1" ht="20.100000000000001" hidden="1" customHeight="1">
      <c r="A885" s="286"/>
      <c r="B885" s="283" t="s">
        <v>3659</v>
      </c>
      <c r="C885" s="284">
        <v>1</v>
      </c>
      <c r="D885" s="284">
        <v>-6</v>
      </c>
      <c r="E885" s="288">
        <v>1</v>
      </c>
      <c r="F885" s="286"/>
      <c r="G885" s="290">
        <v>2.1</v>
      </c>
      <c r="H885" s="288">
        <f t="shared" si="33"/>
        <v>-12.6</v>
      </c>
    </row>
    <row r="886" spans="1:8" s="289" customFormat="1" ht="20.100000000000001" hidden="1" customHeight="1">
      <c r="A886" s="286"/>
      <c r="B886" s="283" t="s">
        <v>3667</v>
      </c>
      <c r="C886" s="284">
        <v>1</v>
      </c>
      <c r="D886" s="284">
        <v>-2</v>
      </c>
      <c r="E886" s="288">
        <v>1.5</v>
      </c>
      <c r="F886" s="286"/>
      <c r="G886" s="290">
        <v>1.35</v>
      </c>
      <c r="H886" s="288">
        <f t="shared" si="33"/>
        <v>-4.05</v>
      </c>
    </row>
    <row r="887" spans="1:8" s="289" customFormat="1" ht="20.100000000000001" hidden="1" customHeight="1">
      <c r="A887" s="286"/>
      <c r="B887" s="283" t="s">
        <v>3887</v>
      </c>
      <c r="C887" s="284">
        <v>1</v>
      </c>
      <c r="D887" s="284">
        <v>1</v>
      </c>
      <c r="E887" s="288">
        <v>11.56</v>
      </c>
      <c r="F887" s="286"/>
      <c r="G887" s="290">
        <v>3.3</v>
      </c>
      <c r="H887" s="288">
        <f t="shared" si="33"/>
        <v>38.15</v>
      </c>
    </row>
    <row r="888" spans="1:8" s="289" customFormat="1" ht="20.100000000000001" hidden="1" customHeight="1">
      <c r="A888" s="286"/>
      <c r="B888" s="283" t="s">
        <v>3672</v>
      </c>
      <c r="C888" s="284">
        <v>1</v>
      </c>
      <c r="D888" s="284">
        <v>-1</v>
      </c>
      <c r="E888" s="288">
        <v>1.8</v>
      </c>
      <c r="F888" s="286"/>
      <c r="G888" s="290">
        <v>1.35</v>
      </c>
      <c r="H888" s="288">
        <f t="shared" si="33"/>
        <v>-2.4300000000000002</v>
      </c>
    </row>
    <row r="889" spans="1:8" s="289" customFormat="1" ht="20.100000000000001" hidden="1" customHeight="1">
      <c r="A889" s="286"/>
      <c r="B889" s="283" t="s">
        <v>3889</v>
      </c>
      <c r="C889" s="284">
        <v>1</v>
      </c>
      <c r="D889" s="284">
        <v>1</v>
      </c>
      <c r="E889" s="288">
        <v>11.04</v>
      </c>
      <c r="F889" s="286"/>
      <c r="G889" s="290">
        <v>3.18</v>
      </c>
      <c r="H889" s="288">
        <f t="shared" si="33"/>
        <v>35.11</v>
      </c>
    </row>
    <row r="890" spans="1:8" s="289" customFormat="1" ht="20.100000000000001" hidden="1" customHeight="1">
      <c r="A890" s="286"/>
      <c r="B890" s="283" t="s">
        <v>3659</v>
      </c>
      <c r="C890" s="284">
        <v>1</v>
      </c>
      <c r="D890" s="284">
        <v>-1</v>
      </c>
      <c r="E890" s="288">
        <v>1</v>
      </c>
      <c r="F890" s="286"/>
      <c r="G890" s="290">
        <v>2.1</v>
      </c>
      <c r="H890" s="288">
        <f t="shared" si="33"/>
        <v>-2.1</v>
      </c>
    </row>
    <row r="891" spans="1:8" s="289" customFormat="1" ht="20.100000000000001" hidden="1" customHeight="1">
      <c r="A891" s="286"/>
      <c r="B891" s="283" t="s">
        <v>3666</v>
      </c>
      <c r="C891" s="284">
        <v>1</v>
      </c>
      <c r="D891" s="284">
        <v>-1</v>
      </c>
      <c r="E891" s="288">
        <v>1.35</v>
      </c>
      <c r="F891" s="286"/>
      <c r="G891" s="290">
        <v>1.35</v>
      </c>
      <c r="H891" s="288">
        <f t="shared" si="33"/>
        <v>-1.82</v>
      </c>
    </row>
    <row r="892" spans="1:8" s="289" customFormat="1" ht="20.100000000000001" hidden="1" customHeight="1">
      <c r="A892" s="286"/>
      <c r="B892" s="283" t="s">
        <v>3845</v>
      </c>
      <c r="C892" s="284">
        <v>1</v>
      </c>
      <c r="D892" s="284">
        <v>1</v>
      </c>
      <c r="E892" s="288">
        <v>18.23</v>
      </c>
      <c r="F892" s="286"/>
      <c r="G892" s="290">
        <v>3.18</v>
      </c>
      <c r="H892" s="288">
        <f t="shared" si="33"/>
        <v>57.97</v>
      </c>
    </row>
    <row r="893" spans="1:8" s="289" customFormat="1" ht="20.100000000000001" hidden="1" customHeight="1">
      <c r="A893" s="286"/>
      <c r="B893" s="283" t="s">
        <v>3659</v>
      </c>
      <c r="C893" s="284">
        <v>1</v>
      </c>
      <c r="D893" s="284">
        <v>-1</v>
      </c>
      <c r="E893" s="288">
        <v>1</v>
      </c>
      <c r="F893" s="286"/>
      <c r="G893" s="290">
        <v>2.1</v>
      </c>
      <c r="H893" s="288">
        <f t="shared" si="33"/>
        <v>-2.1</v>
      </c>
    </row>
    <row r="894" spans="1:8" s="289" customFormat="1" ht="20.100000000000001" hidden="1" customHeight="1">
      <c r="A894" s="286"/>
      <c r="B894" s="283" t="s">
        <v>3666</v>
      </c>
      <c r="C894" s="284">
        <v>1</v>
      </c>
      <c r="D894" s="284">
        <v>-2</v>
      </c>
      <c r="E894" s="288">
        <v>1.35</v>
      </c>
      <c r="F894" s="286"/>
      <c r="G894" s="290">
        <v>1.35</v>
      </c>
      <c r="H894" s="288">
        <f t="shared" si="33"/>
        <v>-3.65</v>
      </c>
    </row>
    <row r="895" spans="1:8" s="289" customFormat="1" ht="20.100000000000001" hidden="1" customHeight="1">
      <c r="A895" s="286"/>
      <c r="B895" s="283" t="s">
        <v>3838</v>
      </c>
      <c r="C895" s="284">
        <v>1</v>
      </c>
      <c r="D895" s="284">
        <v>-1</v>
      </c>
      <c r="E895" s="288">
        <v>1.0900000000000001</v>
      </c>
      <c r="F895" s="286"/>
      <c r="G895" s="290">
        <v>0.1</v>
      </c>
      <c r="H895" s="288">
        <f t="shared" si="33"/>
        <v>-0.11</v>
      </c>
    </row>
    <row r="896" spans="1:8" s="289" customFormat="1" ht="20.100000000000001" hidden="1" customHeight="1">
      <c r="A896" s="286"/>
      <c r="B896" s="283" t="s">
        <v>3875</v>
      </c>
      <c r="C896" s="284">
        <v>1</v>
      </c>
      <c r="D896" s="284">
        <v>6</v>
      </c>
      <c r="E896" s="288">
        <v>0.45</v>
      </c>
      <c r="F896" s="286"/>
      <c r="G896" s="290">
        <v>2.1</v>
      </c>
      <c r="H896" s="288">
        <f t="shared" si="33"/>
        <v>5.67</v>
      </c>
    </row>
    <row r="897" spans="1:8" s="289" customFormat="1" ht="20.100000000000001" hidden="1" customHeight="1">
      <c r="A897" s="286"/>
      <c r="B897" s="283" t="s">
        <v>3876</v>
      </c>
      <c r="C897" s="284">
        <v>1</v>
      </c>
      <c r="D897" s="284">
        <v>4</v>
      </c>
      <c r="E897" s="288">
        <v>0.45</v>
      </c>
      <c r="F897" s="286">
        <v>0.115</v>
      </c>
      <c r="G897" s="287"/>
      <c r="H897" s="288">
        <f t="shared" si="33"/>
        <v>0.21</v>
      </c>
    </row>
    <row r="898" spans="1:8" s="289" customFormat="1" ht="20.100000000000001" hidden="1" customHeight="1">
      <c r="A898" s="286"/>
      <c r="B898" s="283" t="s">
        <v>3888</v>
      </c>
      <c r="C898" s="284">
        <v>1</v>
      </c>
      <c r="D898" s="284">
        <v>1</v>
      </c>
      <c r="E898" s="288">
        <v>4.92</v>
      </c>
      <c r="F898" s="291">
        <v>0.6</v>
      </c>
      <c r="G898" s="287"/>
      <c r="H898" s="288">
        <f t="shared" si="33"/>
        <v>2.95</v>
      </c>
    </row>
    <row r="899" spans="1:8" s="289" customFormat="1" ht="20.100000000000001" hidden="1" customHeight="1">
      <c r="A899" s="286"/>
      <c r="B899" s="283" t="s">
        <v>3831</v>
      </c>
      <c r="C899" s="284">
        <v>1</v>
      </c>
      <c r="D899" s="284">
        <v>1</v>
      </c>
      <c r="E899" s="288">
        <v>5.7</v>
      </c>
      <c r="F899" s="286"/>
      <c r="G899" s="290">
        <v>3.18</v>
      </c>
      <c r="H899" s="288">
        <f t="shared" si="33"/>
        <v>18.13</v>
      </c>
    </row>
    <row r="900" spans="1:8" s="289" customFormat="1" ht="20.100000000000001" hidden="1" customHeight="1">
      <c r="A900" s="286"/>
      <c r="B900" s="283" t="s">
        <v>3707</v>
      </c>
      <c r="C900" s="284">
        <v>1</v>
      </c>
      <c r="D900" s="284">
        <v>-1</v>
      </c>
      <c r="E900" s="288">
        <v>0.75</v>
      </c>
      <c r="F900" s="286"/>
      <c r="G900" s="290">
        <v>0.52</v>
      </c>
      <c r="H900" s="288">
        <f t="shared" si="33"/>
        <v>-0.39</v>
      </c>
    </row>
    <row r="901" spans="1:8" s="289" customFormat="1" ht="20.100000000000001" hidden="1" customHeight="1">
      <c r="A901" s="286"/>
      <c r="B901" s="283" t="s">
        <v>3674</v>
      </c>
      <c r="C901" s="284">
        <v>1</v>
      </c>
      <c r="D901" s="284">
        <v>-1</v>
      </c>
      <c r="E901" s="288">
        <v>0.9</v>
      </c>
      <c r="F901" s="286"/>
      <c r="G901" s="290">
        <v>0.6</v>
      </c>
      <c r="H901" s="288">
        <f t="shared" si="33"/>
        <v>-0.54</v>
      </c>
    </row>
    <row r="902" spans="1:8" s="289" customFormat="1" ht="20.100000000000001" hidden="1" customHeight="1">
      <c r="A902" s="286"/>
      <c r="B902" s="283" t="s">
        <v>3827</v>
      </c>
      <c r="C902" s="284">
        <v>1</v>
      </c>
      <c r="D902" s="284">
        <v>1</v>
      </c>
      <c r="E902" s="288">
        <v>3.79</v>
      </c>
      <c r="F902" s="286"/>
      <c r="G902" s="290">
        <v>3.18</v>
      </c>
      <c r="H902" s="288">
        <f t="shared" si="33"/>
        <v>12.05</v>
      </c>
    </row>
    <row r="903" spans="1:8" s="289" customFormat="1" ht="20.100000000000001" hidden="1" customHeight="1">
      <c r="A903" s="286"/>
      <c r="B903" s="283" t="s">
        <v>3707</v>
      </c>
      <c r="C903" s="284">
        <v>1</v>
      </c>
      <c r="D903" s="284">
        <v>-2</v>
      </c>
      <c r="E903" s="288">
        <v>0.75</v>
      </c>
      <c r="F903" s="286"/>
      <c r="G903" s="290">
        <v>0.52</v>
      </c>
      <c r="H903" s="288">
        <f t="shared" si="33"/>
        <v>-0.78</v>
      </c>
    </row>
    <row r="904" spans="1:8" s="289" customFormat="1" ht="20.100000000000001" hidden="1" customHeight="1">
      <c r="A904" s="286"/>
      <c r="B904" s="283" t="s">
        <v>3674</v>
      </c>
      <c r="C904" s="284">
        <v>1</v>
      </c>
      <c r="D904" s="284">
        <v>-1</v>
      </c>
      <c r="E904" s="288">
        <v>0.9</v>
      </c>
      <c r="F904" s="286"/>
      <c r="G904" s="290">
        <v>0.6</v>
      </c>
      <c r="H904" s="288">
        <f t="shared" si="33"/>
        <v>-0.54</v>
      </c>
    </row>
    <row r="905" spans="1:8" s="289" customFormat="1" ht="20.100000000000001" hidden="1" customHeight="1">
      <c r="A905" s="286"/>
      <c r="B905" s="283" t="s">
        <v>3832</v>
      </c>
      <c r="C905" s="284">
        <v>1</v>
      </c>
      <c r="D905" s="284">
        <v>-1</v>
      </c>
      <c r="E905" s="288">
        <v>0.9</v>
      </c>
      <c r="F905" s="286"/>
      <c r="G905" s="290">
        <v>0.52</v>
      </c>
      <c r="H905" s="288">
        <f t="shared" si="33"/>
        <v>-0.47</v>
      </c>
    </row>
    <row r="906" spans="1:8" s="289" customFormat="1" ht="20.100000000000001" hidden="1" customHeight="1">
      <c r="A906" s="286"/>
      <c r="B906" s="283" t="s">
        <v>3831</v>
      </c>
      <c r="C906" s="284">
        <v>1</v>
      </c>
      <c r="D906" s="284">
        <v>1</v>
      </c>
      <c r="E906" s="288">
        <v>6</v>
      </c>
      <c r="F906" s="286"/>
      <c r="G906" s="290">
        <v>3.18</v>
      </c>
      <c r="H906" s="288">
        <f t="shared" si="33"/>
        <v>19.079999999999998</v>
      </c>
    </row>
    <row r="907" spans="1:8" s="289" customFormat="1" ht="20.100000000000001" hidden="1" customHeight="1">
      <c r="A907" s="286"/>
      <c r="B907" s="283" t="s">
        <v>3707</v>
      </c>
      <c r="C907" s="284">
        <v>1</v>
      </c>
      <c r="D907" s="284">
        <v>-1</v>
      </c>
      <c r="E907" s="288">
        <v>0.75</v>
      </c>
      <c r="F907" s="291"/>
      <c r="G907" s="290">
        <v>0.52</v>
      </c>
      <c r="H907" s="288">
        <f t="shared" si="33"/>
        <v>-0.39</v>
      </c>
    </row>
    <row r="908" spans="1:8" s="289" customFormat="1" ht="20.100000000000001" hidden="1" customHeight="1">
      <c r="A908" s="286"/>
      <c r="B908" s="283" t="s">
        <v>3674</v>
      </c>
      <c r="C908" s="284">
        <v>1</v>
      </c>
      <c r="D908" s="284">
        <v>-1</v>
      </c>
      <c r="E908" s="288">
        <v>0.9</v>
      </c>
      <c r="F908" s="291"/>
      <c r="G908" s="290">
        <v>0.6</v>
      </c>
      <c r="H908" s="288">
        <f t="shared" si="33"/>
        <v>-0.54</v>
      </c>
    </row>
    <row r="909" spans="1:8" s="289" customFormat="1" ht="20.100000000000001" hidden="1" customHeight="1">
      <c r="A909" s="286"/>
      <c r="B909" s="283" t="s">
        <v>3890</v>
      </c>
      <c r="C909" s="284">
        <v>1</v>
      </c>
      <c r="D909" s="284">
        <v>1</v>
      </c>
      <c r="E909" s="288">
        <v>18.16</v>
      </c>
      <c r="F909" s="291"/>
      <c r="G909" s="290">
        <v>2.4300000000000002</v>
      </c>
      <c r="H909" s="288">
        <f t="shared" si="33"/>
        <v>44.13</v>
      </c>
    </row>
    <row r="910" spans="1:8" s="289" customFormat="1" ht="20.100000000000001" hidden="1" customHeight="1">
      <c r="A910" s="286"/>
      <c r="B910" s="283" t="s">
        <v>3659</v>
      </c>
      <c r="C910" s="284">
        <v>1</v>
      </c>
      <c r="D910" s="284">
        <v>-1</v>
      </c>
      <c r="E910" s="288">
        <v>1</v>
      </c>
      <c r="F910" s="291"/>
      <c r="G910" s="290">
        <v>2.1</v>
      </c>
      <c r="H910" s="288">
        <f t="shared" si="33"/>
        <v>-2.1</v>
      </c>
    </row>
    <row r="911" spans="1:8" s="289" customFormat="1" ht="20.100000000000001" hidden="1" customHeight="1">
      <c r="A911" s="286"/>
      <c r="B911" s="283" t="s">
        <v>3667</v>
      </c>
      <c r="C911" s="284">
        <v>1</v>
      </c>
      <c r="D911" s="284">
        <v>-1</v>
      </c>
      <c r="E911" s="288">
        <v>1.5</v>
      </c>
      <c r="F911" s="291"/>
      <c r="G911" s="290">
        <v>1.35</v>
      </c>
      <c r="H911" s="288">
        <f t="shared" si="33"/>
        <v>-2.0299999999999998</v>
      </c>
    </row>
    <row r="912" spans="1:8" s="289" customFormat="1" ht="20.100000000000001" hidden="1" customHeight="1">
      <c r="A912" s="286"/>
      <c r="B912" s="283" t="s">
        <v>3672</v>
      </c>
      <c r="C912" s="284">
        <v>1</v>
      </c>
      <c r="D912" s="284">
        <v>-1</v>
      </c>
      <c r="E912" s="288">
        <v>1.8</v>
      </c>
      <c r="F912" s="292"/>
      <c r="G912" s="290">
        <v>1.35</v>
      </c>
      <c r="H912" s="288">
        <f t="shared" si="33"/>
        <v>-2.4300000000000002</v>
      </c>
    </row>
    <row r="913" spans="1:8" s="297" customFormat="1" ht="20.100000000000001" hidden="1" customHeight="1">
      <c r="A913" s="292"/>
      <c r="B913" s="293" t="s">
        <v>3891</v>
      </c>
      <c r="C913" s="294">
        <v>1</v>
      </c>
      <c r="D913" s="294">
        <v>1</v>
      </c>
      <c r="E913" s="288">
        <v>49.1</v>
      </c>
      <c r="F913" s="295"/>
      <c r="G913" s="290">
        <v>1.2</v>
      </c>
      <c r="H913" s="296">
        <f>ROUND(PRODUCT(C913:G913),2)</f>
        <v>58.92</v>
      </c>
    </row>
    <row r="914" spans="1:8" s="297" customFormat="1" ht="20.100000000000001" hidden="1" customHeight="1">
      <c r="A914" s="286"/>
      <c r="B914" s="283" t="s">
        <v>3892</v>
      </c>
      <c r="C914" s="284"/>
      <c r="D914" s="284"/>
      <c r="E914" s="298"/>
      <c r="F914" s="292"/>
      <c r="G914" s="287"/>
      <c r="H914" s="288">
        <f t="shared" si="33"/>
        <v>0</v>
      </c>
    </row>
    <row r="915" spans="1:8" s="297" customFormat="1" ht="20.100000000000001" hidden="1" customHeight="1">
      <c r="A915" s="286"/>
      <c r="B915" s="283" t="s">
        <v>3771</v>
      </c>
      <c r="C915" s="284"/>
      <c r="D915" s="284"/>
      <c r="E915" s="298"/>
      <c r="F915" s="292"/>
      <c r="G915" s="287"/>
      <c r="H915" s="288">
        <f t="shared" si="33"/>
        <v>0</v>
      </c>
    </row>
    <row r="916" spans="1:8" s="297" customFormat="1" ht="20.100000000000001" hidden="1" customHeight="1">
      <c r="A916" s="286"/>
      <c r="B916" s="283" t="s">
        <v>3609</v>
      </c>
      <c r="C916" s="284">
        <v>1</v>
      </c>
      <c r="D916" s="284">
        <v>1</v>
      </c>
      <c r="E916" s="288">
        <v>6</v>
      </c>
      <c r="F916" s="291">
        <v>0.18</v>
      </c>
      <c r="G916" s="287"/>
      <c r="H916" s="288">
        <f t="shared" si="33"/>
        <v>1.08</v>
      </c>
    </row>
    <row r="917" spans="1:8" s="297" customFormat="1" ht="20.100000000000001" hidden="1" customHeight="1">
      <c r="A917" s="286"/>
      <c r="B917" s="283" t="s">
        <v>3893</v>
      </c>
      <c r="C917" s="284">
        <v>1</v>
      </c>
      <c r="D917" s="284">
        <v>1</v>
      </c>
      <c r="E917" s="288">
        <v>5.4</v>
      </c>
      <c r="F917" s="291">
        <v>0.18</v>
      </c>
      <c r="G917" s="287"/>
      <c r="H917" s="288">
        <f t="shared" si="33"/>
        <v>0.97</v>
      </c>
    </row>
    <row r="918" spans="1:8" s="297" customFormat="1" ht="20.100000000000001" hidden="1" customHeight="1">
      <c r="A918" s="286"/>
      <c r="B918" s="283" t="s">
        <v>3611</v>
      </c>
      <c r="C918" s="284">
        <v>1</v>
      </c>
      <c r="D918" s="284">
        <v>2</v>
      </c>
      <c r="E918" s="288">
        <v>4.95</v>
      </c>
      <c r="F918" s="291">
        <v>0.1</v>
      </c>
      <c r="G918" s="287"/>
      <c r="H918" s="288">
        <f t="shared" si="33"/>
        <v>0.99</v>
      </c>
    </row>
    <row r="919" spans="1:8" s="297" customFormat="1" ht="20.100000000000001" hidden="1" customHeight="1">
      <c r="A919" s="286"/>
      <c r="B919" s="283" t="s">
        <v>3483</v>
      </c>
      <c r="C919" s="284">
        <v>1</v>
      </c>
      <c r="D919" s="284">
        <v>2</v>
      </c>
      <c r="E919" s="288">
        <v>5.2</v>
      </c>
      <c r="F919" s="291">
        <v>0.18</v>
      </c>
      <c r="G919" s="287"/>
      <c r="H919" s="288">
        <f t="shared" si="33"/>
        <v>1.87</v>
      </c>
    </row>
    <row r="920" spans="1:8" s="297" customFormat="1" ht="20.100000000000001" hidden="1" customHeight="1">
      <c r="A920" s="286"/>
      <c r="B920" s="283" t="s">
        <v>3610</v>
      </c>
      <c r="C920" s="284">
        <v>1</v>
      </c>
      <c r="D920" s="284">
        <v>1</v>
      </c>
      <c r="E920" s="288">
        <v>4.95</v>
      </c>
      <c r="F920" s="291">
        <v>0.1</v>
      </c>
      <c r="G920" s="287"/>
      <c r="H920" s="288">
        <f t="shared" si="33"/>
        <v>0.5</v>
      </c>
    </row>
    <row r="921" spans="1:8" s="297" customFormat="1" ht="20.100000000000001" hidden="1" customHeight="1">
      <c r="A921" s="286"/>
      <c r="B921" s="283" t="s">
        <v>3642</v>
      </c>
      <c r="C921" s="284">
        <v>1</v>
      </c>
      <c r="D921" s="284">
        <v>2</v>
      </c>
      <c r="E921" s="288">
        <v>5.4</v>
      </c>
      <c r="F921" s="291">
        <v>0.18</v>
      </c>
      <c r="G921" s="287"/>
      <c r="H921" s="288">
        <f t="shared" si="33"/>
        <v>1.94</v>
      </c>
    </row>
    <row r="922" spans="1:8" s="297" customFormat="1" ht="20.100000000000001" hidden="1" customHeight="1">
      <c r="A922" s="286"/>
      <c r="B922" s="283" t="s">
        <v>3606</v>
      </c>
      <c r="C922" s="284">
        <v>1</v>
      </c>
      <c r="D922" s="284">
        <v>1</v>
      </c>
      <c r="E922" s="288">
        <v>6.3</v>
      </c>
      <c r="F922" s="291">
        <v>0.18</v>
      </c>
      <c r="G922" s="287"/>
      <c r="H922" s="288">
        <f t="shared" si="33"/>
        <v>1.1299999999999999</v>
      </c>
    </row>
    <row r="923" spans="1:8" s="297" customFormat="1" ht="20.100000000000001" hidden="1" customHeight="1">
      <c r="A923" s="286"/>
      <c r="B923" s="283" t="s">
        <v>3605</v>
      </c>
      <c r="C923" s="284">
        <v>1</v>
      </c>
      <c r="D923" s="284">
        <v>2</v>
      </c>
      <c r="E923" s="288">
        <v>5.7</v>
      </c>
      <c r="F923" s="291">
        <v>0.18</v>
      </c>
      <c r="G923" s="287"/>
      <c r="H923" s="288">
        <f t="shared" si="33"/>
        <v>2.0499999999999998</v>
      </c>
    </row>
    <row r="924" spans="1:8" s="297" customFormat="1" ht="20.100000000000001" hidden="1" customHeight="1">
      <c r="A924" s="286"/>
      <c r="B924" s="283" t="s">
        <v>3607</v>
      </c>
      <c r="C924" s="284">
        <v>1</v>
      </c>
      <c r="D924" s="284">
        <v>1</v>
      </c>
      <c r="E924" s="288">
        <v>4.8</v>
      </c>
      <c r="F924" s="291">
        <v>0.18</v>
      </c>
      <c r="G924" s="287"/>
      <c r="H924" s="288">
        <f t="shared" si="33"/>
        <v>0.86</v>
      </c>
    </row>
    <row r="925" spans="1:8" s="297" customFormat="1" ht="20.100000000000001" hidden="1" customHeight="1">
      <c r="A925" s="286"/>
      <c r="B925" s="283" t="s">
        <v>3894</v>
      </c>
      <c r="C925" s="284">
        <v>1</v>
      </c>
      <c r="D925" s="284">
        <v>3</v>
      </c>
      <c r="E925" s="288">
        <v>3</v>
      </c>
      <c r="F925" s="291">
        <v>0.18</v>
      </c>
      <c r="G925" s="287"/>
      <c r="H925" s="288">
        <f t="shared" si="33"/>
        <v>1.62</v>
      </c>
    </row>
    <row r="926" spans="1:8" s="297" customFormat="1" ht="20.100000000000001" hidden="1" customHeight="1">
      <c r="A926" s="286"/>
      <c r="B926" s="283" t="s">
        <v>3772</v>
      </c>
      <c r="C926" s="284"/>
      <c r="D926" s="284"/>
      <c r="E926" s="298"/>
      <c r="F926" s="292"/>
      <c r="G926" s="287"/>
      <c r="H926" s="288">
        <f t="shared" si="33"/>
        <v>0</v>
      </c>
    </row>
    <row r="927" spans="1:8" s="297" customFormat="1" ht="20.100000000000001" hidden="1" customHeight="1">
      <c r="A927" s="286"/>
      <c r="B927" s="283" t="s">
        <v>3483</v>
      </c>
      <c r="C927" s="284">
        <v>1</v>
      </c>
      <c r="D927" s="284">
        <v>5</v>
      </c>
      <c r="E927" s="288">
        <v>5.2</v>
      </c>
      <c r="F927" s="291">
        <v>0.18</v>
      </c>
      <c r="G927" s="287"/>
      <c r="H927" s="288">
        <f t="shared" si="33"/>
        <v>4.68</v>
      </c>
    </row>
    <row r="928" spans="1:8" s="297" customFormat="1" ht="20.100000000000001" hidden="1" customHeight="1">
      <c r="A928" s="286"/>
      <c r="B928" s="283" t="s">
        <v>3633</v>
      </c>
      <c r="C928" s="284">
        <v>1</v>
      </c>
      <c r="D928" s="284">
        <v>2</v>
      </c>
      <c r="E928" s="288">
        <v>5.2</v>
      </c>
      <c r="F928" s="291">
        <v>0.18</v>
      </c>
      <c r="G928" s="287"/>
      <c r="H928" s="288">
        <f t="shared" si="33"/>
        <v>1.87</v>
      </c>
    </row>
    <row r="929" spans="1:8" s="297" customFormat="1" ht="20.100000000000001" hidden="1" customHeight="1">
      <c r="A929" s="286"/>
      <c r="B929" s="283" t="s">
        <v>3611</v>
      </c>
      <c r="C929" s="284">
        <v>1</v>
      </c>
      <c r="D929" s="284">
        <v>2</v>
      </c>
      <c r="E929" s="288">
        <v>4.95</v>
      </c>
      <c r="F929" s="291">
        <v>0.1</v>
      </c>
      <c r="G929" s="287"/>
      <c r="H929" s="288">
        <f t="shared" si="33"/>
        <v>0.99</v>
      </c>
    </row>
    <row r="930" spans="1:8" s="297" customFormat="1" ht="20.100000000000001" hidden="1" customHeight="1">
      <c r="A930" s="286"/>
      <c r="B930" s="283" t="s">
        <v>3895</v>
      </c>
      <c r="C930" s="284">
        <v>1</v>
      </c>
      <c r="D930" s="284">
        <v>2</v>
      </c>
      <c r="E930" s="288">
        <v>2.7</v>
      </c>
      <c r="F930" s="291">
        <v>0.1</v>
      </c>
      <c r="G930" s="287"/>
      <c r="H930" s="288">
        <f t="shared" si="33"/>
        <v>0.54</v>
      </c>
    </row>
    <row r="931" spans="1:8" s="297" customFormat="1" ht="20.100000000000001" hidden="1" customHeight="1">
      <c r="A931" s="286"/>
      <c r="B931" s="283" t="s">
        <v>3606</v>
      </c>
      <c r="C931" s="284">
        <v>1</v>
      </c>
      <c r="D931" s="284">
        <v>2</v>
      </c>
      <c r="E931" s="288">
        <v>6.3</v>
      </c>
      <c r="F931" s="291">
        <v>0.18</v>
      </c>
      <c r="G931" s="287"/>
      <c r="H931" s="288">
        <f t="shared" si="33"/>
        <v>2.27</v>
      </c>
    </row>
    <row r="932" spans="1:8" s="297" customFormat="1" ht="18" hidden="1" customHeight="1">
      <c r="A932" s="286"/>
      <c r="B932" s="283" t="s">
        <v>3642</v>
      </c>
      <c r="C932" s="284">
        <v>1</v>
      </c>
      <c r="D932" s="284">
        <v>3</v>
      </c>
      <c r="E932" s="288">
        <v>5.4</v>
      </c>
      <c r="F932" s="291">
        <v>0.18</v>
      </c>
      <c r="G932" s="287"/>
      <c r="H932" s="288">
        <f t="shared" si="33"/>
        <v>2.92</v>
      </c>
    </row>
    <row r="933" spans="1:8" s="297" customFormat="1" ht="20.100000000000001" hidden="1" customHeight="1">
      <c r="A933" s="286"/>
      <c r="B933" s="283" t="s">
        <v>3605</v>
      </c>
      <c r="C933" s="284">
        <v>1</v>
      </c>
      <c r="D933" s="284">
        <v>4</v>
      </c>
      <c r="E933" s="288">
        <v>5.7</v>
      </c>
      <c r="F933" s="291">
        <v>0.18</v>
      </c>
      <c r="G933" s="287"/>
      <c r="H933" s="288">
        <f t="shared" si="33"/>
        <v>4.0999999999999996</v>
      </c>
    </row>
    <row r="934" spans="1:8" s="297" customFormat="1" ht="20.100000000000001" hidden="1" customHeight="1">
      <c r="A934" s="286"/>
      <c r="B934" s="283" t="s">
        <v>3632</v>
      </c>
      <c r="C934" s="284">
        <v>1</v>
      </c>
      <c r="D934" s="284">
        <v>1</v>
      </c>
      <c r="E934" s="288">
        <v>6.3</v>
      </c>
      <c r="F934" s="291">
        <v>0.18</v>
      </c>
      <c r="G934" s="287"/>
      <c r="H934" s="288">
        <f t="shared" si="33"/>
        <v>1.1299999999999999</v>
      </c>
    </row>
    <row r="935" spans="1:8" s="297" customFormat="1" ht="20.100000000000001" hidden="1" customHeight="1">
      <c r="A935" s="286"/>
      <c r="B935" s="283" t="s">
        <v>3896</v>
      </c>
      <c r="C935" s="284">
        <v>1</v>
      </c>
      <c r="D935" s="284">
        <v>2</v>
      </c>
      <c r="E935" s="288">
        <v>3.9</v>
      </c>
      <c r="F935" s="291">
        <v>0.18</v>
      </c>
      <c r="G935" s="287"/>
      <c r="H935" s="288">
        <f t="shared" si="33"/>
        <v>1.4</v>
      </c>
    </row>
    <row r="936" spans="1:8" s="297" customFormat="1" ht="20.100000000000001" hidden="1" customHeight="1">
      <c r="A936" s="286"/>
      <c r="B936" s="283" t="s">
        <v>3897</v>
      </c>
      <c r="C936" s="284">
        <v>1</v>
      </c>
      <c r="D936" s="284">
        <v>2</v>
      </c>
      <c r="E936" s="288">
        <v>2.7</v>
      </c>
      <c r="F936" s="291">
        <v>0.18</v>
      </c>
      <c r="G936" s="287"/>
      <c r="H936" s="288">
        <f t="shared" si="33"/>
        <v>0.97</v>
      </c>
    </row>
    <row r="937" spans="1:8" s="297" customFormat="1" ht="20.100000000000001" hidden="1" customHeight="1">
      <c r="A937" s="286"/>
      <c r="B937" s="283" t="s">
        <v>3898</v>
      </c>
      <c r="C937" s="284">
        <v>1</v>
      </c>
      <c r="D937" s="284">
        <v>1</v>
      </c>
      <c r="E937" s="288">
        <v>3.9</v>
      </c>
      <c r="F937" s="291">
        <v>0.18</v>
      </c>
      <c r="G937" s="287"/>
      <c r="H937" s="288">
        <f t="shared" si="33"/>
        <v>0.7</v>
      </c>
    </row>
    <row r="938" spans="1:8" s="297" customFormat="1" ht="20.100000000000001" hidden="1" customHeight="1">
      <c r="A938" s="286"/>
      <c r="B938" s="283" t="s">
        <v>3773</v>
      </c>
      <c r="C938" s="284"/>
      <c r="D938" s="284"/>
      <c r="E938" s="288"/>
      <c r="F938" s="291"/>
      <c r="G938" s="287"/>
      <c r="H938" s="288">
        <f t="shared" si="33"/>
        <v>0</v>
      </c>
    </row>
    <row r="939" spans="1:8" s="297" customFormat="1" ht="20.100000000000001" hidden="1" customHeight="1">
      <c r="A939" s="286"/>
      <c r="B939" s="283" t="s">
        <v>3483</v>
      </c>
      <c r="C939" s="284">
        <v>1</v>
      </c>
      <c r="D939" s="284">
        <v>6</v>
      </c>
      <c r="E939" s="288">
        <v>5.2</v>
      </c>
      <c r="F939" s="291">
        <v>0.18</v>
      </c>
      <c r="G939" s="287"/>
      <c r="H939" s="288">
        <f t="shared" si="33"/>
        <v>5.62</v>
      </c>
    </row>
    <row r="940" spans="1:8" s="297" customFormat="1" ht="20.100000000000001" hidden="1" customHeight="1">
      <c r="A940" s="286"/>
      <c r="B940" s="283" t="s">
        <v>3611</v>
      </c>
      <c r="C940" s="284">
        <v>1</v>
      </c>
      <c r="D940" s="284">
        <v>6</v>
      </c>
      <c r="E940" s="288">
        <v>4.95</v>
      </c>
      <c r="F940" s="291">
        <v>0.1</v>
      </c>
      <c r="G940" s="287"/>
      <c r="H940" s="288">
        <f t="shared" si="33"/>
        <v>2.97</v>
      </c>
    </row>
    <row r="941" spans="1:8" s="297" customFormat="1" ht="20.100000000000001" hidden="1" customHeight="1">
      <c r="A941" s="286"/>
      <c r="B941" s="283" t="s">
        <v>3606</v>
      </c>
      <c r="C941" s="284">
        <v>1</v>
      </c>
      <c r="D941" s="284">
        <v>1</v>
      </c>
      <c r="E941" s="288">
        <v>6.3</v>
      </c>
      <c r="F941" s="291">
        <v>0.18</v>
      </c>
      <c r="G941" s="287"/>
      <c r="H941" s="288">
        <f t="shared" si="33"/>
        <v>1.1299999999999999</v>
      </c>
    </row>
    <row r="942" spans="1:8" s="297" customFormat="1" ht="20.100000000000001" hidden="1" customHeight="1">
      <c r="A942" s="286"/>
      <c r="B942" s="283" t="s">
        <v>3642</v>
      </c>
      <c r="C942" s="284">
        <v>1</v>
      </c>
      <c r="D942" s="284">
        <v>7</v>
      </c>
      <c r="E942" s="288">
        <v>5.4</v>
      </c>
      <c r="F942" s="291">
        <v>0.18</v>
      </c>
      <c r="G942" s="287"/>
      <c r="H942" s="288">
        <f t="shared" si="33"/>
        <v>6.8</v>
      </c>
    </row>
    <row r="943" spans="1:8" s="297" customFormat="1" ht="20.100000000000001" hidden="1" customHeight="1">
      <c r="A943" s="286"/>
      <c r="B943" s="283" t="s">
        <v>3605</v>
      </c>
      <c r="C943" s="284">
        <v>1</v>
      </c>
      <c r="D943" s="284">
        <v>4</v>
      </c>
      <c r="E943" s="288">
        <v>5.7</v>
      </c>
      <c r="F943" s="291">
        <v>0.18</v>
      </c>
      <c r="G943" s="287"/>
      <c r="H943" s="288">
        <f t="shared" si="33"/>
        <v>4.0999999999999996</v>
      </c>
    </row>
    <row r="944" spans="1:8" s="297" customFormat="1" ht="20.100000000000001" hidden="1" customHeight="1">
      <c r="A944" s="286"/>
      <c r="B944" s="283" t="s">
        <v>3632</v>
      </c>
      <c r="C944" s="284">
        <v>1</v>
      </c>
      <c r="D944" s="284">
        <v>1</v>
      </c>
      <c r="E944" s="288">
        <v>6.3</v>
      </c>
      <c r="F944" s="291">
        <v>0.18</v>
      </c>
      <c r="G944" s="287"/>
      <c r="H944" s="288">
        <f t="shared" ref="H944:H949" si="34">ROUND(PRODUCT(C944:G944),2)</f>
        <v>1.1299999999999999</v>
      </c>
    </row>
    <row r="945" spans="1:10" s="297" customFormat="1" ht="20.100000000000001" hidden="1" customHeight="1">
      <c r="A945" s="286"/>
      <c r="B945" s="283" t="s">
        <v>3897</v>
      </c>
      <c r="C945" s="284">
        <v>1</v>
      </c>
      <c r="D945" s="284">
        <v>7</v>
      </c>
      <c r="E945" s="288">
        <v>2.7</v>
      </c>
      <c r="F945" s="291">
        <v>0.18</v>
      </c>
      <c r="G945" s="287"/>
      <c r="H945" s="288">
        <f t="shared" si="34"/>
        <v>3.4</v>
      </c>
    </row>
    <row r="946" spans="1:10" s="297" customFormat="1" ht="20.100000000000001" hidden="1" customHeight="1">
      <c r="A946" s="286"/>
      <c r="B946" s="283" t="s">
        <v>3774</v>
      </c>
      <c r="C946" s="284"/>
      <c r="D946" s="284"/>
      <c r="E946" s="288"/>
      <c r="F946" s="291"/>
      <c r="G946" s="287"/>
      <c r="H946" s="288">
        <f t="shared" si="34"/>
        <v>0</v>
      </c>
    </row>
    <row r="947" spans="1:10" s="297" customFormat="1" ht="20.100000000000001" hidden="1" customHeight="1">
      <c r="A947" s="286"/>
      <c r="B947" s="283" t="s">
        <v>3483</v>
      </c>
      <c r="C947" s="284">
        <v>1</v>
      </c>
      <c r="D947" s="284">
        <v>1</v>
      </c>
      <c r="E947" s="288">
        <v>5.2</v>
      </c>
      <c r="F947" s="291">
        <v>0.18</v>
      </c>
      <c r="G947" s="287"/>
      <c r="H947" s="288">
        <f t="shared" si="34"/>
        <v>0.94</v>
      </c>
    </row>
    <row r="948" spans="1:10" s="297" customFormat="1" ht="20.100000000000001" hidden="1" customHeight="1">
      <c r="A948" s="286"/>
      <c r="B948" s="283" t="s">
        <v>3632</v>
      </c>
      <c r="C948" s="284">
        <v>1</v>
      </c>
      <c r="D948" s="284">
        <v>1</v>
      </c>
      <c r="E948" s="288">
        <v>6.3</v>
      </c>
      <c r="F948" s="291">
        <v>0.18</v>
      </c>
      <c r="G948" s="287"/>
      <c r="H948" s="288">
        <f t="shared" si="34"/>
        <v>1.1299999999999999</v>
      </c>
    </row>
    <row r="949" spans="1:10" s="297" customFormat="1" ht="20.100000000000001" hidden="1" customHeight="1">
      <c r="A949" s="286"/>
      <c r="B949" s="283" t="s">
        <v>3605</v>
      </c>
      <c r="C949" s="284">
        <v>1</v>
      </c>
      <c r="D949" s="284">
        <v>1</v>
      </c>
      <c r="E949" s="288">
        <v>5.7</v>
      </c>
      <c r="F949" s="291">
        <v>0.18</v>
      </c>
      <c r="G949" s="287"/>
      <c r="H949" s="288">
        <f t="shared" si="34"/>
        <v>1.03</v>
      </c>
    </row>
    <row r="950" spans="1:10" s="297" customFormat="1" ht="20.100000000000001" hidden="1" customHeight="1">
      <c r="A950" s="295"/>
      <c r="B950" s="299" t="s">
        <v>3605</v>
      </c>
      <c r="C950" s="284">
        <v>1</v>
      </c>
      <c r="D950" s="284">
        <v>1</v>
      </c>
      <c r="E950" s="288">
        <f>(1.5+1.35)*2</f>
        <v>5.7</v>
      </c>
      <c r="F950" s="291">
        <v>0.18</v>
      </c>
      <c r="G950" s="287"/>
      <c r="H950" s="288">
        <f>ROUND(PRODUCT(C950:G950),2)</f>
        <v>1.03</v>
      </c>
    </row>
    <row r="951" spans="1:10" s="297" customFormat="1" ht="20.100000000000001" hidden="1" customHeight="1">
      <c r="A951" s="295"/>
      <c r="B951" s="299"/>
      <c r="C951" s="300"/>
      <c r="D951" s="300"/>
      <c r="E951" s="296"/>
      <c r="F951" s="295"/>
      <c r="G951" s="287"/>
      <c r="H951" s="296">
        <f>I952-I951</f>
        <v>0.08</v>
      </c>
      <c r="I951" s="297">
        <f>SUM(H750:H950)</f>
        <v>1538.82</v>
      </c>
    </row>
    <row r="952" spans="1:10" s="297" customFormat="1" ht="20.100000000000001" hidden="1" customHeight="1">
      <c r="A952" s="295"/>
      <c r="B952" s="299"/>
      <c r="C952" s="300"/>
      <c r="D952" s="300"/>
      <c r="E952" s="296"/>
      <c r="F952" s="295"/>
      <c r="G952" s="287" t="s">
        <v>1827</v>
      </c>
      <c r="H952" s="296">
        <f>+I952</f>
        <v>1538.9</v>
      </c>
      <c r="I952" s="297">
        <f>ROUNDUP(I951,1)</f>
        <v>1538.9</v>
      </c>
    </row>
    <row r="953" spans="1:10" s="306" customFormat="1" ht="20.100000000000001" hidden="1" customHeight="1">
      <c r="A953" s="301"/>
      <c r="B953" s="301" t="s">
        <v>3899</v>
      </c>
      <c r="C953" s="302"/>
      <c r="D953" s="303"/>
      <c r="E953" s="303" t="s">
        <v>3900</v>
      </c>
      <c r="F953" s="301" t="s">
        <v>2560</v>
      </c>
      <c r="G953" s="304">
        <f>H952</f>
        <v>1538.9</v>
      </c>
      <c r="H953" s="305" t="s">
        <v>1861</v>
      </c>
      <c r="I953" s="306">
        <f>2063.3-678.6</f>
        <v>1384.7</v>
      </c>
      <c r="J953" s="306">
        <f>G953-I953</f>
        <v>154.19999999999999</v>
      </c>
    </row>
    <row r="954" spans="1:10" s="289" customFormat="1" ht="20.100000000000001" hidden="1" customHeight="1">
      <c r="A954" s="286"/>
      <c r="B954" s="277" t="s">
        <v>3901</v>
      </c>
      <c r="C954" s="284"/>
      <c r="D954" s="284"/>
      <c r="E954" s="285"/>
      <c r="F954" s="286"/>
      <c r="G954" s="287"/>
      <c r="H954" s="288"/>
    </row>
    <row r="955" spans="1:10" s="289" customFormat="1" ht="20.100000000000001" hidden="1" customHeight="1">
      <c r="A955" s="286"/>
      <c r="B955" s="283" t="s">
        <v>3902</v>
      </c>
      <c r="C955" s="284">
        <v>1</v>
      </c>
      <c r="D955" s="284">
        <v>1</v>
      </c>
      <c r="E955" s="288">
        <v>53.8</v>
      </c>
      <c r="F955" s="286"/>
      <c r="G955" s="290">
        <v>12.6</v>
      </c>
      <c r="H955" s="288">
        <f t="shared" ref="H955:H1018" si="35">ROUND(PRODUCT(C955:G955),2)</f>
        <v>677.88</v>
      </c>
      <c r="I955" s="289">
        <f>0.9+(2.85*4)+1.2</f>
        <v>13.5</v>
      </c>
    </row>
    <row r="956" spans="1:10" s="289" customFormat="1" ht="20.100000000000001" hidden="1" customHeight="1">
      <c r="A956" s="286"/>
      <c r="B956" s="283" t="s">
        <v>3903</v>
      </c>
      <c r="C956" s="284">
        <v>1</v>
      </c>
      <c r="D956" s="284">
        <v>1</v>
      </c>
      <c r="E956" s="288">
        <v>50.02</v>
      </c>
      <c r="F956" s="286">
        <v>0.23</v>
      </c>
      <c r="G956" s="287"/>
      <c r="H956" s="288">
        <f t="shared" si="35"/>
        <v>11.5</v>
      </c>
    </row>
    <row r="957" spans="1:10" s="289" customFormat="1" ht="34.9" hidden="1" customHeight="1">
      <c r="A957" s="286"/>
      <c r="B957" s="283" t="s">
        <v>3904</v>
      </c>
      <c r="C957" s="284"/>
      <c r="D957" s="284"/>
      <c r="E957" s="288"/>
      <c r="F957" s="291"/>
      <c r="G957" s="287"/>
      <c r="H957" s="288">
        <f t="shared" si="35"/>
        <v>0</v>
      </c>
    </row>
    <row r="958" spans="1:10" s="289" customFormat="1" ht="20.100000000000001" hidden="1" customHeight="1">
      <c r="A958" s="286"/>
      <c r="B958" s="283" t="s">
        <v>3499</v>
      </c>
      <c r="C958" s="284">
        <v>1</v>
      </c>
      <c r="D958" s="284">
        <v>5</v>
      </c>
      <c r="E958" s="288">
        <f>(0.23+0.38)*2</f>
        <v>1.22</v>
      </c>
      <c r="F958" s="291"/>
      <c r="G958" s="290">
        <f>G962</f>
        <v>2.85</v>
      </c>
      <c r="H958" s="288">
        <f t="shared" si="35"/>
        <v>17.39</v>
      </c>
    </row>
    <row r="959" spans="1:10" s="289" customFormat="1" ht="20.100000000000001" hidden="1" customHeight="1">
      <c r="A959" s="286"/>
      <c r="B959" s="283" t="s">
        <v>3905</v>
      </c>
      <c r="C959" s="284">
        <v>1</v>
      </c>
      <c r="D959" s="284">
        <v>4</v>
      </c>
      <c r="E959" s="288">
        <f>(0.23+0.45)*2</f>
        <v>1.36</v>
      </c>
      <c r="F959" s="291"/>
      <c r="G959" s="290">
        <f>G958</f>
        <v>2.85</v>
      </c>
      <c r="H959" s="288">
        <f t="shared" si="35"/>
        <v>15.5</v>
      </c>
    </row>
    <row r="960" spans="1:10" s="289" customFormat="1" ht="34.9" hidden="1" customHeight="1">
      <c r="A960" s="286"/>
      <c r="B960" s="283" t="s">
        <v>3906</v>
      </c>
      <c r="C960" s="284">
        <v>1</v>
      </c>
      <c r="D960" s="284">
        <v>1</v>
      </c>
      <c r="E960" s="288">
        <f>(7.14+2.86)*2</f>
        <v>20</v>
      </c>
      <c r="F960" s="291"/>
      <c r="G960" s="290">
        <v>3</v>
      </c>
      <c r="H960" s="288">
        <f t="shared" si="35"/>
        <v>60</v>
      </c>
    </row>
    <row r="961" spans="1:8" s="289" customFormat="1" ht="20.100000000000001" hidden="1" customHeight="1">
      <c r="A961" s="286"/>
      <c r="B961" s="283" t="s">
        <v>3907</v>
      </c>
      <c r="C961" s="284"/>
      <c r="D961" s="284"/>
      <c r="E961" s="288"/>
      <c r="F961" s="291"/>
      <c r="G961" s="287"/>
      <c r="H961" s="288">
        <f t="shared" si="35"/>
        <v>0</v>
      </c>
    </row>
    <row r="962" spans="1:8" s="289" customFormat="1" ht="20.100000000000001" hidden="1" customHeight="1">
      <c r="A962" s="286"/>
      <c r="B962" s="283" t="s">
        <v>3908</v>
      </c>
      <c r="C962" s="284">
        <v>1</v>
      </c>
      <c r="D962" s="284">
        <v>-1</v>
      </c>
      <c r="E962" s="288">
        <f>15.18+4.35+0.23+11.72+3+0.23</f>
        <v>34.71</v>
      </c>
      <c r="F962" s="291"/>
      <c r="G962" s="290">
        <f>3.3-0.45</f>
        <v>2.85</v>
      </c>
      <c r="H962" s="288">
        <f t="shared" si="35"/>
        <v>-98.92</v>
      </c>
    </row>
    <row r="963" spans="1:8" s="289" customFormat="1" ht="20.100000000000001" hidden="1" customHeight="1">
      <c r="A963" s="286"/>
      <c r="B963" s="283" t="s">
        <v>3909</v>
      </c>
      <c r="C963" s="284">
        <v>1</v>
      </c>
      <c r="D963" s="284">
        <v>-1</v>
      </c>
      <c r="E963" s="288">
        <v>2.1</v>
      </c>
      <c r="F963" s="291"/>
      <c r="G963" s="290">
        <v>2.1</v>
      </c>
      <c r="H963" s="288">
        <f t="shared" si="35"/>
        <v>-4.41</v>
      </c>
    </row>
    <row r="964" spans="1:8" s="289" customFormat="1" ht="20.100000000000001" hidden="1" customHeight="1">
      <c r="A964" s="286"/>
      <c r="B964" s="283" t="s">
        <v>3667</v>
      </c>
      <c r="C964" s="284">
        <v>1</v>
      </c>
      <c r="D964" s="284">
        <v>-2</v>
      </c>
      <c r="E964" s="288">
        <v>1.5</v>
      </c>
      <c r="F964" s="291"/>
      <c r="G964" s="290">
        <v>1.35</v>
      </c>
      <c r="H964" s="288">
        <f t="shared" si="35"/>
        <v>-4.05</v>
      </c>
    </row>
    <row r="965" spans="1:8" s="289" customFormat="1" ht="20.100000000000001" hidden="1" customHeight="1">
      <c r="A965" s="286"/>
      <c r="B965" s="283" t="s">
        <v>3666</v>
      </c>
      <c r="C965" s="284">
        <v>1</v>
      </c>
      <c r="D965" s="284">
        <v>-2</v>
      </c>
      <c r="E965" s="288">
        <v>1.35</v>
      </c>
      <c r="F965" s="291"/>
      <c r="G965" s="290">
        <v>1.35</v>
      </c>
      <c r="H965" s="288">
        <f t="shared" si="35"/>
        <v>-3.65</v>
      </c>
    </row>
    <row r="966" spans="1:8" s="289" customFormat="1" ht="20.100000000000001" hidden="1" customHeight="1">
      <c r="A966" s="286"/>
      <c r="B966" s="283" t="s">
        <v>3665</v>
      </c>
      <c r="C966" s="284">
        <v>1</v>
      </c>
      <c r="D966" s="284">
        <v>-2</v>
      </c>
      <c r="E966" s="288">
        <v>0.9</v>
      </c>
      <c r="F966" s="291"/>
      <c r="G966" s="290">
        <v>0.6</v>
      </c>
      <c r="H966" s="288">
        <f t="shared" si="35"/>
        <v>-1.08</v>
      </c>
    </row>
    <row r="967" spans="1:8" s="289" customFormat="1" ht="20.100000000000001" hidden="1" customHeight="1">
      <c r="A967" s="286"/>
      <c r="B967" s="283" t="s">
        <v>3910</v>
      </c>
      <c r="C967" s="284"/>
      <c r="D967" s="284"/>
      <c r="E967" s="288"/>
      <c r="F967" s="291"/>
      <c r="G967" s="287"/>
      <c r="H967" s="288">
        <f t="shared" si="35"/>
        <v>0</v>
      </c>
    </row>
    <row r="968" spans="1:8" s="289" customFormat="1" ht="20.100000000000001" hidden="1" customHeight="1">
      <c r="A968" s="286"/>
      <c r="B968" s="283" t="s">
        <v>3662</v>
      </c>
      <c r="C968" s="284">
        <v>1</v>
      </c>
      <c r="D968" s="284">
        <v>-2</v>
      </c>
      <c r="E968" s="288">
        <v>1.8</v>
      </c>
      <c r="F968" s="291"/>
      <c r="G968" s="290">
        <v>1.35</v>
      </c>
      <c r="H968" s="288">
        <f t="shared" si="35"/>
        <v>-4.8600000000000003</v>
      </c>
    </row>
    <row r="969" spans="1:8" s="289" customFormat="1" ht="20.100000000000001" hidden="1" customHeight="1">
      <c r="A969" s="286"/>
      <c r="B969" s="283" t="s">
        <v>3666</v>
      </c>
      <c r="C969" s="284">
        <v>1</v>
      </c>
      <c r="D969" s="284">
        <v>-3</v>
      </c>
      <c r="E969" s="288">
        <v>1.35</v>
      </c>
      <c r="F969" s="291"/>
      <c r="G969" s="290">
        <v>1.35</v>
      </c>
      <c r="H969" s="288">
        <f t="shared" si="35"/>
        <v>-5.47</v>
      </c>
    </row>
    <row r="970" spans="1:8" s="289" customFormat="1" ht="20.100000000000001" hidden="1" customHeight="1">
      <c r="A970" s="286"/>
      <c r="B970" s="283" t="s">
        <v>3605</v>
      </c>
      <c r="C970" s="284">
        <v>1</v>
      </c>
      <c r="D970" s="284">
        <v>-4</v>
      </c>
      <c r="E970" s="288">
        <v>1.5</v>
      </c>
      <c r="F970" s="291"/>
      <c r="G970" s="290">
        <v>1.35</v>
      </c>
      <c r="H970" s="288">
        <f t="shared" si="35"/>
        <v>-8.1</v>
      </c>
    </row>
    <row r="971" spans="1:8" s="297" customFormat="1" ht="20.100000000000001" hidden="1" customHeight="1">
      <c r="A971" s="295"/>
      <c r="B971" s="299" t="s">
        <v>3632</v>
      </c>
      <c r="C971" s="284">
        <v>1</v>
      </c>
      <c r="D971" s="300">
        <v>-1</v>
      </c>
      <c r="E971" s="288">
        <v>1.8</v>
      </c>
      <c r="F971" s="291"/>
      <c r="G971" s="290">
        <v>1.35</v>
      </c>
      <c r="H971" s="288">
        <f t="shared" si="35"/>
        <v>-2.4300000000000002</v>
      </c>
    </row>
    <row r="972" spans="1:8" s="297" customFormat="1" ht="20.100000000000001" hidden="1" customHeight="1">
      <c r="A972" s="295"/>
      <c r="B972" s="299" t="s">
        <v>3896</v>
      </c>
      <c r="C972" s="284">
        <v>1</v>
      </c>
      <c r="D972" s="300">
        <v>-2</v>
      </c>
      <c r="E972" s="288">
        <v>1.35</v>
      </c>
      <c r="F972" s="291"/>
      <c r="G972" s="290">
        <v>0.6</v>
      </c>
      <c r="H972" s="288">
        <f t="shared" si="35"/>
        <v>-1.62</v>
      </c>
    </row>
    <row r="973" spans="1:8" s="297" customFormat="1" ht="20.100000000000001" hidden="1" customHeight="1">
      <c r="A973" s="295"/>
      <c r="B973" s="299" t="s">
        <v>3897</v>
      </c>
      <c r="C973" s="284">
        <v>1</v>
      </c>
      <c r="D973" s="300">
        <v>-2</v>
      </c>
      <c r="E973" s="288">
        <v>0.75</v>
      </c>
      <c r="F973" s="291"/>
      <c r="G973" s="290">
        <v>0.6</v>
      </c>
      <c r="H973" s="288">
        <f t="shared" si="35"/>
        <v>-0.9</v>
      </c>
    </row>
    <row r="974" spans="1:8" s="297" customFormat="1" ht="20.100000000000001" hidden="1" customHeight="1">
      <c r="A974" s="295"/>
      <c r="B974" s="299" t="s">
        <v>3898</v>
      </c>
      <c r="C974" s="284">
        <v>1</v>
      </c>
      <c r="D974" s="300">
        <v>-1</v>
      </c>
      <c r="E974" s="288">
        <v>1.35</v>
      </c>
      <c r="F974" s="291"/>
      <c r="G974" s="290">
        <v>0.6</v>
      </c>
      <c r="H974" s="288">
        <f t="shared" si="35"/>
        <v>-0.81</v>
      </c>
    </row>
    <row r="975" spans="1:8" s="297" customFormat="1" ht="20.100000000000001" hidden="1" customHeight="1">
      <c r="A975" s="295"/>
      <c r="B975" s="299" t="s">
        <v>3911</v>
      </c>
      <c r="C975" s="300"/>
      <c r="D975" s="300"/>
      <c r="E975" s="296"/>
      <c r="F975" s="295"/>
      <c r="G975" s="287"/>
      <c r="H975" s="288">
        <f t="shared" si="35"/>
        <v>0</v>
      </c>
    </row>
    <row r="976" spans="1:8" s="297" customFormat="1" ht="20.100000000000001" hidden="1" customHeight="1">
      <c r="A976" s="295"/>
      <c r="B976" s="299" t="s">
        <v>3483</v>
      </c>
      <c r="C976" s="284">
        <v>1</v>
      </c>
      <c r="D976" s="300">
        <v>-1</v>
      </c>
      <c r="E976" s="288">
        <v>1</v>
      </c>
      <c r="F976" s="291"/>
      <c r="G976" s="290">
        <v>2.1</v>
      </c>
      <c r="H976" s="288">
        <f t="shared" si="35"/>
        <v>-2.1</v>
      </c>
    </row>
    <row r="977" spans="1:9" s="297" customFormat="1" ht="20.100000000000001" hidden="1" customHeight="1">
      <c r="A977" s="295"/>
      <c r="B977" s="299" t="s">
        <v>3632</v>
      </c>
      <c r="C977" s="284">
        <v>1</v>
      </c>
      <c r="D977" s="300">
        <v>1</v>
      </c>
      <c r="E977" s="288">
        <v>1.8</v>
      </c>
      <c r="F977" s="291"/>
      <c r="G977" s="290">
        <v>1.35</v>
      </c>
      <c r="H977" s="288">
        <f t="shared" si="35"/>
        <v>2.4300000000000002</v>
      </c>
    </row>
    <row r="978" spans="1:9" s="297" customFormat="1" ht="20.100000000000001" hidden="1" customHeight="1">
      <c r="A978" s="295"/>
      <c r="B978" s="299" t="s">
        <v>3605</v>
      </c>
      <c r="C978" s="284">
        <v>1</v>
      </c>
      <c r="D978" s="284">
        <v>1</v>
      </c>
      <c r="E978" s="288">
        <v>1.5</v>
      </c>
      <c r="F978" s="291"/>
      <c r="G978" s="290">
        <v>1.35</v>
      </c>
      <c r="H978" s="288">
        <f t="shared" si="35"/>
        <v>2.0299999999999998</v>
      </c>
    </row>
    <row r="979" spans="1:9" s="297" customFormat="1" ht="20.100000000000001" hidden="1" customHeight="1">
      <c r="A979" s="295"/>
      <c r="B979" s="299" t="s">
        <v>3912</v>
      </c>
      <c r="C979" s="284"/>
      <c r="D979" s="284"/>
      <c r="E979" s="288"/>
      <c r="F979" s="291"/>
      <c r="G979" s="287"/>
      <c r="H979" s="288">
        <f t="shared" si="35"/>
        <v>0</v>
      </c>
    </row>
    <row r="980" spans="1:9" s="297" customFormat="1" ht="20.100000000000001" hidden="1" customHeight="1">
      <c r="A980" s="295"/>
      <c r="B980" s="299" t="s">
        <v>3771</v>
      </c>
      <c r="C980" s="300"/>
      <c r="D980" s="300"/>
      <c r="E980" s="307"/>
      <c r="F980" s="290"/>
      <c r="G980" s="287"/>
      <c r="H980" s="288">
        <f t="shared" si="35"/>
        <v>0</v>
      </c>
      <c r="I980" s="308"/>
    </row>
    <row r="981" spans="1:9" s="297" customFormat="1" ht="20.100000000000001" hidden="1" customHeight="1">
      <c r="A981" s="295"/>
      <c r="B981" s="299" t="s">
        <v>3913</v>
      </c>
      <c r="C981" s="300">
        <v>1</v>
      </c>
      <c r="D981" s="300">
        <v>2</v>
      </c>
      <c r="E981" s="307">
        <f>1.5+0.46</f>
        <v>1.96</v>
      </c>
      <c r="F981" s="290">
        <v>0.6</v>
      </c>
      <c r="G981" s="287"/>
      <c r="H981" s="288">
        <f t="shared" si="35"/>
        <v>2.35</v>
      </c>
      <c r="I981" s="308"/>
    </row>
    <row r="982" spans="1:9" s="297" customFormat="1" ht="20.100000000000001" hidden="1" customHeight="1">
      <c r="A982" s="295"/>
      <c r="B982" s="299" t="s">
        <v>3914</v>
      </c>
      <c r="C982" s="300">
        <v>1</v>
      </c>
      <c r="D982" s="300">
        <v>1</v>
      </c>
      <c r="E982" s="307">
        <v>3.46</v>
      </c>
      <c r="F982" s="290">
        <v>0.6</v>
      </c>
      <c r="G982" s="287"/>
      <c r="H982" s="288">
        <f t="shared" si="35"/>
        <v>2.08</v>
      </c>
      <c r="I982" s="308"/>
    </row>
    <row r="983" spans="1:9" s="297" customFormat="1" ht="20.100000000000001" hidden="1" customHeight="1">
      <c r="A983" s="295"/>
      <c r="B983" s="299" t="s">
        <v>3772</v>
      </c>
      <c r="C983" s="300"/>
      <c r="D983" s="300"/>
      <c r="E983" s="307"/>
      <c r="F983" s="290"/>
      <c r="G983" s="287"/>
      <c r="H983" s="288">
        <f t="shared" si="35"/>
        <v>0</v>
      </c>
      <c r="I983" s="308"/>
    </row>
    <row r="984" spans="1:9" s="297" customFormat="1" ht="20.100000000000001" hidden="1" customHeight="1">
      <c r="A984" s="295"/>
      <c r="B984" s="299" t="s">
        <v>3915</v>
      </c>
      <c r="C984" s="300">
        <v>1</v>
      </c>
      <c r="D984" s="300">
        <v>4</v>
      </c>
      <c r="E984" s="307">
        <f>1.5+0.46</f>
        <v>1.96</v>
      </c>
      <c r="F984" s="290">
        <v>0.6</v>
      </c>
      <c r="G984" s="287"/>
      <c r="H984" s="288">
        <f t="shared" si="35"/>
        <v>4.7</v>
      </c>
      <c r="I984" s="308"/>
    </row>
    <row r="985" spans="1:9" s="297" customFormat="1" ht="20.100000000000001" hidden="1" customHeight="1">
      <c r="A985" s="295"/>
      <c r="B985" s="299" t="s">
        <v>3916</v>
      </c>
      <c r="C985" s="300">
        <v>1</v>
      </c>
      <c r="D985" s="300">
        <v>2</v>
      </c>
      <c r="E985" s="307">
        <f>1.8+0.46</f>
        <v>2.2599999999999998</v>
      </c>
      <c r="F985" s="290">
        <v>0.6</v>
      </c>
      <c r="G985" s="287"/>
      <c r="H985" s="288">
        <f t="shared" si="35"/>
        <v>2.71</v>
      </c>
      <c r="I985" s="308"/>
    </row>
    <row r="986" spans="1:9" s="297" customFormat="1" ht="20.100000000000001" hidden="1" customHeight="1">
      <c r="A986" s="295"/>
      <c r="B986" s="299" t="s">
        <v>3917</v>
      </c>
      <c r="C986" s="300">
        <v>1</v>
      </c>
      <c r="D986" s="300">
        <v>1</v>
      </c>
      <c r="E986" s="307">
        <f>1.35+0.46</f>
        <v>1.81</v>
      </c>
      <c r="F986" s="290">
        <v>0.6</v>
      </c>
      <c r="G986" s="287"/>
      <c r="H986" s="288">
        <f t="shared" si="35"/>
        <v>1.0900000000000001</v>
      </c>
      <c r="I986" s="308"/>
    </row>
    <row r="987" spans="1:9" s="297" customFormat="1" ht="20.100000000000001" hidden="1" customHeight="1">
      <c r="A987" s="295"/>
      <c r="B987" s="299" t="s">
        <v>3918</v>
      </c>
      <c r="C987" s="300">
        <v>1</v>
      </c>
      <c r="D987" s="300">
        <v>1</v>
      </c>
      <c r="E987" s="307">
        <v>3.46</v>
      </c>
      <c r="F987" s="290">
        <v>0.6</v>
      </c>
      <c r="G987" s="287"/>
      <c r="H987" s="288">
        <f t="shared" si="35"/>
        <v>2.08</v>
      </c>
      <c r="I987" s="308"/>
    </row>
    <row r="988" spans="1:9" s="297" customFormat="1" ht="20.100000000000001" hidden="1" customHeight="1">
      <c r="A988" s="295"/>
      <c r="B988" s="299" t="s">
        <v>3632</v>
      </c>
      <c r="C988" s="300">
        <v>1</v>
      </c>
      <c r="D988" s="300">
        <v>1</v>
      </c>
      <c r="E988" s="307">
        <f>1.8+0.46</f>
        <v>2.2599999999999998</v>
      </c>
      <c r="F988" s="290">
        <v>0.6</v>
      </c>
      <c r="G988" s="287"/>
      <c r="H988" s="288">
        <f t="shared" si="35"/>
        <v>1.36</v>
      </c>
      <c r="I988" s="308"/>
    </row>
    <row r="989" spans="1:9" s="297" customFormat="1" ht="20.100000000000001" hidden="1" customHeight="1">
      <c r="A989" s="295"/>
      <c r="B989" s="299" t="s">
        <v>3773</v>
      </c>
      <c r="C989" s="300"/>
      <c r="D989" s="300"/>
      <c r="E989" s="307"/>
      <c r="F989" s="290"/>
      <c r="G989" s="287"/>
      <c r="H989" s="288">
        <f t="shared" si="35"/>
        <v>0</v>
      </c>
      <c r="I989" s="308"/>
    </row>
    <row r="990" spans="1:9" s="297" customFormat="1" ht="20.100000000000001" hidden="1" customHeight="1">
      <c r="A990" s="295"/>
      <c r="B990" s="299" t="s">
        <v>3919</v>
      </c>
      <c r="C990" s="300">
        <v>1</v>
      </c>
      <c r="D990" s="300">
        <v>4</v>
      </c>
      <c r="E990" s="307">
        <f>1.5+0.46</f>
        <v>1.96</v>
      </c>
      <c r="F990" s="290">
        <v>0.6</v>
      </c>
      <c r="G990" s="287"/>
      <c r="H990" s="288">
        <f t="shared" si="35"/>
        <v>4.7</v>
      </c>
      <c r="I990" s="308"/>
    </row>
    <row r="991" spans="1:9" s="297" customFormat="1" ht="20.100000000000001" hidden="1" customHeight="1">
      <c r="A991" s="295"/>
      <c r="B991" s="299" t="s">
        <v>3920</v>
      </c>
      <c r="C991" s="300">
        <v>1</v>
      </c>
      <c r="D991" s="300">
        <v>1</v>
      </c>
      <c r="E991" s="307">
        <f>1.8+0.46</f>
        <v>2.2599999999999998</v>
      </c>
      <c r="F991" s="290">
        <v>0.6</v>
      </c>
      <c r="G991" s="287"/>
      <c r="H991" s="288">
        <f t="shared" si="35"/>
        <v>1.36</v>
      </c>
      <c r="I991" s="308"/>
    </row>
    <row r="992" spans="1:9" s="297" customFormat="1" ht="20.100000000000001" hidden="1" customHeight="1">
      <c r="A992" s="295"/>
      <c r="B992" s="299" t="s">
        <v>3632</v>
      </c>
      <c r="C992" s="300">
        <v>1</v>
      </c>
      <c r="D992" s="300">
        <v>1</v>
      </c>
      <c r="E992" s="307">
        <f>1.8+0.46</f>
        <v>2.2599999999999998</v>
      </c>
      <c r="F992" s="290">
        <v>0.6</v>
      </c>
      <c r="G992" s="287"/>
      <c r="H992" s="288">
        <f t="shared" si="35"/>
        <v>1.36</v>
      </c>
      <c r="I992" s="308"/>
    </row>
    <row r="993" spans="1:9" s="297" customFormat="1" ht="20.100000000000001" hidden="1" customHeight="1">
      <c r="A993" s="295"/>
      <c r="B993" s="299" t="s">
        <v>3921</v>
      </c>
      <c r="C993" s="300">
        <v>1</v>
      </c>
      <c r="D993" s="300">
        <v>3</v>
      </c>
      <c r="E993" s="307">
        <f>1.35+0.46</f>
        <v>1.81</v>
      </c>
      <c r="F993" s="290">
        <v>0.6</v>
      </c>
      <c r="G993" s="287"/>
      <c r="H993" s="288">
        <f t="shared" si="35"/>
        <v>3.26</v>
      </c>
      <c r="I993" s="308"/>
    </row>
    <row r="994" spans="1:9" s="297" customFormat="1" ht="20.100000000000001" hidden="1" customHeight="1">
      <c r="A994" s="295"/>
      <c r="B994" s="299" t="s">
        <v>3922</v>
      </c>
      <c r="C994" s="300">
        <v>1</v>
      </c>
      <c r="D994" s="300">
        <v>1</v>
      </c>
      <c r="E994" s="307">
        <v>3.76</v>
      </c>
      <c r="F994" s="290">
        <v>0.6</v>
      </c>
      <c r="G994" s="287"/>
      <c r="H994" s="288">
        <f t="shared" si="35"/>
        <v>2.2599999999999998</v>
      </c>
      <c r="I994" s="308"/>
    </row>
    <row r="995" spans="1:9" s="297" customFormat="1" ht="34.9" hidden="1" customHeight="1">
      <c r="A995" s="295"/>
      <c r="B995" s="299" t="s">
        <v>3923</v>
      </c>
      <c r="C995" s="300">
        <v>1</v>
      </c>
      <c r="D995" s="300">
        <v>1</v>
      </c>
      <c r="E995" s="307">
        <v>3.61</v>
      </c>
      <c r="F995" s="290">
        <v>0.6</v>
      </c>
      <c r="G995" s="287"/>
      <c r="H995" s="288">
        <f t="shared" si="35"/>
        <v>2.17</v>
      </c>
      <c r="I995" s="308"/>
    </row>
    <row r="996" spans="1:9" s="297" customFormat="1" ht="20.100000000000001" hidden="1" customHeight="1">
      <c r="A996" s="295"/>
      <c r="B996" s="299" t="s">
        <v>3774</v>
      </c>
      <c r="C996" s="300"/>
      <c r="D996" s="300"/>
      <c r="E996" s="307"/>
      <c r="F996" s="290"/>
      <c r="G996" s="287"/>
      <c r="H996" s="288">
        <f t="shared" si="35"/>
        <v>0</v>
      </c>
    </row>
    <row r="997" spans="1:9" s="297" customFormat="1" ht="20.100000000000001" hidden="1" customHeight="1">
      <c r="A997" s="295"/>
      <c r="B997" s="299" t="s">
        <v>3632</v>
      </c>
      <c r="C997" s="300">
        <v>1</v>
      </c>
      <c r="D997" s="300">
        <v>1</v>
      </c>
      <c r="E997" s="307">
        <f>1.8+0.46</f>
        <v>2.2599999999999998</v>
      </c>
      <c r="F997" s="290">
        <v>0.6</v>
      </c>
      <c r="G997" s="287"/>
      <c r="H997" s="288">
        <f t="shared" si="35"/>
        <v>1.36</v>
      </c>
    </row>
    <row r="998" spans="1:9" s="297" customFormat="1" ht="20.100000000000001" hidden="1" customHeight="1">
      <c r="A998" s="295"/>
      <c r="B998" s="299" t="s">
        <v>3605</v>
      </c>
      <c r="C998" s="300">
        <v>1</v>
      </c>
      <c r="D998" s="300">
        <v>1</v>
      </c>
      <c r="E998" s="307">
        <f>1.5+0.46</f>
        <v>1.96</v>
      </c>
      <c r="F998" s="290">
        <v>0.6</v>
      </c>
      <c r="G998" s="287"/>
      <c r="H998" s="288">
        <f t="shared" si="35"/>
        <v>1.18</v>
      </c>
    </row>
    <row r="999" spans="1:9" s="297" customFormat="1" ht="20.100000000000001" hidden="1" customHeight="1">
      <c r="A999" s="295"/>
      <c r="B999" s="299" t="s">
        <v>3483</v>
      </c>
      <c r="C999" s="300">
        <v>1</v>
      </c>
      <c r="D999" s="300">
        <v>1</v>
      </c>
      <c r="E999" s="307">
        <f>1+0.46</f>
        <v>1.46</v>
      </c>
      <c r="F999" s="290">
        <v>0.6</v>
      </c>
      <c r="G999" s="287"/>
      <c r="H999" s="288">
        <f t="shared" si="35"/>
        <v>0.88</v>
      </c>
    </row>
    <row r="1000" spans="1:9" s="297" customFormat="1" ht="20.100000000000001" hidden="1" customHeight="1">
      <c r="A1000" s="295"/>
      <c r="B1000" s="299" t="s">
        <v>3924</v>
      </c>
      <c r="C1000" s="284"/>
      <c r="D1000" s="284"/>
      <c r="E1000" s="288"/>
      <c r="F1000" s="291"/>
      <c r="G1000" s="287"/>
      <c r="H1000" s="288">
        <f t="shared" si="35"/>
        <v>0</v>
      </c>
    </row>
    <row r="1001" spans="1:9" s="297" customFormat="1" ht="20.100000000000001" hidden="1" customHeight="1">
      <c r="A1001" s="295"/>
      <c r="B1001" s="299" t="s">
        <v>3771</v>
      </c>
      <c r="C1001" s="300"/>
      <c r="D1001" s="300"/>
      <c r="E1001" s="307"/>
      <c r="F1001" s="290"/>
      <c r="G1001" s="287"/>
      <c r="H1001" s="288">
        <f t="shared" si="35"/>
        <v>0</v>
      </c>
      <c r="I1001" s="308"/>
    </row>
    <row r="1002" spans="1:9" s="297" customFormat="1" ht="20.100000000000001" hidden="1" customHeight="1">
      <c r="A1002" s="295"/>
      <c r="B1002" s="299" t="s">
        <v>3913</v>
      </c>
      <c r="C1002" s="300">
        <v>2</v>
      </c>
      <c r="D1002" s="300">
        <v>2</v>
      </c>
      <c r="E1002" s="307">
        <f>1.5+0.46</f>
        <v>1.96</v>
      </c>
      <c r="F1002" s="290"/>
      <c r="G1002" s="309">
        <v>6.25E-2</v>
      </c>
      <c r="H1002" s="288">
        <f t="shared" si="35"/>
        <v>0.49</v>
      </c>
      <c r="I1002" s="308"/>
    </row>
    <row r="1003" spans="1:9" s="297" customFormat="1" ht="20.100000000000001" hidden="1" customHeight="1">
      <c r="A1003" s="295"/>
      <c r="B1003" s="299" t="s">
        <v>3914</v>
      </c>
      <c r="C1003" s="300">
        <v>2</v>
      </c>
      <c r="D1003" s="300">
        <v>1</v>
      </c>
      <c r="E1003" s="307">
        <v>3.46</v>
      </c>
      <c r="F1003" s="290"/>
      <c r="G1003" s="309">
        <v>6.25E-2</v>
      </c>
      <c r="H1003" s="288">
        <f t="shared" si="35"/>
        <v>0.43</v>
      </c>
      <c r="I1003" s="308"/>
    </row>
    <row r="1004" spans="1:9" s="297" customFormat="1" ht="20.100000000000001" hidden="1" customHeight="1">
      <c r="A1004" s="295"/>
      <c r="B1004" s="299" t="s">
        <v>3772</v>
      </c>
      <c r="C1004" s="300"/>
      <c r="D1004" s="300"/>
      <c r="E1004" s="307"/>
      <c r="F1004" s="290"/>
      <c r="G1004" s="287"/>
      <c r="H1004" s="288">
        <f t="shared" si="35"/>
        <v>0</v>
      </c>
      <c r="I1004" s="308"/>
    </row>
    <row r="1005" spans="1:9" s="297" customFormat="1" ht="20.100000000000001" hidden="1" customHeight="1">
      <c r="A1005" s="295"/>
      <c r="B1005" s="299" t="s">
        <v>3925</v>
      </c>
      <c r="C1005" s="300">
        <v>2</v>
      </c>
      <c r="D1005" s="300">
        <v>4</v>
      </c>
      <c r="E1005" s="307">
        <f>1.5+0.46</f>
        <v>1.96</v>
      </c>
      <c r="F1005" s="290"/>
      <c r="G1005" s="309">
        <v>6.25E-2</v>
      </c>
      <c r="H1005" s="288">
        <f t="shared" si="35"/>
        <v>0.98</v>
      </c>
      <c r="I1005" s="308"/>
    </row>
    <row r="1006" spans="1:9" s="297" customFormat="1" ht="20.100000000000001" hidden="1" customHeight="1">
      <c r="A1006" s="295"/>
      <c r="B1006" s="299" t="s">
        <v>3926</v>
      </c>
      <c r="C1006" s="300">
        <v>2</v>
      </c>
      <c r="D1006" s="300">
        <v>2</v>
      </c>
      <c r="E1006" s="307">
        <f>1.8+0.46</f>
        <v>2.2599999999999998</v>
      </c>
      <c r="F1006" s="290"/>
      <c r="G1006" s="309">
        <v>6.25E-2</v>
      </c>
      <c r="H1006" s="288">
        <f t="shared" si="35"/>
        <v>0.56999999999999995</v>
      </c>
      <c r="I1006" s="308"/>
    </row>
    <row r="1007" spans="1:9" s="297" customFormat="1" ht="20.100000000000001" hidden="1" customHeight="1">
      <c r="A1007" s="295"/>
      <c r="B1007" s="299" t="s">
        <v>3917</v>
      </c>
      <c r="C1007" s="300">
        <v>2</v>
      </c>
      <c r="D1007" s="300">
        <v>1</v>
      </c>
      <c r="E1007" s="307">
        <f>1.35+0.46</f>
        <v>1.81</v>
      </c>
      <c r="F1007" s="290"/>
      <c r="G1007" s="309">
        <v>6.25E-2</v>
      </c>
      <c r="H1007" s="288">
        <f t="shared" si="35"/>
        <v>0.23</v>
      </c>
      <c r="I1007" s="308"/>
    </row>
    <row r="1008" spans="1:9" s="297" customFormat="1" ht="20.100000000000001" hidden="1" customHeight="1">
      <c r="A1008" s="295"/>
      <c r="B1008" s="299" t="s">
        <v>3918</v>
      </c>
      <c r="C1008" s="300">
        <v>2</v>
      </c>
      <c r="D1008" s="300">
        <v>1</v>
      </c>
      <c r="E1008" s="307">
        <v>3.46</v>
      </c>
      <c r="F1008" s="290"/>
      <c r="G1008" s="309">
        <v>6.25E-2</v>
      </c>
      <c r="H1008" s="288">
        <f t="shared" si="35"/>
        <v>0.43</v>
      </c>
      <c r="I1008" s="308"/>
    </row>
    <row r="1009" spans="1:9" s="297" customFormat="1" ht="20.100000000000001" hidden="1" customHeight="1">
      <c r="A1009" s="295"/>
      <c r="B1009" s="299" t="s">
        <v>3632</v>
      </c>
      <c r="C1009" s="300">
        <v>2</v>
      </c>
      <c r="D1009" s="300">
        <v>1</v>
      </c>
      <c r="E1009" s="307">
        <f>1.8+0.46</f>
        <v>2.2599999999999998</v>
      </c>
      <c r="F1009" s="290"/>
      <c r="G1009" s="309">
        <v>6.25E-2</v>
      </c>
      <c r="H1009" s="288">
        <f t="shared" si="35"/>
        <v>0.28000000000000003</v>
      </c>
      <c r="I1009" s="308"/>
    </row>
    <row r="1010" spans="1:9" s="297" customFormat="1" ht="20.100000000000001" hidden="1" customHeight="1">
      <c r="A1010" s="295"/>
      <c r="B1010" s="299" t="s">
        <v>3773</v>
      </c>
      <c r="C1010" s="300"/>
      <c r="D1010" s="300"/>
      <c r="E1010" s="307"/>
      <c r="F1010" s="290"/>
      <c r="G1010" s="287"/>
      <c r="H1010" s="288">
        <f t="shared" si="35"/>
        <v>0</v>
      </c>
      <c r="I1010" s="308"/>
    </row>
    <row r="1011" spans="1:9" s="297" customFormat="1" ht="20.100000000000001" hidden="1" customHeight="1">
      <c r="A1011" s="295"/>
      <c r="B1011" s="299" t="s">
        <v>3919</v>
      </c>
      <c r="C1011" s="300">
        <v>2</v>
      </c>
      <c r="D1011" s="300">
        <v>4</v>
      </c>
      <c r="E1011" s="307">
        <f>1.5+0.46</f>
        <v>1.96</v>
      </c>
      <c r="F1011" s="290"/>
      <c r="G1011" s="309">
        <v>6.25E-2</v>
      </c>
      <c r="H1011" s="288">
        <f t="shared" si="35"/>
        <v>0.98</v>
      </c>
      <c r="I1011" s="308"/>
    </row>
    <row r="1012" spans="1:9" s="297" customFormat="1" ht="20.100000000000001" hidden="1" customHeight="1">
      <c r="A1012" s="295"/>
      <c r="B1012" s="299" t="s">
        <v>3606</v>
      </c>
      <c r="C1012" s="300">
        <v>2</v>
      </c>
      <c r="D1012" s="300">
        <v>1</v>
      </c>
      <c r="E1012" s="307">
        <f>1.8+0.46</f>
        <v>2.2599999999999998</v>
      </c>
      <c r="F1012" s="290"/>
      <c r="G1012" s="309">
        <v>6.25E-2</v>
      </c>
      <c r="H1012" s="288">
        <f t="shared" si="35"/>
        <v>0.28000000000000003</v>
      </c>
      <c r="I1012" s="308"/>
    </row>
    <row r="1013" spans="1:9" s="297" customFormat="1" ht="20.100000000000001" hidden="1" customHeight="1">
      <c r="A1013" s="295"/>
      <c r="B1013" s="299" t="s">
        <v>3632</v>
      </c>
      <c r="C1013" s="300">
        <v>2</v>
      </c>
      <c r="D1013" s="300">
        <v>1</v>
      </c>
      <c r="E1013" s="307">
        <f>1.8+0.46</f>
        <v>2.2599999999999998</v>
      </c>
      <c r="F1013" s="290"/>
      <c r="G1013" s="309">
        <v>6.25E-2</v>
      </c>
      <c r="H1013" s="288">
        <f t="shared" si="35"/>
        <v>0.28000000000000003</v>
      </c>
      <c r="I1013" s="308"/>
    </row>
    <row r="1014" spans="1:9" s="297" customFormat="1" ht="20.100000000000001" hidden="1" customHeight="1">
      <c r="A1014" s="295"/>
      <c r="B1014" s="299" t="s">
        <v>3921</v>
      </c>
      <c r="C1014" s="300">
        <v>2</v>
      </c>
      <c r="D1014" s="300">
        <v>3</v>
      </c>
      <c r="E1014" s="307">
        <f>1.35+0.46</f>
        <v>1.81</v>
      </c>
      <c r="F1014" s="290"/>
      <c r="G1014" s="309">
        <v>6.25E-2</v>
      </c>
      <c r="H1014" s="288">
        <f t="shared" si="35"/>
        <v>0.68</v>
      </c>
      <c r="I1014" s="308"/>
    </row>
    <row r="1015" spans="1:9" s="297" customFormat="1" ht="20.100000000000001" hidden="1" customHeight="1">
      <c r="A1015" s="295"/>
      <c r="B1015" s="299" t="s">
        <v>3922</v>
      </c>
      <c r="C1015" s="300">
        <v>2</v>
      </c>
      <c r="D1015" s="300">
        <v>1</v>
      </c>
      <c r="E1015" s="307">
        <v>3.76</v>
      </c>
      <c r="F1015" s="290"/>
      <c r="G1015" s="309">
        <v>6.25E-2</v>
      </c>
      <c r="H1015" s="288">
        <f t="shared" si="35"/>
        <v>0.47</v>
      </c>
      <c r="I1015" s="308"/>
    </row>
    <row r="1016" spans="1:9" s="297" customFormat="1" ht="15.75" hidden="1">
      <c r="A1016" s="295"/>
      <c r="B1016" s="299" t="s">
        <v>3923</v>
      </c>
      <c r="C1016" s="300">
        <v>2</v>
      </c>
      <c r="D1016" s="300">
        <v>1</v>
      </c>
      <c r="E1016" s="307">
        <v>3.61</v>
      </c>
      <c r="F1016" s="290"/>
      <c r="G1016" s="309">
        <v>6.25E-2</v>
      </c>
      <c r="H1016" s="288">
        <f t="shared" si="35"/>
        <v>0.45</v>
      </c>
      <c r="I1016" s="308"/>
    </row>
    <row r="1017" spans="1:9" s="297" customFormat="1" ht="20.100000000000001" hidden="1" customHeight="1">
      <c r="A1017" s="295"/>
      <c r="B1017" s="299" t="s">
        <v>3774</v>
      </c>
      <c r="C1017" s="300"/>
      <c r="D1017" s="300"/>
      <c r="E1017" s="307"/>
      <c r="F1017" s="290"/>
      <c r="G1017" s="309"/>
      <c r="H1017" s="288"/>
    </row>
    <row r="1018" spans="1:9" s="297" customFormat="1" ht="20.100000000000001" hidden="1" customHeight="1">
      <c r="A1018" s="295"/>
      <c r="B1018" s="299" t="s">
        <v>3632</v>
      </c>
      <c r="C1018" s="300">
        <v>2</v>
      </c>
      <c r="D1018" s="300">
        <v>1</v>
      </c>
      <c r="E1018" s="307">
        <f>1.8+0.46</f>
        <v>2.2599999999999998</v>
      </c>
      <c r="F1018" s="290"/>
      <c r="G1018" s="309">
        <v>6.25E-2</v>
      </c>
      <c r="H1018" s="288">
        <f t="shared" si="35"/>
        <v>0.28000000000000003</v>
      </c>
    </row>
    <row r="1019" spans="1:9" s="297" customFormat="1" ht="20.100000000000001" hidden="1" customHeight="1">
      <c r="A1019" s="295"/>
      <c r="B1019" s="299" t="s">
        <v>3605</v>
      </c>
      <c r="C1019" s="300">
        <v>2</v>
      </c>
      <c r="D1019" s="300">
        <v>1</v>
      </c>
      <c r="E1019" s="307">
        <f>1.5+0.46</f>
        <v>1.96</v>
      </c>
      <c r="F1019" s="290"/>
      <c r="G1019" s="309">
        <v>6.25E-2</v>
      </c>
      <c r="H1019" s="288">
        <f>ROUND(PRODUCT(C1019:G1019),2)</f>
        <v>0.25</v>
      </c>
    </row>
    <row r="1020" spans="1:9" s="297" customFormat="1" ht="20.100000000000001" hidden="1" customHeight="1">
      <c r="A1020" s="295"/>
      <c r="B1020" s="299" t="s">
        <v>3483</v>
      </c>
      <c r="C1020" s="300">
        <v>2</v>
      </c>
      <c r="D1020" s="300">
        <v>1</v>
      </c>
      <c r="E1020" s="307">
        <f>1+0.46</f>
        <v>1.46</v>
      </c>
      <c r="F1020" s="290"/>
      <c r="G1020" s="309">
        <v>6.25E-2</v>
      </c>
      <c r="H1020" s="288">
        <f>ROUND(PRODUCT(C1020:G1020),2)</f>
        <v>0.18</v>
      </c>
    </row>
    <row r="1021" spans="1:9" s="289" customFormat="1" ht="15.75" hidden="1">
      <c r="A1021" s="286"/>
      <c r="B1021" s="283" t="s">
        <v>3927</v>
      </c>
      <c r="C1021" s="284">
        <v>1</v>
      </c>
      <c r="D1021" s="284">
        <v>8</v>
      </c>
      <c r="E1021" s="288">
        <f>1.06*4</f>
        <v>4.24</v>
      </c>
      <c r="F1021" s="291"/>
      <c r="G1021" s="290">
        <v>0.6</v>
      </c>
      <c r="H1021" s="288">
        <f>ROUND(PRODUCT(C1021:G1021),2)</f>
        <v>20.350000000000001</v>
      </c>
      <c r="I1021" s="289">
        <f>0.6+0.46</f>
        <v>1.06</v>
      </c>
    </row>
    <row r="1022" spans="1:9" s="297" customFormat="1" ht="20.100000000000001" hidden="1" customHeight="1">
      <c r="A1022" s="292"/>
      <c r="B1022" s="298" t="s">
        <v>3891</v>
      </c>
      <c r="C1022" s="294">
        <v>1</v>
      </c>
      <c r="D1022" s="294">
        <v>1</v>
      </c>
      <c r="E1022" s="288">
        <v>49.1</v>
      </c>
      <c r="F1022" s="295"/>
      <c r="G1022" s="290">
        <v>1.2</v>
      </c>
      <c r="H1022" s="296"/>
    </row>
    <row r="1023" spans="1:9" s="297" customFormat="1" ht="20.100000000000001" hidden="1" customHeight="1">
      <c r="A1023" s="292"/>
      <c r="B1023" s="298" t="s">
        <v>3903</v>
      </c>
      <c r="C1023" s="294">
        <v>1</v>
      </c>
      <c r="D1023" s="294">
        <v>1</v>
      </c>
      <c r="E1023" s="288">
        <v>49.1</v>
      </c>
      <c r="F1023" s="295">
        <v>0.23</v>
      </c>
      <c r="G1023" s="287"/>
      <c r="H1023" s="296"/>
    </row>
    <row r="1024" spans="1:9" s="297" customFormat="1" ht="20.100000000000001" hidden="1" customHeight="1">
      <c r="A1024" s="295"/>
      <c r="B1024" s="299"/>
      <c r="C1024" s="300"/>
      <c r="D1024" s="300"/>
      <c r="E1024" s="296"/>
      <c r="F1024" s="295"/>
      <c r="G1024" s="287"/>
      <c r="H1024" s="296">
        <f>I1025-I1024</f>
        <v>0.06</v>
      </c>
      <c r="I1024" s="297">
        <f>SUM(H955:H1023)</f>
        <v>710.84</v>
      </c>
    </row>
    <row r="1025" spans="1:10" s="297" customFormat="1" ht="20.100000000000001" hidden="1" customHeight="1">
      <c r="A1025" s="295"/>
      <c r="B1025" s="295" t="s">
        <v>3928</v>
      </c>
      <c r="C1025" s="300"/>
      <c r="D1025" s="300"/>
      <c r="E1025" s="296"/>
      <c r="F1025" s="295"/>
      <c r="G1025" s="287" t="s">
        <v>1827</v>
      </c>
      <c r="H1025" s="296">
        <f>+I1025</f>
        <v>710.9</v>
      </c>
      <c r="I1025" s="297">
        <f>ROUNDUP(I1024,1)</f>
        <v>710.9</v>
      </c>
    </row>
    <row r="1026" spans="1:10" s="306" customFormat="1" ht="20.100000000000001" hidden="1" customHeight="1">
      <c r="A1026" s="301"/>
      <c r="B1026" s="310"/>
      <c r="C1026" s="302"/>
      <c r="D1026" s="303"/>
      <c r="E1026" s="311" t="s">
        <v>3929</v>
      </c>
      <c r="F1026" s="301" t="s">
        <v>2560</v>
      </c>
      <c r="G1026" s="304">
        <f>H1025</f>
        <v>710.9</v>
      </c>
      <c r="H1026" s="305" t="s">
        <v>1861</v>
      </c>
      <c r="I1026" s="306">
        <v>678.6</v>
      </c>
      <c r="J1026" s="306">
        <f>G1026-I1026</f>
        <v>32.299999999999997</v>
      </c>
    </row>
    <row r="1027" spans="1:10" s="276" customFormat="1" ht="20.100000000000001" hidden="1" customHeight="1">
      <c r="A1027" s="280"/>
      <c r="B1027" s="280" t="s">
        <v>3930</v>
      </c>
      <c r="C1027" s="278"/>
      <c r="D1027" s="278"/>
      <c r="E1027" s="279"/>
      <c r="F1027" s="280" t="s">
        <v>2560</v>
      </c>
      <c r="G1027" s="304">
        <f>+G1026+G953</f>
        <v>2249.8000000000002</v>
      </c>
      <c r="H1027" s="275" t="s">
        <v>1861</v>
      </c>
      <c r="J1027" s="312"/>
    </row>
    <row r="1028" spans="1:10" ht="20.100000000000001" customHeight="1">
      <c r="A1028" s="244">
        <v>34</v>
      </c>
      <c r="B1028" s="992" t="s">
        <v>3931</v>
      </c>
      <c r="C1028" s="993"/>
      <c r="D1028" s="993"/>
      <c r="E1028" s="993"/>
      <c r="F1028" s="993"/>
      <c r="G1028" s="994"/>
      <c r="H1028" s="205"/>
      <c r="I1028" s="181">
        <f>5.9+2.86</f>
        <v>8.76</v>
      </c>
    </row>
    <row r="1029" spans="1:10" s="228" customFormat="1" ht="20.100000000000001" customHeight="1">
      <c r="A1029" s="187"/>
      <c r="B1029" s="192" t="s">
        <v>3932</v>
      </c>
      <c r="C1029" s="190">
        <v>1</v>
      </c>
      <c r="D1029" s="190">
        <v>3</v>
      </c>
      <c r="E1029" s="205">
        <v>3.82</v>
      </c>
      <c r="F1029" s="194"/>
      <c r="G1029" s="193">
        <f>0.9+0.9+0.05</f>
        <v>1.85</v>
      </c>
      <c r="H1029" s="205">
        <f>ROUND(PRODUCT(C1029:G1029),2)</f>
        <v>21.2</v>
      </c>
    </row>
    <row r="1030" spans="1:10" s="228" customFormat="1" ht="20.100000000000001" customHeight="1">
      <c r="A1030" s="187"/>
      <c r="B1030" s="192" t="s">
        <v>3933</v>
      </c>
      <c r="C1030" s="190">
        <v>1</v>
      </c>
      <c r="D1030" s="190">
        <v>2</v>
      </c>
      <c r="E1030" s="205">
        <f>3.9</f>
        <v>3.9</v>
      </c>
      <c r="F1030" s="194"/>
      <c r="G1030" s="193">
        <f>0.9+0.9+0.05</f>
        <v>1.85</v>
      </c>
      <c r="H1030" s="205">
        <f>ROUND(PRODUCT(C1030:G1030),2)</f>
        <v>14.43</v>
      </c>
    </row>
    <row r="1031" spans="1:10" s="228" customFormat="1" ht="20.100000000000001" customHeight="1">
      <c r="A1031" s="187"/>
      <c r="B1031" s="192" t="s">
        <v>3934</v>
      </c>
      <c r="C1031" s="190">
        <v>2</v>
      </c>
      <c r="D1031" s="190">
        <v>1</v>
      </c>
      <c r="E1031" s="205">
        <v>2.85</v>
      </c>
      <c r="F1031" s="194"/>
      <c r="G1031" s="193">
        <f>0.9+0.9+0.05</f>
        <v>1.85</v>
      </c>
      <c r="H1031" s="205">
        <f>ROUND(PRODUCT(C1031:G1031),2)</f>
        <v>10.55</v>
      </c>
    </row>
    <row r="1032" spans="1:10" s="228" customFormat="1" ht="20.100000000000001" customHeight="1">
      <c r="A1032" s="187"/>
      <c r="B1032" s="192" t="s">
        <v>3935</v>
      </c>
      <c r="C1032" s="190">
        <v>1</v>
      </c>
      <c r="D1032" s="190">
        <v>8</v>
      </c>
      <c r="E1032" s="205">
        <v>3.32</v>
      </c>
      <c r="F1032" s="194">
        <v>0.23</v>
      </c>
      <c r="G1032" s="193"/>
      <c r="H1032" s="205">
        <f>ROUND(PRODUCT(C1032:G1032),2)</f>
        <v>6.11</v>
      </c>
    </row>
    <row r="1033" spans="1:10" s="228" customFormat="1" ht="20.100000000000001" customHeight="1">
      <c r="A1033" s="187"/>
      <c r="B1033" s="192" t="s">
        <v>3936</v>
      </c>
      <c r="C1033" s="190">
        <v>1</v>
      </c>
      <c r="D1033" s="190">
        <v>8</v>
      </c>
      <c r="E1033" s="205">
        <v>2.4</v>
      </c>
      <c r="F1033" s="194"/>
      <c r="G1033" s="193">
        <v>0.6</v>
      </c>
      <c r="H1033" s="205">
        <f>ROUND(PRODUCT(C1033:G1033),2)</f>
        <v>11.52</v>
      </c>
    </row>
    <row r="1034" spans="1:10" s="186" customFormat="1" ht="20.100000000000001" customHeight="1">
      <c r="A1034" s="244"/>
      <c r="B1034" s="218"/>
      <c r="C1034" s="219"/>
      <c r="D1034" s="219"/>
      <c r="E1034" s="253"/>
      <c r="F1034" s="244"/>
      <c r="G1034" s="213"/>
      <c r="H1034" s="253">
        <f>I1035-I1034</f>
        <v>0.09</v>
      </c>
      <c r="I1034" s="186">
        <f>SUM(H1029:H1033)</f>
        <v>63.81</v>
      </c>
    </row>
    <row r="1035" spans="1:10" s="186" customFormat="1" ht="20.100000000000001" customHeight="1">
      <c r="A1035" s="244"/>
      <c r="B1035" s="218"/>
      <c r="C1035" s="219"/>
      <c r="D1035" s="219"/>
      <c r="E1035" s="253"/>
      <c r="F1035" s="244"/>
      <c r="G1035" s="213" t="s">
        <v>1827</v>
      </c>
      <c r="H1035" s="253">
        <f>+I1035</f>
        <v>63.9</v>
      </c>
      <c r="I1035" s="186">
        <f>ROUNDUP(I1034,1)</f>
        <v>63.9</v>
      </c>
    </row>
    <row r="1036" spans="1:10" s="199" customFormat="1" ht="20.100000000000001" customHeight="1">
      <c r="A1036" s="182"/>
      <c r="B1036" s="216"/>
      <c r="C1036" s="220"/>
      <c r="D1036" s="220"/>
      <c r="E1036" s="262"/>
      <c r="F1036" s="182" t="s">
        <v>2560</v>
      </c>
      <c r="G1036" s="197">
        <f>H1035</f>
        <v>63.9</v>
      </c>
      <c r="H1036" s="262" t="s">
        <v>1861</v>
      </c>
    </row>
    <row r="1037" spans="1:10" s="313" customFormat="1" ht="20.100000000000001" customHeight="1">
      <c r="A1037" s="244">
        <v>35</v>
      </c>
      <c r="B1037" s="992" t="s">
        <v>3937</v>
      </c>
      <c r="C1037" s="993"/>
      <c r="D1037" s="993"/>
      <c r="E1037" s="993"/>
      <c r="F1037" s="993"/>
      <c r="G1037" s="994"/>
      <c r="H1037" s="205"/>
    </row>
    <row r="1038" spans="1:10" ht="20.100000000000001" customHeight="1">
      <c r="A1038" s="182"/>
      <c r="B1038" s="216" t="s">
        <v>307</v>
      </c>
      <c r="C1038" s="219"/>
      <c r="D1038" s="245"/>
      <c r="E1038" s="244"/>
      <c r="F1038" s="244"/>
      <c r="G1038" s="244"/>
      <c r="H1038" s="244"/>
    </row>
    <row r="1039" spans="1:10" ht="20.100000000000001" customHeight="1">
      <c r="A1039" s="182"/>
      <c r="B1039" s="216" t="s">
        <v>3511</v>
      </c>
      <c r="C1039" s="219"/>
      <c r="D1039" s="219"/>
      <c r="E1039" s="244"/>
      <c r="F1039" s="244"/>
      <c r="G1039" s="244"/>
      <c r="H1039" s="194">
        <f>PRODUCT(C1039:G1039)</f>
        <v>0</v>
      </c>
    </row>
    <row r="1040" spans="1:10" ht="20.100000000000001" customHeight="1">
      <c r="A1040" s="182"/>
      <c r="B1040" s="218" t="s">
        <v>3797</v>
      </c>
      <c r="C1040" s="219">
        <v>1</v>
      </c>
      <c r="D1040" s="219">
        <v>1</v>
      </c>
      <c r="E1040" s="244">
        <f>4.35+0.23</f>
        <v>4.58</v>
      </c>
      <c r="F1040" s="244">
        <f>5.63+0.46</f>
        <v>6.09</v>
      </c>
      <c r="G1040" s="244"/>
      <c r="H1040" s="266">
        <f t="shared" ref="H1040:H1103" si="36">ROUND(PRODUCT(C1040:G1040),2)</f>
        <v>27.89</v>
      </c>
    </row>
    <row r="1041" spans="1:8" ht="20.100000000000001" customHeight="1">
      <c r="A1041" s="182"/>
      <c r="B1041" s="218" t="s">
        <v>3798</v>
      </c>
      <c r="C1041" s="219">
        <v>1</v>
      </c>
      <c r="D1041" s="219">
        <v>1</v>
      </c>
      <c r="E1041" s="244">
        <v>7.25</v>
      </c>
      <c r="F1041" s="244">
        <v>9.08</v>
      </c>
      <c r="G1041" s="244"/>
      <c r="H1041" s="266">
        <f t="shared" si="36"/>
        <v>65.83</v>
      </c>
    </row>
    <row r="1042" spans="1:8" ht="20.100000000000001" customHeight="1">
      <c r="A1042" s="182"/>
      <c r="B1042" s="218" t="s">
        <v>3799</v>
      </c>
      <c r="C1042" s="219">
        <v>1</v>
      </c>
      <c r="D1042" s="219">
        <v>1</v>
      </c>
      <c r="E1042" s="244">
        <v>4.8099999999999996</v>
      </c>
      <c r="F1042" s="244">
        <v>3.23</v>
      </c>
      <c r="G1042" s="244"/>
      <c r="H1042" s="266">
        <f t="shared" si="36"/>
        <v>15.54</v>
      </c>
    </row>
    <row r="1043" spans="1:8" ht="20.100000000000001" customHeight="1">
      <c r="A1043" s="182"/>
      <c r="B1043" s="218" t="s">
        <v>3800</v>
      </c>
      <c r="C1043" s="219">
        <v>1</v>
      </c>
      <c r="D1043" s="219">
        <v>-1</v>
      </c>
      <c r="E1043" s="244">
        <v>5.56</v>
      </c>
      <c r="F1043" s="244">
        <v>1.2</v>
      </c>
      <c r="G1043" s="244"/>
      <c r="H1043" s="266">
        <f t="shared" si="36"/>
        <v>-6.67</v>
      </c>
    </row>
    <row r="1044" spans="1:8" ht="20.100000000000001" customHeight="1">
      <c r="A1044" s="182"/>
      <c r="B1044" s="218" t="s">
        <v>3801</v>
      </c>
      <c r="C1044" s="219">
        <v>1</v>
      </c>
      <c r="D1044" s="219">
        <v>2</v>
      </c>
      <c r="E1044" s="244">
        <v>2.1</v>
      </c>
      <c r="F1044" s="244">
        <v>0.45</v>
      </c>
      <c r="G1044" s="244"/>
      <c r="H1044" s="266">
        <f t="shared" si="36"/>
        <v>1.89</v>
      </c>
    </row>
    <row r="1045" spans="1:8" ht="20.100000000000001" customHeight="1">
      <c r="A1045" s="182"/>
      <c r="B1045" s="218" t="s">
        <v>3802</v>
      </c>
      <c r="C1045" s="219">
        <v>1</v>
      </c>
      <c r="D1045" s="219">
        <v>1</v>
      </c>
      <c r="E1045" s="244">
        <v>2.1</v>
      </c>
      <c r="F1045" s="244">
        <v>1.2</v>
      </c>
      <c r="G1045" s="244"/>
      <c r="H1045" s="266">
        <f t="shared" si="36"/>
        <v>2.52</v>
      </c>
    </row>
    <row r="1046" spans="1:8" ht="20.100000000000001" customHeight="1">
      <c r="A1046" s="182"/>
      <c r="B1046" s="218" t="s">
        <v>3803</v>
      </c>
      <c r="C1046" s="219">
        <v>1</v>
      </c>
      <c r="D1046" s="219">
        <v>1</v>
      </c>
      <c r="E1046" s="244">
        <v>1.2</v>
      </c>
      <c r="F1046" s="244">
        <v>0.23</v>
      </c>
      <c r="G1046" s="244"/>
      <c r="H1046" s="266">
        <f t="shared" si="36"/>
        <v>0.28000000000000003</v>
      </c>
    </row>
    <row r="1047" spans="1:8" ht="20.100000000000001" customHeight="1">
      <c r="A1047" s="182"/>
      <c r="B1047" s="218" t="s">
        <v>3806</v>
      </c>
      <c r="C1047" s="219">
        <v>1</v>
      </c>
      <c r="D1047" s="219">
        <v>1</v>
      </c>
      <c r="E1047" s="244">
        <v>1.8</v>
      </c>
      <c r="F1047" s="244">
        <v>0.23</v>
      </c>
      <c r="G1047" s="244"/>
      <c r="H1047" s="266">
        <f t="shared" si="36"/>
        <v>0.41</v>
      </c>
    </row>
    <row r="1048" spans="1:8" ht="20.100000000000001" customHeight="1">
      <c r="A1048" s="182"/>
      <c r="B1048" s="218" t="s">
        <v>3807</v>
      </c>
      <c r="C1048" s="219">
        <v>1</v>
      </c>
      <c r="D1048" s="219">
        <v>1</v>
      </c>
      <c r="E1048" s="244">
        <v>1.2</v>
      </c>
      <c r="F1048" s="244">
        <v>0.23</v>
      </c>
      <c r="G1048" s="244"/>
      <c r="H1048" s="266">
        <f t="shared" si="36"/>
        <v>0.28000000000000003</v>
      </c>
    </row>
    <row r="1049" spans="1:8" ht="20.100000000000001" customHeight="1">
      <c r="A1049" s="182"/>
      <c r="B1049" s="218" t="s">
        <v>3296</v>
      </c>
      <c r="C1049" s="219">
        <v>1</v>
      </c>
      <c r="D1049" s="219">
        <v>1</v>
      </c>
      <c r="E1049" s="244">
        <f>4.35-1.5</f>
        <v>2.85</v>
      </c>
      <c r="F1049" s="244">
        <v>2.4</v>
      </c>
      <c r="G1049" s="244"/>
      <c r="H1049" s="266">
        <f t="shared" si="36"/>
        <v>6.84</v>
      </c>
    </row>
    <row r="1050" spans="1:8" s="228" customFormat="1" ht="20.100000000000001" customHeight="1">
      <c r="A1050" s="195"/>
      <c r="B1050" s="192" t="s">
        <v>3814</v>
      </c>
      <c r="C1050" s="190">
        <v>1</v>
      </c>
      <c r="D1050" s="190">
        <v>1</v>
      </c>
      <c r="E1050" s="194">
        <v>1.5</v>
      </c>
      <c r="F1050" s="194">
        <v>2.4</v>
      </c>
      <c r="G1050" s="187"/>
      <c r="H1050" s="266">
        <f t="shared" si="36"/>
        <v>3.6</v>
      </c>
    </row>
    <row r="1051" spans="1:8" s="228" customFormat="1" ht="20.100000000000001" customHeight="1">
      <c r="A1051" s="195"/>
      <c r="B1051" s="192" t="s">
        <v>3812</v>
      </c>
      <c r="C1051" s="190">
        <v>1</v>
      </c>
      <c r="D1051" s="190">
        <v>1</v>
      </c>
      <c r="E1051" s="187">
        <v>0.75</v>
      </c>
      <c r="F1051" s="187">
        <v>0.115</v>
      </c>
      <c r="G1051" s="187"/>
      <c r="H1051" s="266">
        <f t="shared" si="36"/>
        <v>0.09</v>
      </c>
    </row>
    <row r="1052" spans="1:8" ht="20.100000000000001" customHeight="1">
      <c r="A1052" s="182"/>
      <c r="B1052" s="218" t="s">
        <v>3506</v>
      </c>
      <c r="C1052" s="219">
        <v>1</v>
      </c>
      <c r="D1052" s="219">
        <v>1</v>
      </c>
      <c r="E1052" s="193">
        <v>4.3499999999999996</v>
      </c>
      <c r="F1052" s="244">
        <v>3.9</v>
      </c>
      <c r="G1052" s="244"/>
      <c r="H1052" s="266">
        <f t="shared" si="36"/>
        <v>16.97</v>
      </c>
    </row>
    <row r="1053" spans="1:8" ht="20.100000000000001" customHeight="1">
      <c r="A1053" s="182"/>
      <c r="B1053" s="218" t="s">
        <v>3848</v>
      </c>
      <c r="C1053" s="219">
        <v>1</v>
      </c>
      <c r="D1053" s="219">
        <v>1</v>
      </c>
      <c r="E1053" s="193">
        <v>1.27</v>
      </c>
      <c r="F1053" s="193">
        <v>2</v>
      </c>
      <c r="G1053" s="244"/>
      <c r="H1053" s="266">
        <f t="shared" si="36"/>
        <v>2.54</v>
      </c>
    </row>
    <row r="1054" spans="1:8" ht="20.100000000000001" customHeight="1">
      <c r="A1054" s="182"/>
      <c r="B1054" s="218" t="s">
        <v>3849</v>
      </c>
      <c r="C1054" s="219">
        <v>1</v>
      </c>
      <c r="D1054" s="219">
        <v>1</v>
      </c>
      <c r="E1054" s="193">
        <v>4.3499999999999996</v>
      </c>
      <c r="F1054" s="193">
        <v>3.9</v>
      </c>
      <c r="G1054" s="244"/>
      <c r="H1054" s="266">
        <f t="shared" si="36"/>
        <v>16.97</v>
      </c>
    </row>
    <row r="1055" spans="1:8" ht="20.100000000000001" customHeight="1">
      <c r="A1055" s="182"/>
      <c r="B1055" s="218" t="s">
        <v>3850</v>
      </c>
      <c r="C1055" s="219">
        <v>1</v>
      </c>
      <c r="D1055" s="219">
        <v>2</v>
      </c>
      <c r="E1055" s="193">
        <v>1</v>
      </c>
      <c r="F1055" s="193">
        <v>0.23</v>
      </c>
      <c r="G1055" s="244"/>
      <c r="H1055" s="266">
        <f t="shared" si="36"/>
        <v>0.46</v>
      </c>
    </row>
    <row r="1056" spans="1:8" s="228" customFormat="1" ht="20.100000000000001" customHeight="1">
      <c r="A1056" s="195"/>
      <c r="B1056" s="192" t="s">
        <v>3810</v>
      </c>
      <c r="C1056" s="190">
        <v>1</v>
      </c>
      <c r="D1056" s="190">
        <v>1</v>
      </c>
      <c r="E1056" s="194">
        <v>2.1</v>
      </c>
      <c r="F1056" s="187">
        <v>1.615</v>
      </c>
      <c r="G1056" s="187"/>
      <c r="H1056" s="266">
        <f t="shared" si="36"/>
        <v>3.39</v>
      </c>
    </row>
    <row r="1057" spans="1:8" s="228" customFormat="1" ht="20.100000000000001" customHeight="1">
      <c r="A1057" s="195"/>
      <c r="B1057" s="192" t="s">
        <v>3811</v>
      </c>
      <c r="C1057" s="190">
        <v>1</v>
      </c>
      <c r="D1057" s="190">
        <v>1</v>
      </c>
      <c r="E1057" s="187">
        <v>0.75</v>
      </c>
      <c r="F1057" s="187">
        <v>0.115</v>
      </c>
      <c r="G1057" s="187"/>
      <c r="H1057" s="266">
        <f t="shared" si="36"/>
        <v>0.09</v>
      </c>
    </row>
    <row r="1058" spans="1:8" s="228" customFormat="1" ht="20.100000000000001" customHeight="1">
      <c r="A1058" s="195"/>
      <c r="B1058" s="192" t="s">
        <v>3509</v>
      </c>
      <c r="C1058" s="190">
        <v>1</v>
      </c>
      <c r="D1058" s="190">
        <v>1</v>
      </c>
      <c r="E1058" s="187">
        <v>1.2350000000000001</v>
      </c>
      <c r="F1058" s="187">
        <v>1.615</v>
      </c>
      <c r="G1058" s="187"/>
      <c r="H1058" s="266">
        <f t="shared" si="36"/>
        <v>1.99</v>
      </c>
    </row>
    <row r="1059" spans="1:8" s="228" customFormat="1" ht="20.100000000000001" customHeight="1">
      <c r="A1059" s="195"/>
      <c r="B1059" s="192" t="s">
        <v>3812</v>
      </c>
      <c r="C1059" s="190">
        <v>1</v>
      </c>
      <c r="D1059" s="190">
        <v>1</v>
      </c>
      <c r="E1059" s="187">
        <v>0.75</v>
      </c>
      <c r="F1059" s="187">
        <v>0.115</v>
      </c>
      <c r="G1059" s="187"/>
      <c r="H1059" s="266">
        <f t="shared" si="36"/>
        <v>0.09</v>
      </c>
    </row>
    <row r="1060" spans="1:8" s="228" customFormat="1" ht="20.100000000000001" customHeight="1">
      <c r="A1060" s="195"/>
      <c r="B1060" s="192" t="s">
        <v>3813</v>
      </c>
      <c r="C1060" s="190">
        <v>1</v>
      </c>
      <c r="D1060" s="190">
        <v>1</v>
      </c>
      <c r="E1060" s="194">
        <v>0.9</v>
      </c>
      <c r="F1060" s="187">
        <v>1.615</v>
      </c>
      <c r="G1060" s="187"/>
      <c r="H1060" s="266">
        <f t="shared" si="36"/>
        <v>1.45</v>
      </c>
    </row>
    <row r="1061" spans="1:8" s="228" customFormat="1" ht="20.100000000000001" customHeight="1">
      <c r="A1061" s="195"/>
      <c r="B1061" s="192" t="s">
        <v>3803</v>
      </c>
      <c r="C1061" s="190">
        <v>1</v>
      </c>
      <c r="D1061" s="190">
        <v>1</v>
      </c>
      <c r="E1061" s="187">
        <v>0.75</v>
      </c>
      <c r="F1061" s="187">
        <v>0.115</v>
      </c>
      <c r="G1061" s="187"/>
      <c r="H1061" s="266">
        <f t="shared" si="36"/>
        <v>0.09</v>
      </c>
    </row>
    <row r="1062" spans="1:8" ht="20.100000000000001" customHeight="1">
      <c r="A1062" s="182"/>
      <c r="B1062" s="218" t="s">
        <v>3860</v>
      </c>
      <c r="C1062" s="219">
        <v>1</v>
      </c>
      <c r="D1062" s="219">
        <v>1</v>
      </c>
      <c r="E1062" s="193">
        <v>1</v>
      </c>
      <c r="F1062" s="244">
        <v>1</v>
      </c>
      <c r="G1062" s="244"/>
      <c r="H1062" s="266">
        <f t="shared" si="36"/>
        <v>1</v>
      </c>
    </row>
    <row r="1063" spans="1:8" ht="20.100000000000001" customHeight="1">
      <c r="A1063" s="182"/>
      <c r="B1063" s="216" t="s">
        <v>309</v>
      </c>
      <c r="C1063" s="219"/>
      <c r="D1063" s="219"/>
      <c r="E1063" s="193"/>
      <c r="F1063" s="193"/>
      <c r="G1063" s="244"/>
      <c r="H1063" s="266">
        <f t="shared" si="36"/>
        <v>0</v>
      </c>
    </row>
    <row r="1064" spans="1:8" ht="20.100000000000001" customHeight="1">
      <c r="A1064" s="182"/>
      <c r="B1064" s="218" t="s">
        <v>3851</v>
      </c>
      <c r="C1064" s="219">
        <v>1</v>
      </c>
      <c r="D1064" s="219">
        <v>1</v>
      </c>
      <c r="E1064" s="193">
        <v>4.3499999999999996</v>
      </c>
      <c r="F1064" s="193">
        <v>4.0199999999999996</v>
      </c>
      <c r="G1064" s="244"/>
      <c r="H1064" s="266">
        <f t="shared" si="36"/>
        <v>17.489999999999998</v>
      </c>
    </row>
    <row r="1065" spans="1:8" ht="20.100000000000001" customHeight="1">
      <c r="A1065" s="182"/>
      <c r="B1065" s="218" t="s">
        <v>3850</v>
      </c>
      <c r="C1065" s="219">
        <v>1</v>
      </c>
      <c r="D1065" s="219">
        <v>1</v>
      </c>
      <c r="E1065" s="193">
        <v>1</v>
      </c>
      <c r="F1065" s="244">
        <v>0.23</v>
      </c>
      <c r="G1065" s="244"/>
      <c r="H1065" s="266">
        <f t="shared" si="36"/>
        <v>0.23</v>
      </c>
    </row>
    <row r="1066" spans="1:8" s="228" customFormat="1" ht="20.100000000000001" customHeight="1">
      <c r="A1066" s="195"/>
      <c r="B1066" s="192" t="s">
        <v>3815</v>
      </c>
      <c r="C1066" s="190">
        <v>1</v>
      </c>
      <c r="D1066" s="190">
        <v>1</v>
      </c>
      <c r="E1066" s="187">
        <v>1.65</v>
      </c>
      <c r="F1066" s="194">
        <v>1.5</v>
      </c>
      <c r="G1066" s="187"/>
      <c r="H1066" s="266">
        <f t="shared" si="36"/>
        <v>2.48</v>
      </c>
    </row>
    <row r="1067" spans="1:8" s="228" customFormat="1" ht="20.100000000000001" customHeight="1">
      <c r="A1067" s="195"/>
      <c r="B1067" s="192" t="s">
        <v>3813</v>
      </c>
      <c r="C1067" s="190">
        <v>1</v>
      </c>
      <c r="D1067" s="190">
        <v>1</v>
      </c>
      <c r="E1067" s="187">
        <v>2.585</v>
      </c>
      <c r="F1067" s="194">
        <v>1.5</v>
      </c>
      <c r="G1067" s="187"/>
      <c r="H1067" s="266">
        <f t="shared" si="36"/>
        <v>3.88</v>
      </c>
    </row>
    <row r="1068" spans="1:8" s="228" customFormat="1" ht="20.100000000000001" customHeight="1">
      <c r="A1068" s="195"/>
      <c r="B1068" s="192" t="s">
        <v>3812</v>
      </c>
      <c r="C1068" s="190">
        <v>1</v>
      </c>
      <c r="D1068" s="190">
        <v>1</v>
      </c>
      <c r="E1068" s="187">
        <v>0.75</v>
      </c>
      <c r="F1068" s="187">
        <v>0.115</v>
      </c>
      <c r="G1068" s="187"/>
      <c r="H1068" s="266">
        <f t="shared" si="36"/>
        <v>0.09</v>
      </c>
    </row>
    <row r="1069" spans="1:8" s="228" customFormat="1" ht="20.100000000000001" customHeight="1">
      <c r="A1069" s="195"/>
      <c r="B1069" s="192" t="s">
        <v>3803</v>
      </c>
      <c r="C1069" s="190">
        <v>1</v>
      </c>
      <c r="D1069" s="190">
        <v>1</v>
      </c>
      <c r="E1069" s="194">
        <v>0.9</v>
      </c>
      <c r="F1069" s="187">
        <v>0.115</v>
      </c>
      <c r="G1069" s="187"/>
      <c r="H1069" s="266">
        <f t="shared" si="36"/>
        <v>0.1</v>
      </c>
    </row>
    <row r="1070" spans="1:8" ht="20.100000000000001" customHeight="1">
      <c r="A1070" s="182"/>
      <c r="B1070" s="218" t="s">
        <v>3852</v>
      </c>
      <c r="C1070" s="219">
        <v>1</v>
      </c>
      <c r="D1070" s="219">
        <v>1</v>
      </c>
      <c r="E1070" s="193">
        <v>4.3499999999999996</v>
      </c>
      <c r="F1070" s="244">
        <v>2.4</v>
      </c>
      <c r="G1070" s="244"/>
      <c r="H1070" s="266">
        <f t="shared" si="36"/>
        <v>10.44</v>
      </c>
    </row>
    <row r="1071" spans="1:8" ht="20.100000000000001" customHeight="1">
      <c r="A1071" s="182"/>
      <c r="B1071" s="218" t="s">
        <v>3850</v>
      </c>
      <c r="C1071" s="219">
        <v>1</v>
      </c>
      <c r="D1071" s="219">
        <v>1</v>
      </c>
      <c r="E1071" s="193">
        <v>1</v>
      </c>
      <c r="F1071" s="244">
        <v>0.23</v>
      </c>
      <c r="G1071" s="244"/>
      <c r="H1071" s="266">
        <f t="shared" si="36"/>
        <v>0.23</v>
      </c>
    </row>
    <row r="1072" spans="1:8" ht="20.100000000000001" customHeight="1">
      <c r="A1072" s="182"/>
      <c r="B1072" s="218" t="s">
        <v>3853</v>
      </c>
      <c r="C1072" s="219">
        <v>1</v>
      </c>
      <c r="D1072" s="219">
        <v>1</v>
      </c>
      <c r="E1072" s="193">
        <v>2.12</v>
      </c>
      <c r="F1072" s="244">
        <v>3</v>
      </c>
      <c r="G1072" s="244"/>
      <c r="H1072" s="266">
        <f t="shared" si="36"/>
        <v>6.36</v>
      </c>
    </row>
    <row r="1073" spans="1:8" ht="20.100000000000001" customHeight="1">
      <c r="A1073" s="182"/>
      <c r="B1073" s="314"/>
      <c r="C1073" s="219">
        <v>1</v>
      </c>
      <c r="D1073" s="219">
        <v>1</v>
      </c>
      <c r="E1073" s="193">
        <v>2.23</v>
      </c>
      <c r="F1073" s="244">
        <v>1.39</v>
      </c>
      <c r="G1073" s="244"/>
      <c r="H1073" s="266">
        <f t="shared" si="36"/>
        <v>3.1</v>
      </c>
    </row>
    <row r="1074" spans="1:8" ht="20.100000000000001" customHeight="1">
      <c r="A1074" s="182"/>
      <c r="B1074" s="218" t="s">
        <v>3850</v>
      </c>
      <c r="C1074" s="219">
        <v>1</v>
      </c>
      <c r="D1074" s="219">
        <v>1</v>
      </c>
      <c r="E1074" s="193">
        <v>1</v>
      </c>
      <c r="F1074" s="244">
        <v>0.23</v>
      </c>
      <c r="G1074" s="244"/>
      <c r="H1074" s="266">
        <f t="shared" si="36"/>
        <v>0.23</v>
      </c>
    </row>
    <row r="1075" spans="1:8" ht="20.100000000000001" customHeight="1">
      <c r="A1075" s="182"/>
      <c r="B1075" s="218" t="s">
        <v>3938</v>
      </c>
      <c r="C1075" s="219">
        <v>1</v>
      </c>
      <c r="D1075" s="219">
        <v>1</v>
      </c>
      <c r="E1075" s="244">
        <v>2</v>
      </c>
      <c r="F1075" s="244">
        <v>1.5</v>
      </c>
      <c r="G1075" s="244"/>
      <c r="H1075" s="266">
        <f t="shared" si="36"/>
        <v>3</v>
      </c>
    </row>
    <row r="1076" spans="1:8" ht="20.100000000000001" customHeight="1">
      <c r="A1076" s="182"/>
      <c r="B1076" s="218" t="s">
        <v>3850</v>
      </c>
      <c r="C1076" s="219">
        <v>1</v>
      </c>
      <c r="D1076" s="219">
        <v>1</v>
      </c>
      <c r="E1076" s="193">
        <v>1</v>
      </c>
      <c r="F1076" s="244">
        <v>0.23</v>
      </c>
      <c r="G1076" s="244"/>
      <c r="H1076" s="266">
        <f t="shared" si="36"/>
        <v>0.23</v>
      </c>
    </row>
    <row r="1077" spans="1:8" ht="20.100000000000001" customHeight="1">
      <c r="A1077" s="182"/>
      <c r="B1077" s="218" t="s">
        <v>3855</v>
      </c>
      <c r="C1077" s="219">
        <v>1</v>
      </c>
      <c r="D1077" s="219">
        <v>1</v>
      </c>
      <c r="E1077" s="244">
        <v>4.8</v>
      </c>
      <c r="F1077" s="244">
        <v>3</v>
      </c>
      <c r="G1077" s="244"/>
      <c r="H1077" s="266">
        <f t="shared" si="36"/>
        <v>14.4</v>
      </c>
    </row>
    <row r="1078" spans="1:8" ht="20.100000000000001" customHeight="1">
      <c r="A1078" s="182"/>
      <c r="B1078" s="218" t="s">
        <v>3856</v>
      </c>
      <c r="C1078" s="219">
        <v>1</v>
      </c>
      <c r="D1078" s="219">
        <v>1</v>
      </c>
      <c r="E1078" s="193">
        <v>4.3499999999999996</v>
      </c>
      <c r="F1078" s="244">
        <v>4.0199999999999996</v>
      </c>
      <c r="G1078" s="244"/>
      <c r="H1078" s="266">
        <f t="shared" si="36"/>
        <v>17.489999999999998</v>
      </c>
    </row>
    <row r="1079" spans="1:8" ht="20.100000000000001" customHeight="1">
      <c r="A1079" s="182"/>
      <c r="B1079" s="218" t="s">
        <v>3850</v>
      </c>
      <c r="C1079" s="219">
        <v>1</v>
      </c>
      <c r="D1079" s="219">
        <v>1</v>
      </c>
      <c r="E1079" s="193">
        <v>1</v>
      </c>
      <c r="F1079" s="244">
        <v>0.23</v>
      </c>
      <c r="G1079" s="244"/>
      <c r="H1079" s="266">
        <f t="shared" si="36"/>
        <v>0.23</v>
      </c>
    </row>
    <row r="1080" spans="1:8" s="228" customFormat="1" ht="20.100000000000001" customHeight="1">
      <c r="A1080" s="195"/>
      <c r="B1080" s="192" t="s">
        <v>3816</v>
      </c>
      <c r="C1080" s="190">
        <v>1</v>
      </c>
      <c r="D1080" s="190">
        <v>1</v>
      </c>
      <c r="E1080" s="187">
        <v>1.65</v>
      </c>
      <c r="F1080" s="194">
        <v>1.5</v>
      </c>
      <c r="G1080" s="187"/>
      <c r="H1080" s="266">
        <f t="shared" si="36"/>
        <v>2.48</v>
      </c>
    </row>
    <row r="1081" spans="1:8" s="228" customFormat="1" ht="20.100000000000001" customHeight="1">
      <c r="A1081" s="195"/>
      <c r="B1081" s="192" t="s">
        <v>3813</v>
      </c>
      <c r="C1081" s="190">
        <v>1</v>
      </c>
      <c r="D1081" s="190">
        <v>1</v>
      </c>
      <c r="E1081" s="187">
        <v>2.585</v>
      </c>
      <c r="F1081" s="194">
        <v>1.5</v>
      </c>
      <c r="G1081" s="187"/>
      <c r="H1081" s="266">
        <f t="shared" si="36"/>
        <v>3.88</v>
      </c>
    </row>
    <row r="1082" spans="1:8" s="228" customFormat="1" ht="20.100000000000001" customHeight="1">
      <c r="A1082" s="195"/>
      <c r="B1082" s="192" t="s">
        <v>3812</v>
      </c>
      <c r="C1082" s="190">
        <v>1</v>
      </c>
      <c r="D1082" s="190">
        <v>1</v>
      </c>
      <c r="E1082" s="187">
        <v>0.75</v>
      </c>
      <c r="F1082" s="187">
        <v>0.115</v>
      </c>
      <c r="G1082" s="187"/>
      <c r="H1082" s="266">
        <f t="shared" si="36"/>
        <v>0.09</v>
      </c>
    </row>
    <row r="1083" spans="1:8" s="228" customFormat="1" ht="20.100000000000001" customHeight="1">
      <c r="A1083" s="195"/>
      <c r="B1083" s="192" t="s">
        <v>3803</v>
      </c>
      <c r="C1083" s="190">
        <v>1</v>
      </c>
      <c r="D1083" s="190">
        <v>1</v>
      </c>
      <c r="E1083" s="194">
        <v>0.9</v>
      </c>
      <c r="F1083" s="187">
        <v>0.115</v>
      </c>
      <c r="G1083" s="187"/>
      <c r="H1083" s="266">
        <f t="shared" si="36"/>
        <v>0.1</v>
      </c>
    </row>
    <row r="1084" spans="1:8" ht="20.100000000000001" customHeight="1">
      <c r="A1084" s="182"/>
      <c r="B1084" s="218" t="s">
        <v>3857</v>
      </c>
      <c r="C1084" s="219">
        <v>1</v>
      </c>
      <c r="D1084" s="219">
        <v>1</v>
      </c>
      <c r="E1084" s="193">
        <v>6.68</v>
      </c>
      <c r="F1084" s="193">
        <v>3</v>
      </c>
      <c r="G1084" s="244"/>
      <c r="H1084" s="266">
        <f t="shared" si="36"/>
        <v>20.04</v>
      </c>
    </row>
    <row r="1085" spans="1:8" ht="20.100000000000001" customHeight="1">
      <c r="A1085" s="182"/>
      <c r="B1085" s="216" t="s">
        <v>1818</v>
      </c>
      <c r="C1085" s="219"/>
      <c r="D1085" s="219"/>
      <c r="E1085" s="213"/>
      <c r="F1085" s="213"/>
      <c r="G1085" s="244"/>
      <c r="H1085" s="266">
        <f t="shared" si="36"/>
        <v>0</v>
      </c>
    </row>
    <row r="1086" spans="1:8" ht="20.100000000000001" customHeight="1">
      <c r="A1086" s="182"/>
      <c r="B1086" s="218" t="s">
        <v>3851</v>
      </c>
      <c r="C1086" s="219">
        <v>1</v>
      </c>
      <c r="D1086" s="219">
        <v>1</v>
      </c>
      <c r="E1086" s="193">
        <v>4.3499999999999996</v>
      </c>
      <c r="F1086" s="193">
        <v>4.0199999999999996</v>
      </c>
      <c r="G1086" s="244"/>
      <c r="H1086" s="266">
        <f t="shared" si="36"/>
        <v>17.489999999999998</v>
      </c>
    </row>
    <row r="1087" spans="1:8" ht="20.100000000000001" customHeight="1">
      <c r="A1087" s="182"/>
      <c r="B1087" s="218" t="s">
        <v>3850</v>
      </c>
      <c r="C1087" s="219">
        <v>1</v>
      </c>
      <c r="D1087" s="219">
        <v>1</v>
      </c>
      <c r="E1087" s="193">
        <v>1</v>
      </c>
      <c r="F1087" s="244">
        <v>0.23</v>
      </c>
      <c r="G1087" s="244"/>
      <c r="H1087" s="266">
        <f t="shared" si="36"/>
        <v>0.23</v>
      </c>
    </row>
    <row r="1088" spans="1:8" s="228" customFormat="1" ht="20.100000000000001" customHeight="1">
      <c r="A1088" s="195"/>
      <c r="B1088" s="192" t="s">
        <v>3815</v>
      </c>
      <c r="C1088" s="190">
        <v>1</v>
      </c>
      <c r="D1088" s="190">
        <v>1</v>
      </c>
      <c r="E1088" s="187">
        <v>1.65</v>
      </c>
      <c r="F1088" s="194">
        <v>1.5</v>
      </c>
      <c r="G1088" s="187"/>
      <c r="H1088" s="266">
        <f t="shared" si="36"/>
        <v>2.48</v>
      </c>
    </row>
    <row r="1089" spans="1:8" s="228" customFormat="1" ht="20.100000000000001" customHeight="1">
      <c r="A1089" s="195"/>
      <c r="B1089" s="192" t="s">
        <v>3813</v>
      </c>
      <c r="C1089" s="190">
        <v>1</v>
      </c>
      <c r="D1089" s="190">
        <v>1</v>
      </c>
      <c r="E1089" s="187">
        <v>2.585</v>
      </c>
      <c r="F1089" s="194">
        <v>1.5</v>
      </c>
      <c r="G1089" s="187"/>
      <c r="H1089" s="266">
        <f t="shared" si="36"/>
        <v>3.88</v>
      </c>
    </row>
    <row r="1090" spans="1:8" s="228" customFormat="1" ht="20.100000000000001" customHeight="1">
      <c r="A1090" s="195"/>
      <c r="B1090" s="192" t="s">
        <v>3812</v>
      </c>
      <c r="C1090" s="190">
        <v>1</v>
      </c>
      <c r="D1090" s="190">
        <v>1</v>
      </c>
      <c r="E1090" s="187">
        <v>0.75</v>
      </c>
      <c r="F1090" s="187">
        <v>0.115</v>
      </c>
      <c r="G1090" s="187"/>
      <c r="H1090" s="266">
        <f t="shared" si="36"/>
        <v>0.09</v>
      </c>
    </row>
    <row r="1091" spans="1:8" s="228" customFormat="1" ht="20.100000000000001" customHeight="1">
      <c r="A1091" s="195"/>
      <c r="B1091" s="192" t="s">
        <v>3803</v>
      </c>
      <c r="C1091" s="190">
        <v>1</v>
      </c>
      <c r="D1091" s="190">
        <v>1</v>
      </c>
      <c r="E1091" s="194">
        <v>0.9</v>
      </c>
      <c r="F1091" s="187">
        <v>0.115</v>
      </c>
      <c r="G1091" s="187"/>
      <c r="H1091" s="266">
        <f t="shared" si="36"/>
        <v>0.1</v>
      </c>
    </row>
    <row r="1092" spans="1:8" ht="20.100000000000001" customHeight="1">
      <c r="A1092" s="182"/>
      <c r="B1092" s="218" t="s">
        <v>3856</v>
      </c>
      <c r="C1092" s="219">
        <v>1</v>
      </c>
      <c r="D1092" s="219">
        <v>1</v>
      </c>
      <c r="E1092" s="193">
        <v>4.3499999999999996</v>
      </c>
      <c r="F1092" s="213">
        <v>4.0149999999999997</v>
      </c>
      <c r="G1092" s="244"/>
      <c r="H1092" s="266">
        <f t="shared" si="36"/>
        <v>17.47</v>
      </c>
    </row>
    <row r="1093" spans="1:8" ht="20.100000000000001" customHeight="1">
      <c r="A1093" s="182"/>
      <c r="B1093" s="218" t="s">
        <v>3850</v>
      </c>
      <c r="C1093" s="219">
        <v>1</v>
      </c>
      <c r="D1093" s="219">
        <v>1</v>
      </c>
      <c r="E1093" s="193">
        <v>1</v>
      </c>
      <c r="F1093" s="244">
        <v>0.23</v>
      </c>
      <c r="G1093" s="244"/>
      <c r="H1093" s="266">
        <f t="shared" si="36"/>
        <v>0.23</v>
      </c>
    </row>
    <row r="1094" spans="1:8" s="228" customFormat="1" ht="20.100000000000001" customHeight="1">
      <c r="A1094" s="195"/>
      <c r="B1094" s="192" t="s">
        <v>3818</v>
      </c>
      <c r="C1094" s="190">
        <v>1</v>
      </c>
      <c r="D1094" s="190">
        <v>1</v>
      </c>
      <c r="E1094" s="194">
        <v>1.5</v>
      </c>
      <c r="F1094" s="187">
        <v>1.65</v>
      </c>
      <c r="G1094" s="187"/>
      <c r="H1094" s="266">
        <f t="shared" si="36"/>
        <v>2.48</v>
      </c>
    </row>
    <row r="1095" spans="1:8" s="228" customFormat="1" ht="20.100000000000001" customHeight="1">
      <c r="A1095" s="195"/>
      <c r="B1095" s="192" t="s">
        <v>3812</v>
      </c>
      <c r="C1095" s="190">
        <v>1</v>
      </c>
      <c r="D1095" s="190">
        <v>3</v>
      </c>
      <c r="E1095" s="187">
        <v>0.75</v>
      </c>
      <c r="F1095" s="187">
        <v>0.115</v>
      </c>
      <c r="G1095" s="187"/>
      <c r="H1095" s="266">
        <f t="shared" si="36"/>
        <v>0.26</v>
      </c>
    </row>
    <row r="1096" spans="1:8" ht="20.100000000000001" customHeight="1">
      <c r="A1096" s="182"/>
      <c r="B1096" s="218" t="s">
        <v>3858</v>
      </c>
      <c r="C1096" s="219">
        <v>1</v>
      </c>
      <c r="D1096" s="219">
        <v>1</v>
      </c>
      <c r="E1096" s="213">
        <v>4.915</v>
      </c>
      <c r="F1096" s="213">
        <v>4.6150000000000002</v>
      </c>
      <c r="G1096" s="244"/>
      <c r="H1096" s="266">
        <f t="shared" si="36"/>
        <v>22.68</v>
      </c>
    </row>
    <row r="1097" spans="1:8" ht="20.100000000000001" customHeight="1">
      <c r="A1097" s="182"/>
      <c r="B1097" s="218" t="s">
        <v>3850</v>
      </c>
      <c r="C1097" s="219">
        <v>1</v>
      </c>
      <c r="D1097" s="219">
        <v>1</v>
      </c>
      <c r="E1097" s="193">
        <v>1</v>
      </c>
      <c r="F1097" s="244">
        <v>0.23</v>
      </c>
      <c r="G1097" s="244"/>
      <c r="H1097" s="266">
        <f t="shared" si="36"/>
        <v>0.23</v>
      </c>
    </row>
    <row r="1098" spans="1:8" s="228" customFormat="1" ht="20.100000000000001" customHeight="1">
      <c r="A1098" s="195"/>
      <c r="B1098" s="192" t="s">
        <v>3817</v>
      </c>
      <c r="C1098" s="190">
        <v>1</v>
      </c>
      <c r="D1098" s="190">
        <v>1</v>
      </c>
      <c r="E1098" s="187">
        <v>1.65</v>
      </c>
      <c r="F1098" s="187">
        <v>1.5349999999999999</v>
      </c>
      <c r="G1098" s="187"/>
      <c r="H1098" s="266">
        <f t="shared" si="36"/>
        <v>2.5299999999999998</v>
      </c>
    </row>
    <row r="1099" spans="1:8" s="228" customFormat="1" ht="20.100000000000001" customHeight="1">
      <c r="A1099" s="195"/>
      <c r="B1099" s="232"/>
      <c r="C1099" s="190">
        <v>1</v>
      </c>
      <c r="D1099" s="190">
        <v>1</v>
      </c>
      <c r="E1099" s="187">
        <v>1.65</v>
      </c>
      <c r="F1099" s="187">
        <v>1.35</v>
      </c>
      <c r="G1099" s="187"/>
      <c r="H1099" s="266">
        <f t="shared" si="36"/>
        <v>2.23</v>
      </c>
    </row>
    <row r="1100" spans="1:8" ht="20.100000000000001" customHeight="1">
      <c r="A1100" s="182"/>
      <c r="B1100" s="218" t="s">
        <v>3939</v>
      </c>
      <c r="C1100" s="219">
        <v>1</v>
      </c>
      <c r="D1100" s="219">
        <v>1</v>
      </c>
      <c r="E1100" s="193">
        <v>4.3499999999999996</v>
      </c>
      <c r="F1100" s="213">
        <v>4.7649999999999997</v>
      </c>
      <c r="G1100" s="244"/>
      <c r="H1100" s="266">
        <f t="shared" si="36"/>
        <v>20.73</v>
      </c>
    </row>
    <row r="1101" spans="1:8" ht="20.100000000000001" customHeight="1">
      <c r="A1101" s="182"/>
      <c r="B1101" s="218" t="s">
        <v>3850</v>
      </c>
      <c r="C1101" s="219">
        <v>1</v>
      </c>
      <c r="D1101" s="219">
        <v>1</v>
      </c>
      <c r="E1101" s="193">
        <v>1</v>
      </c>
      <c r="F1101" s="244">
        <v>0.23</v>
      </c>
      <c r="G1101" s="244"/>
      <c r="H1101" s="266">
        <f t="shared" si="36"/>
        <v>0.23</v>
      </c>
    </row>
    <row r="1102" spans="1:8" s="228" customFormat="1" ht="20.100000000000001" customHeight="1">
      <c r="A1102" s="195"/>
      <c r="B1102" s="192" t="s">
        <v>3819</v>
      </c>
      <c r="C1102" s="190">
        <v>1</v>
      </c>
      <c r="D1102" s="190">
        <v>1</v>
      </c>
      <c r="E1102" s="194">
        <v>1.5</v>
      </c>
      <c r="F1102" s="187">
        <v>1.35</v>
      </c>
      <c r="G1102" s="187"/>
      <c r="H1102" s="266">
        <f t="shared" si="36"/>
        <v>2.0299999999999998</v>
      </c>
    </row>
    <row r="1103" spans="1:8" s="228" customFormat="1" ht="20.100000000000001" customHeight="1">
      <c r="A1103" s="195"/>
      <c r="B1103" s="232"/>
      <c r="C1103" s="190">
        <v>1</v>
      </c>
      <c r="D1103" s="190">
        <v>1</v>
      </c>
      <c r="E1103" s="187">
        <v>1.65</v>
      </c>
      <c r="F1103" s="187">
        <v>1.35</v>
      </c>
      <c r="G1103" s="187"/>
      <c r="H1103" s="266">
        <f t="shared" si="36"/>
        <v>2.23</v>
      </c>
    </row>
    <row r="1104" spans="1:8" s="228" customFormat="1" ht="20.100000000000001" customHeight="1">
      <c r="A1104" s="195"/>
      <c r="B1104" s="192" t="s">
        <v>3812</v>
      </c>
      <c r="C1104" s="190">
        <v>1</v>
      </c>
      <c r="D1104" s="190">
        <v>2</v>
      </c>
      <c r="E1104" s="187">
        <v>0.75</v>
      </c>
      <c r="F1104" s="187">
        <v>0.115</v>
      </c>
      <c r="G1104" s="187"/>
      <c r="H1104" s="266">
        <f t="shared" ref="H1104:H1147" si="37">ROUND(PRODUCT(C1104:G1104),2)</f>
        <v>0.17</v>
      </c>
    </row>
    <row r="1105" spans="1:9" s="228" customFormat="1" ht="20.100000000000001" customHeight="1">
      <c r="A1105" s="195"/>
      <c r="B1105" s="192" t="s">
        <v>3803</v>
      </c>
      <c r="C1105" s="190">
        <v>1</v>
      </c>
      <c r="D1105" s="190">
        <v>1</v>
      </c>
      <c r="E1105" s="187">
        <v>1.085</v>
      </c>
      <c r="F1105" s="187">
        <v>0.115</v>
      </c>
      <c r="G1105" s="187"/>
      <c r="H1105" s="266">
        <f t="shared" si="37"/>
        <v>0.12</v>
      </c>
    </row>
    <row r="1106" spans="1:9" s="228" customFormat="1" ht="20.100000000000001" customHeight="1">
      <c r="A1106" s="195"/>
      <c r="B1106" s="192" t="s">
        <v>3813</v>
      </c>
      <c r="C1106" s="190">
        <v>1</v>
      </c>
      <c r="D1106" s="190">
        <v>1</v>
      </c>
      <c r="E1106" s="187">
        <v>1.085</v>
      </c>
      <c r="F1106" s="187">
        <v>1.35</v>
      </c>
      <c r="G1106" s="187"/>
      <c r="H1106" s="266">
        <f t="shared" si="37"/>
        <v>1.46</v>
      </c>
    </row>
    <row r="1107" spans="1:9" ht="20.100000000000001" customHeight="1">
      <c r="A1107" s="182"/>
      <c r="B1107" s="218" t="s">
        <v>3940</v>
      </c>
      <c r="C1107" s="219">
        <v>1</v>
      </c>
      <c r="D1107" s="219">
        <v>1</v>
      </c>
      <c r="E1107" s="193">
        <v>3.12</v>
      </c>
      <c r="F1107" s="244">
        <v>2.4</v>
      </c>
      <c r="G1107" s="244"/>
      <c r="H1107" s="266">
        <f t="shared" si="37"/>
        <v>7.49</v>
      </c>
    </row>
    <row r="1108" spans="1:9" ht="20.100000000000001" customHeight="1">
      <c r="A1108" s="182"/>
      <c r="B1108" s="218" t="s">
        <v>3850</v>
      </c>
      <c r="C1108" s="219">
        <v>1</v>
      </c>
      <c r="D1108" s="219">
        <v>1</v>
      </c>
      <c r="E1108" s="193">
        <v>1</v>
      </c>
      <c r="F1108" s="244">
        <v>0.23</v>
      </c>
      <c r="G1108" s="244"/>
      <c r="H1108" s="266">
        <f t="shared" si="37"/>
        <v>0.23</v>
      </c>
    </row>
    <row r="1109" spans="1:9" ht="20.100000000000001" customHeight="1">
      <c r="A1109" s="182"/>
      <c r="B1109" s="218" t="s">
        <v>3862</v>
      </c>
      <c r="C1109" s="219">
        <v>1</v>
      </c>
      <c r="D1109" s="219">
        <v>1</v>
      </c>
      <c r="E1109" s="193">
        <v>1</v>
      </c>
      <c r="F1109" s="244">
        <v>1.63</v>
      </c>
      <c r="G1109" s="244"/>
      <c r="H1109" s="266">
        <f t="shared" si="37"/>
        <v>1.63</v>
      </c>
    </row>
    <row r="1110" spans="1:9" ht="20.100000000000001" customHeight="1">
      <c r="A1110" s="182"/>
      <c r="B1110" s="218" t="s">
        <v>3803</v>
      </c>
      <c r="C1110" s="219">
        <v>1</v>
      </c>
      <c r="D1110" s="219">
        <v>1</v>
      </c>
      <c r="E1110" s="193">
        <v>1.63</v>
      </c>
      <c r="F1110" s="244">
        <v>0.23</v>
      </c>
      <c r="G1110" s="244"/>
      <c r="H1110" s="266">
        <f t="shared" si="37"/>
        <v>0.37</v>
      </c>
    </row>
    <row r="1111" spans="1:9" ht="20.100000000000001" customHeight="1">
      <c r="A1111" s="182"/>
      <c r="B1111" s="218" t="s">
        <v>3344</v>
      </c>
      <c r="C1111" s="219">
        <v>1</v>
      </c>
      <c r="D1111" s="219">
        <v>1</v>
      </c>
      <c r="E1111" s="193">
        <v>4.3499999999999996</v>
      </c>
      <c r="F1111" s="244">
        <v>3</v>
      </c>
      <c r="G1111" s="244"/>
      <c r="H1111" s="266">
        <f t="shared" si="37"/>
        <v>13.05</v>
      </c>
    </row>
    <row r="1112" spans="1:9" ht="20.100000000000001" customHeight="1">
      <c r="A1112" s="182"/>
      <c r="B1112" s="218" t="s">
        <v>3850</v>
      </c>
      <c r="C1112" s="219">
        <v>1</v>
      </c>
      <c r="D1112" s="219">
        <v>1</v>
      </c>
      <c r="E1112" s="193">
        <v>1</v>
      </c>
      <c r="F1112" s="244">
        <v>0.23</v>
      </c>
      <c r="G1112" s="244"/>
      <c r="H1112" s="266">
        <f t="shared" si="37"/>
        <v>0.23</v>
      </c>
    </row>
    <row r="1113" spans="1:9" ht="20.100000000000001" customHeight="1">
      <c r="A1113" s="182"/>
      <c r="B1113" s="218" t="s">
        <v>3699</v>
      </c>
      <c r="C1113" s="219">
        <v>1</v>
      </c>
      <c r="D1113" s="219">
        <v>1</v>
      </c>
      <c r="E1113" s="193">
        <v>6.68</v>
      </c>
      <c r="F1113" s="244">
        <v>2.4</v>
      </c>
      <c r="G1113" s="244"/>
      <c r="H1113" s="266">
        <f t="shared" si="37"/>
        <v>16.03</v>
      </c>
    </row>
    <row r="1114" spans="1:9" s="271" customFormat="1" ht="20.100000000000001" customHeight="1">
      <c r="A1114" s="267"/>
      <c r="B1114" s="268" t="s">
        <v>3941</v>
      </c>
      <c r="C1114" s="190"/>
      <c r="D1114" s="190"/>
      <c r="E1114" s="194"/>
      <c r="F1114" s="194"/>
      <c r="G1114" s="270"/>
      <c r="H1114" s="266">
        <f t="shared" si="37"/>
        <v>0</v>
      </c>
    </row>
    <row r="1115" spans="1:9" s="186" customFormat="1" ht="20.100000000000001" customHeight="1">
      <c r="A1115" s="182"/>
      <c r="B1115" s="216" t="s">
        <v>3771</v>
      </c>
      <c r="C1115" s="219"/>
      <c r="D1115" s="219"/>
      <c r="E1115" s="193"/>
      <c r="F1115" s="193"/>
      <c r="G1115" s="193"/>
      <c r="H1115" s="266">
        <f t="shared" si="37"/>
        <v>0</v>
      </c>
      <c r="I1115" s="225"/>
    </row>
    <row r="1116" spans="1:9" s="186" customFormat="1" ht="20.100000000000001" customHeight="1">
      <c r="A1116" s="182"/>
      <c r="B1116" s="218" t="s">
        <v>3913</v>
      </c>
      <c r="C1116" s="219">
        <v>1</v>
      </c>
      <c r="D1116" s="219">
        <v>2</v>
      </c>
      <c r="E1116" s="193">
        <f>1.5+0.46</f>
        <v>1.96</v>
      </c>
      <c r="F1116" s="193">
        <v>0.6</v>
      </c>
      <c r="G1116" s="315"/>
      <c r="H1116" s="266">
        <f t="shared" si="37"/>
        <v>2.35</v>
      </c>
      <c r="I1116" s="225"/>
    </row>
    <row r="1117" spans="1:9" s="186" customFormat="1" ht="20.100000000000001" customHeight="1">
      <c r="A1117" s="182"/>
      <c r="B1117" s="218" t="s">
        <v>3914</v>
      </c>
      <c r="C1117" s="219">
        <v>1</v>
      </c>
      <c r="D1117" s="219">
        <v>1</v>
      </c>
      <c r="E1117" s="193">
        <v>3.46</v>
      </c>
      <c r="F1117" s="193">
        <v>0.6</v>
      </c>
      <c r="G1117" s="315"/>
      <c r="H1117" s="266">
        <f t="shared" si="37"/>
        <v>2.08</v>
      </c>
      <c r="I1117" s="225"/>
    </row>
    <row r="1118" spans="1:9" s="186" customFormat="1" ht="20.100000000000001" customHeight="1">
      <c r="A1118" s="182"/>
      <c r="B1118" s="216" t="s">
        <v>3772</v>
      </c>
      <c r="C1118" s="219"/>
      <c r="D1118" s="219"/>
      <c r="E1118" s="193"/>
      <c r="F1118" s="193"/>
      <c r="G1118" s="193"/>
      <c r="H1118" s="266">
        <f t="shared" si="37"/>
        <v>0</v>
      </c>
      <c r="I1118" s="225"/>
    </row>
    <row r="1119" spans="1:9" s="186" customFormat="1" ht="20.100000000000001" customHeight="1">
      <c r="A1119" s="182"/>
      <c r="B1119" s="218" t="s">
        <v>3915</v>
      </c>
      <c r="C1119" s="219">
        <v>1</v>
      </c>
      <c r="D1119" s="219">
        <v>4</v>
      </c>
      <c r="E1119" s="193">
        <f>1.5+0.46</f>
        <v>1.96</v>
      </c>
      <c r="F1119" s="193">
        <v>0.6</v>
      </c>
      <c r="G1119" s="315"/>
      <c r="H1119" s="266">
        <f t="shared" si="37"/>
        <v>4.7</v>
      </c>
      <c r="I1119" s="225"/>
    </row>
    <row r="1120" spans="1:9" s="186" customFormat="1" ht="20.100000000000001" customHeight="1">
      <c r="A1120" s="182"/>
      <c r="B1120" s="218" t="s">
        <v>3926</v>
      </c>
      <c r="C1120" s="219">
        <v>1</v>
      </c>
      <c r="D1120" s="219">
        <v>2</v>
      </c>
      <c r="E1120" s="193">
        <f>1.8+0.46</f>
        <v>2.2599999999999998</v>
      </c>
      <c r="F1120" s="193">
        <v>0.6</v>
      </c>
      <c r="G1120" s="315"/>
      <c r="H1120" s="266">
        <f t="shared" si="37"/>
        <v>2.71</v>
      </c>
      <c r="I1120" s="225"/>
    </row>
    <row r="1121" spans="1:9" s="186" customFormat="1" ht="20.100000000000001" customHeight="1">
      <c r="A1121" s="182"/>
      <c r="B1121" s="218" t="s">
        <v>3917</v>
      </c>
      <c r="C1121" s="219">
        <v>1</v>
      </c>
      <c r="D1121" s="219">
        <v>1</v>
      </c>
      <c r="E1121" s="193">
        <f>1.35+0.46</f>
        <v>1.81</v>
      </c>
      <c r="F1121" s="193">
        <v>0.6</v>
      </c>
      <c r="G1121" s="315"/>
      <c r="H1121" s="266">
        <f t="shared" si="37"/>
        <v>1.0900000000000001</v>
      </c>
      <c r="I1121" s="225"/>
    </row>
    <row r="1122" spans="1:9" s="186" customFormat="1" ht="20.100000000000001" customHeight="1">
      <c r="A1122" s="182"/>
      <c r="B1122" s="218" t="s">
        <v>3918</v>
      </c>
      <c r="C1122" s="219">
        <v>1</v>
      </c>
      <c r="D1122" s="219">
        <v>1</v>
      </c>
      <c r="E1122" s="193">
        <v>3.46</v>
      </c>
      <c r="F1122" s="193">
        <v>0.6</v>
      </c>
      <c r="G1122" s="315"/>
      <c r="H1122" s="266">
        <f t="shared" si="37"/>
        <v>2.08</v>
      </c>
      <c r="I1122" s="225"/>
    </row>
    <row r="1123" spans="1:9" s="186" customFormat="1" ht="20.100000000000001" customHeight="1">
      <c r="A1123" s="182"/>
      <c r="B1123" s="218" t="s">
        <v>3632</v>
      </c>
      <c r="C1123" s="219">
        <v>1</v>
      </c>
      <c r="D1123" s="219">
        <v>1</v>
      </c>
      <c r="E1123" s="193">
        <f>1.8+0.46</f>
        <v>2.2599999999999998</v>
      </c>
      <c r="F1123" s="193">
        <v>0.6</v>
      </c>
      <c r="G1123" s="315"/>
      <c r="H1123" s="266">
        <f t="shared" si="37"/>
        <v>1.36</v>
      </c>
      <c r="I1123" s="225"/>
    </row>
    <row r="1124" spans="1:9" s="186" customFormat="1" ht="20.100000000000001" customHeight="1">
      <c r="A1124" s="182"/>
      <c r="B1124" s="216" t="s">
        <v>3773</v>
      </c>
      <c r="C1124" s="219"/>
      <c r="D1124" s="219"/>
      <c r="E1124" s="193"/>
      <c r="F1124" s="193"/>
      <c r="G1124" s="193"/>
      <c r="H1124" s="266">
        <f t="shared" si="37"/>
        <v>0</v>
      </c>
      <c r="I1124" s="225"/>
    </row>
    <row r="1125" spans="1:9" s="186" customFormat="1" ht="20.100000000000001" customHeight="1">
      <c r="A1125" s="182"/>
      <c r="B1125" s="218" t="s">
        <v>3919</v>
      </c>
      <c r="C1125" s="219">
        <v>1</v>
      </c>
      <c r="D1125" s="219">
        <v>4</v>
      </c>
      <c r="E1125" s="193">
        <f>1.5+0.46</f>
        <v>1.96</v>
      </c>
      <c r="F1125" s="193">
        <v>0.6</v>
      </c>
      <c r="G1125" s="315"/>
      <c r="H1125" s="266">
        <f t="shared" si="37"/>
        <v>4.7</v>
      </c>
      <c r="I1125" s="225"/>
    </row>
    <row r="1126" spans="1:9" s="186" customFormat="1" ht="20.100000000000001" customHeight="1">
      <c r="A1126" s="182"/>
      <c r="B1126" s="218" t="s">
        <v>3606</v>
      </c>
      <c r="C1126" s="219">
        <v>1</v>
      </c>
      <c r="D1126" s="219">
        <v>1</v>
      </c>
      <c r="E1126" s="193">
        <f>1.8+0.46</f>
        <v>2.2599999999999998</v>
      </c>
      <c r="F1126" s="193">
        <v>0.6</v>
      </c>
      <c r="G1126" s="315"/>
      <c r="H1126" s="266">
        <f t="shared" si="37"/>
        <v>1.36</v>
      </c>
      <c r="I1126" s="225"/>
    </row>
    <row r="1127" spans="1:9" s="186" customFormat="1" ht="20.100000000000001" customHeight="1">
      <c r="A1127" s="182"/>
      <c r="B1127" s="218" t="s">
        <v>3632</v>
      </c>
      <c r="C1127" s="219">
        <v>1</v>
      </c>
      <c r="D1127" s="219">
        <v>1</v>
      </c>
      <c r="E1127" s="193">
        <f>1.8+0.46</f>
        <v>2.2599999999999998</v>
      </c>
      <c r="F1127" s="193">
        <v>0.6</v>
      </c>
      <c r="G1127" s="315"/>
      <c r="H1127" s="266">
        <f t="shared" si="37"/>
        <v>1.36</v>
      </c>
      <c r="I1127" s="225"/>
    </row>
    <row r="1128" spans="1:9" s="186" customFormat="1" ht="20.100000000000001" customHeight="1">
      <c r="A1128" s="182"/>
      <c r="B1128" s="218" t="s">
        <v>3942</v>
      </c>
      <c r="C1128" s="219">
        <v>1</v>
      </c>
      <c r="D1128" s="219">
        <v>3</v>
      </c>
      <c r="E1128" s="193">
        <f>1.35+0.46</f>
        <v>1.81</v>
      </c>
      <c r="F1128" s="193">
        <v>0.6</v>
      </c>
      <c r="G1128" s="315"/>
      <c r="H1128" s="266">
        <f t="shared" si="37"/>
        <v>3.26</v>
      </c>
      <c r="I1128" s="225"/>
    </row>
    <row r="1129" spans="1:9" s="186" customFormat="1" ht="20.100000000000001" customHeight="1">
      <c r="A1129" s="182"/>
      <c r="B1129" s="218" t="s">
        <v>3922</v>
      </c>
      <c r="C1129" s="219">
        <v>1</v>
      </c>
      <c r="D1129" s="219">
        <v>1</v>
      </c>
      <c r="E1129" s="193">
        <v>3.76</v>
      </c>
      <c r="F1129" s="193">
        <v>0.6</v>
      </c>
      <c r="G1129" s="315"/>
      <c r="H1129" s="266">
        <f t="shared" si="37"/>
        <v>2.2599999999999998</v>
      </c>
      <c r="I1129" s="225"/>
    </row>
    <row r="1130" spans="1:9" s="186" customFormat="1" ht="19.899999999999999" customHeight="1">
      <c r="A1130" s="182"/>
      <c r="B1130" s="218" t="s">
        <v>3923</v>
      </c>
      <c r="C1130" s="219">
        <v>1</v>
      </c>
      <c r="D1130" s="219">
        <v>1</v>
      </c>
      <c r="E1130" s="193">
        <v>3.61</v>
      </c>
      <c r="F1130" s="193">
        <v>0.6</v>
      </c>
      <c r="G1130" s="315"/>
      <c r="H1130" s="266">
        <f t="shared" si="37"/>
        <v>2.17</v>
      </c>
      <c r="I1130" s="225"/>
    </row>
    <row r="1131" spans="1:9" s="186" customFormat="1" ht="20.100000000000001" customHeight="1">
      <c r="A1131" s="182"/>
      <c r="B1131" s="216" t="s">
        <v>3774</v>
      </c>
      <c r="C1131" s="219"/>
      <c r="D1131" s="219"/>
      <c r="E1131" s="193"/>
      <c r="F1131" s="193"/>
      <c r="G1131" s="213"/>
      <c r="H1131" s="266">
        <f t="shared" si="37"/>
        <v>0</v>
      </c>
    </row>
    <row r="1132" spans="1:9" s="186" customFormat="1" ht="20.100000000000001" customHeight="1">
      <c r="A1132" s="182"/>
      <c r="B1132" s="218" t="s">
        <v>3632</v>
      </c>
      <c r="C1132" s="219">
        <v>1</v>
      </c>
      <c r="D1132" s="219">
        <v>1</v>
      </c>
      <c r="E1132" s="193">
        <f>1.8+0.46</f>
        <v>2.2599999999999998</v>
      </c>
      <c r="F1132" s="193">
        <v>0.6</v>
      </c>
      <c r="G1132" s="315"/>
      <c r="H1132" s="266">
        <f t="shared" si="37"/>
        <v>1.36</v>
      </c>
    </row>
    <row r="1133" spans="1:9" s="186" customFormat="1" ht="20.100000000000001" customHeight="1">
      <c r="A1133" s="182"/>
      <c r="B1133" s="218" t="s">
        <v>3605</v>
      </c>
      <c r="C1133" s="219">
        <v>1</v>
      </c>
      <c r="D1133" s="219">
        <v>1</v>
      </c>
      <c r="E1133" s="193">
        <f>1.5+0.46</f>
        <v>1.96</v>
      </c>
      <c r="F1133" s="193">
        <v>0.6</v>
      </c>
      <c r="G1133" s="315"/>
      <c r="H1133" s="266">
        <f t="shared" si="37"/>
        <v>1.18</v>
      </c>
    </row>
    <row r="1134" spans="1:9" s="186" customFormat="1" ht="20.100000000000001" customHeight="1">
      <c r="A1134" s="182"/>
      <c r="B1134" s="218" t="s">
        <v>3483</v>
      </c>
      <c r="C1134" s="219">
        <v>1</v>
      </c>
      <c r="D1134" s="219">
        <v>1</v>
      </c>
      <c r="E1134" s="193">
        <f>1+0.46</f>
        <v>1.46</v>
      </c>
      <c r="F1134" s="193">
        <v>0.6</v>
      </c>
      <c r="G1134" s="315"/>
      <c r="H1134" s="266">
        <f t="shared" si="37"/>
        <v>0.88</v>
      </c>
    </row>
    <row r="1135" spans="1:9" s="186" customFormat="1" ht="20.100000000000001" customHeight="1">
      <c r="A1135" s="182"/>
      <c r="B1135" s="189" t="s">
        <v>3943</v>
      </c>
      <c r="C1135" s="219"/>
      <c r="D1135" s="219"/>
      <c r="E1135" s="193"/>
      <c r="F1135" s="193"/>
      <c r="G1135" s="315"/>
      <c r="H1135" s="266">
        <f t="shared" si="37"/>
        <v>0</v>
      </c>
    </row>
    <row r="1136" spans="1:9" s="186" customFormat="1" ht="20.100000000000001" customHeight="1">
      <c r="A1136" s="195"/>
      <c r="B1136" s="189" t="s">
        <v>3944</v>
      </c>
      <c r="C1136" s="190"/>
      <c r="D1136" s="190"/>
      <c r="E1136" s="264"/>
      <c r="F1136" s="264"/>
      <c r="G1136" s="194"/>
      <c r="H1136" s="266">
        <f t="shared" si="37"/>
        <v>0</v>
      </c>
      <c r="I1136" s="199"/>
    </row>
    <row r="1137" spans="1:9" s="186" customFormat="1" ht="20.100000000000001" customHeight="1">
      <c r="A1137" s="195"/>
      <c r="B1137" s="192" t="s">
        <v>3945</v>
      </c>
      <c r="C1137" s="190">
        <v>1</v>
      </c>
      <c r="D1137" s="190">
        <v>1</v>
      </c>
      <c r="E1137" s="264">
        <v>4.0149999999999997</v>
      </c>
      <c r="F1137" s="194">
        <v>0.6</v>
      </c>
      <c r="G1137" s="264"/>
      <c r="H1137" s="266">
        <f t="shared" si="37"/>
        <v>2.41</v>
      </c>
      <c r="I1137" s="199"/>
    </row>
    <row r="1138" spans="1:9" s="186" customFormat="1" ht="20.100000000000001" customHeight="1">
      <c r="A1138" s="195"/>
      <c r="B1138" s="192" t="s">
        <v>3946</v>
      </c>
      <c r="C1138" s="190">
        <v>1</v>
      </c>
      <c r="D1138" s="190">
        <v>1</v>
      </c>
      <c r="E1138" s="264">
        <v>4.0149999999999997</v>
      </c>
      <c r="F1138" s="194">
        <v>0.6</v>
      </c>
      <c r="G1138" s="264"/>
      <c r="H1138" s="266">
        <f t="shared" si="37"/>
        <v>2.41</v>
      </c>
      <c r="I1138" s="199"/>
    </row>
    <row r="1139" spans="1:9" s="186" customFormat="1" ht="20.100000000000001" customHeight="1">
      <c r="A1139" s="195"/>
      <c r="B1139" s="192" t="s">
        <v>3855</v>
      </c>
      <c r="C1139" s="190">
        <v>1</v>
      </c>
      <c r="D1139" s="190">
        <v>2</v>
      </c>
      <c r="E1139" s="194">
        <v>3</v>
      </c>
      <c r="F1139" s="194">
        <v>0.6</v>
      </c>
      <c r="G1139" s="264"/>
      <c r="H1139" s="266">
        <f t="shared" si="37"/>
        <v>3.6</v>
      </c>
      <c r="I1139" s="199"/>
    </row>
    <row r="1140" spans="1:9" s="186" customFormat="1" ht="20.100000000000001" customHeight="1">
      <c r="A1140" s="195"/>
      <c r="B1140" s="192" t="s">
        <v>3852</v>
      </c>
      <c r="C1140" s="190">
        <v>1</v>
      </c>
      <c r="D1140" s="190">
        <v>1</v>
      </c>
      <c r="E1140" s="194">
        <v>2.4</v>
      </c>
      <c r="F1140" s="194">
        <v>0.6</v>
      </c>
      <c r="G1140" s="264"/>
      <c r="H1140" s="266">
        <f t="shared" si="37"/>
        <v>1.44</v>
      </c>
      <c r="I1140" s="199"/>
    </row>
    <row r="1141" spans="1:9" s="186" customFormat="1" ht="20.100000000000001" customHeight="1">
      <c r="A1141" s="195"/>
      <c r="B1141" s="192" t="s">
        <v>3853</v>
      </c>
      <c r="C1141" s="190">
        <v>1</v>
      </c>
      <c r="D1141" s="190">
        <v>1</v>
      </c>
      <c r="E1141" s="264">
        <v>4.3499999999999996</v>
      </c>
      <c r="F1141" s="194">
        <v>0.6</v>
      </c>
      <c r="G1141" s="264"/>
      <c r="H1141" s="266">
        <f t="shared" si="37"/>
        <v>2.61</v>
      </c>
      <c r="I1141" s="199"/>
    </row>
    <row r="1142" spans="1:9" s="186" customFormat="1" ht="20.100000000000001" customHeight="1">
      <c r="A1142" s="195"/>
      <c r="B1142" s="189" t="s">
        <v>3947</v>
      </c>
      <c r="C1142" s="190"/>
      <c r="D1142" s="190"/>
      <c r="E1142" s="264"/>
      <c r="F1142" s="264"/>
      <c r="G1142" s="194"/>
      <c r="H1142" s="266">
        <f t="shared" si="37"/>
        <v>0</v>
      </c>
      <c r="I1142" s="199"/>
    </row>
    <row r="1143" spans="1:9" s="186" customFormat="1" ht="20.100000000000001" customHeight="1">
      <c r="A1143" s="195"/>
      <c r="B1143" s="192" t="s">
        <v>3945</v>
      </c>
      <c r="C1143" s="190">
        <v>1</v>
      </c>
      <c r="D1143" s="190">
        <v>1</v>
      </c>
      <c r="E1143" s="264">
        <v>4.0149999999999997</v>
      </c>
      <c r="F1143" s="194">
        <v>0.6</v>
      </c>
      <c r="G1143" s="264"/>
      <c r="H1143" s="266">
        <f t="shared" si="37"/>
        <v>2.41</v>
      </c>
      <c r="I1143" s="199"/>
    </row>
    <row r="1144" spans="1:9" s="186" customFormat="1" ht="20.100000000000001" customHeight="1">
      <c r="A1144" s="195"/>
      <c r="B1144" s="192" t="s">
        <v>3946</v>
      </c>
      <c r="C1144" s="190">
        <v>1</v>
      </c>
      <c r="D1144" s="190">
        <v>1</v>
      </c>
      <c r="E1144" s="264">
        <v>4.0149999999999997</v>
      </c>
      <c r="F1144" s="194">
        <v>0.6</v>
      </c>
      <c r="G1144" s="264"/>
      <c r="H1144" s="266">
        <f t="shared" si="37"/>
        <v>2.41</v>
      </c>
      <c r="I1144" s="199"/>
    </row>
    <row r="1145" spans="1:9" s="186" customFormat="1" ht="20.100000000000001" customHeight="1">
      <c r="A1145" s="195"/>
      <c r="B1145" s="192" t="s">
        <v>3855</v>
      </c>
      <c r="C1145" s="190">
        <v>1</v>
      </c>
      <c r="D1145" s="190">
        <v>1</v>
      </c>
      <c r="E1145" s="194">
        <v>3</v>
      </c>
      <c r="F1145" s="194">
        <v>0.6</v>
      </c>
      <c r="G1145" s="264"/>
      <c r="H1145" s="266">
        <f t="shared" si="37"/>
        <v>1.8</v>
      </c>
      <c r="I1145" s="199"/>
    </row>
    <row r="1146" spans="1:9" s="186" customFormat="1" ht="20.100000000000001" customHeight="1">
      <c r="A1146" s="195"/>
      <c r="B1146" s="192" t="s">
        <v>3858</v>
      </c>
      <c r="C1146" s="190">
        <v>1</v>
      </c>
      <c r="D1146" s="190">
        <v>1</v>
      </c>
      <c r="E1146" s="264">
        <v>4.915</v>
      </c>
      <c r="F1146" s="194">
        <v>0.6</v>
      </c>
      <c r="G1146" s="264"/>
      <c r="H1146" s="266">
        <f t="shared" si="37"/>
        <v>2.95</v>
      </c>
      <c r="I1146" s="199"/>
    </row>
    <row r="1147" spans="1:9" s="186" customFormat="1" ht="20.100000000000001" customHeight="1">
      <c r="A1147" s="195"/>
      <c r="B1147" s="192" t="s">
        <v>3739</v>
      </c>
      <c r="C1147" s="190">
        <v>1</v>
      </c>
      <c r="D1147" s="190">
        <v>1</v>
      </c>
      <c r="E1147" s="194">
        <v>4.3499999999999996</v>
      </c>
      <c r="F1147" s="194">
        <v>0.6</v>
      </c>
      <c r="G1147" s="264"/>
      <c r="H1147" s="266">
        <f t="shared" si="37"/>
        <v>2.61</v>
      </c>
      <c r="I1147" s="199"/>
    </row>
    <row r="1148" spans="1:9" s="271" customFormat="1" ht="20.100000000000001" customHeight="1">
      <c r="A1148" s="267"/>
      <c r="B1148" s="268"/>
      <c r="C1148" s="269"/>
      <c r="D1148" s="269"/>
      <c r="E1148" s="270"/>
      <c r="F1148" s="270"/>
      <c r="G1148" s="270"/>
      <c r="H1148" s="270">
        <f>I1149-I1148</f>
        <v>0.06</v>
      </c>
      <c r="I1148" s="271">
        <f>SUM(H1038:H1147)</f>
        <v>468.04</v>
      </c>
    </row>
    <row r="1149" spans="1:9" s="271" customFormat="1" ht="20.100000000000001" customHeight="1">
      <c r="A1149" s="267"/>
      <c r="B1149" s="272"/>
      <c r="C1149" s="269"/>
      <c r="D1149" s="269"/>
      <c r="E1149" s="270"/>
      <c r="F1149" s="270"/>
      <c r="G1149" s="270"/>
      <c r="H1149" s="267">
        <f>+I1149</f>
        <v>468.1</v>
      </c>
      <c r="I1149" s="271">
        <f>ROUNDUP(I1148,1)</f>
        <v>468.1</v>
      </c>
    </row>
    <row r="1150" spans="1:9" s="271" customFormat="1" ht="20.100000000000001" customHeight="1">
      <c r="A1150" s="267"/>
      <c r="B1150" s="268"/>
      <c r="C1150" s="269"/>
      <c r="D1150" s="269"/>
      <c r="E1150" s="270"/>
      <c r="F1150" s="267" t="s">
        <v>2560</v>
      </c>
      <c r="G1150" s="267">
        <f>H1149</f>
        <v>468.1</v>
      </c>
      <c r="H1150" s="272" t="s">
        <v>1861</v>
      </c>
    </row>
    <row r="1151" spans="1:9" ht="20.100000000000001" customHeight="1">
      <c r="A1151" s="244">
        <v>36</v>
      </c>
      <c r="B1151" s="992" t="s">
        <v>1403</v>
      </c>
      <c r="C1151" s="993"/>
      <c r="D1151" s="993"/>
      <c r="E1151" s="993"/>
      <c r="F1151" s="993"/>
      <c r="G1151" s="994"/>
      <c r="H1151" s="205"/>
    </row>
    <row r="1152" spans="1:9" ht="20.100000000000001" customHeight="1">
      <c r="A1152" s="244"/>
      <c r="B1152" s="216" t="s">
        <v>3948</v>
      </c>
      <c r="C1152" s="219"/>
      <c r="D1152" s="219"/>
      <c r="E1152" s="205"/>
      <c r="F1152" s="194"/>
      <c r="G1152" s="213"/>
      <c r="H1152" s="205"/>
    </row>
    <row r="1153" spans="1:9" ht="20.100000000000001" customHeight="1">
      <c r="A1153" s="244"/>
      <c r="B1153" s="218" t="s">
        <v>3949</v>
      </c>
      <c r="C1153" s="219">
        <v>1</v>
      </c>
      <c r="D1153" s="219">
        <v>1</v>
      </c>
      <c r="E1153" s="205">
        <v>53.8</v>
      </c>
      <c r="F1153" s="194"/>
      <c r="G1153" s="213"/>
      <c r="H1153" s="205">
        <f>ROUND(PRODUCT(C1153:G1153),2)</f>
        <v>53.8</v>
      </c>
    </row>
    <row r="1154" spans="1:9" ht="20.100000000000001" customHeight="1">
      <c r="A1154" s="244"/>
      <c r="B1154" s="218" t="s">
        <v>3950</v>
      </c>
      <c r="C1154" s="219">
        <v>1</v>
      </c>
      <c r="D1154" s="219">
        <v>1</v>
      </c>
      <c r="E1154" s="205">
        <v>20</v>
      </c>
      <c r="F1154" s="194"/>
      <c r="G1154" s="213"/>
      <c r="H1154" s="205">
        <f>ROUND(PRODUCT(C1154:G1154),2)</f>
        <v>20</v>
      </c>
    </row>
    <row r="1155" spans="1:9" s="186" customFormat="1" ht="20.100000000000001" customHeight="1">
      <c r="A1155" s="244"/>
      <c r="B1155" s="218"/>
      <c r="C1155" s="219"/>
      <c r="D1155" s="219"/>
      <c r="E1155" s="253"/>
      <c r="F1155" s="244"/>
      <c r="G1155" s="213"/>
      <c r="H1155" s="253">
        <f>I1156-I1155</f>
        <v>0</v>
      </c>
      <c r="I1155" s="186">
        <f>SUM(H1153:H1154)</f>
        <v>73.8</v>
      </c>
    </row>
    <row r="1156" spans="1:9" s="186" customFormat="1" ht="20.100000000000001" customHeight="1">
      <c r="A1156" s="244"/>
      <c r="B1156" s="218"/>
      <c r="C1156" s="219"/>
      <c r="D1156" s="219"/>
      <c r="E1156" s="253"/>
      <c r="F1156" s="244"/>
      <c r="G1156" s="213" t="s">
        <v>1827</v>
      </c>
      <c r="H1156" s="253">
        <f>+I1156</f>
        <v>73.8</v>
      </c>
      <c r="I1156" s="186">
        <f>ROUNDUP(I1155,1)</f>
        <v>73.8</v>
      </c>
    </row>
    <row r="1157" spans="1:9" s="199" customFormat="1" ht="20.100000000000001" customHeight="1">
      <c r="A1157" s="182"/>
      <c r="B1157" s="216"/>
      <c r="C1157" s="220"/>
      <c r="D1157" s="220"/>
      <c r="E1157" s="262"/>
      <c r="F1157" s="182" t="s">
        <v>2560</v>
      </c>
      <c r="G1157" s="197">
        <f>H1156</f>
        <v>73.8</v>
      </c>
      <c r="H1157" s="262" t="s">
        <v>669</v>
      </c>
    </row>
    <row r="1158" spans="1:9" ht="20.100000000000001" customHeight="1">
      <c r="A1158" s="244"/>
      <c r="B1158" s="216" t="s">
        <v>3951</v>
      </c>
      <c r="C1158" s="219"/>
      <c r="D1158" s="219"/>
      <c r="E1158" s="205"/>
      <c r="F1158" s="194"/>
      <c r="G1158" s="213"/>
      <c r="H1158" s="205"/>
    </row>
    <row r="1159" spans="1:9" ht="20.100000000000001" customHeight="1">
      <c r="A1159" s="244"/>
      <c r="B1159" s="218" t="s">
        <v>3952</v>
      </c>
      <c r="C1159" s="219"/>
      <c r="D1159" s="219"/>
      <c r="E1159" s="205"/>
      <c r="F1159" s="194"/>
      <c r="G1159" s="213"/>
      <c r="H1159" s="205">
        <f>G1157</f>
        <v>73.8</v>
      </c>
    </row>
    <row r="1160" spans="1:9" s="316" customFormat="1" ht="20.100000000000001" customHeight="1">
      <c r="A1160" s="182"/>
      <c r="B1160" s="216"/>
      <c r="C1160" s="220"/>
      <c r="D1160" s="220"/>
      <c r="E1160" s="248"/>
      <c r="F1160" s="182" t="s">
        <v>2560</v>
      </c>
      <c r="G1160" s="197">
        <f>+H1159</f>
        <v>73.8</v>
      </c>
      <c r="H1160" s="262" t="s">
        <v>669</v>
      </c>
    </row>
    <row r="1161" spans="1:9" ht="20.100000000000001" customHeight="1">
      <c r="A1161" s="244"/>
      <c r="B1161" s="216" t="s">
        <v>3953</v>
      </c>
      <c r="C1161" s="219"/>
      <c r="D1161" s="219"/>
      <c r="E1161" s="205"/>
      <c r="F1161" s="194"/>
      <c r="G1161" s="213"/>
      <c r="H1161" s="205"/>
    </row>
    <row r="1162" spans="1:9" ht="20.100000000000001" customHeight="1">
      <c r="A1162" s="244"/>
      <c r="B1162" s="218" t="s">
        <v>3952</v>
      </c>
      <c r="C1162" s="219"/>
      <c r="D1162" s="219"/>
      <c r="E1162" s="205"/>
      <c r="F1162" s="194"/>
      <c r="G1162" s="213"/>
      <c r="H1162" s="205">
        <f>G1160</f>
        <v>73.8</v>
      </c>
    </row>
    <row r="1163" spans="1:9" s="316" customFormat="1" ht="20.100000000000001" customHeight="1">
      <c r="A1163" s="182"/>
      <c r="B1163" s="216"/>
      <c r="C1163" s="220"/>
      <c r="D1163" s="220"/>
      <c r="E1163" s="248"/>
      <c r="F1163" s="182" t="s">
        <v>2560</v>
      </c>
      <c r="G1163" s="197">
        <f>+H1162</f>
        <v>73.8</v>
      </c>
      <c r="H1163" s="262" t="s">
        <v>669</v>
      </c>
    </row>
    <row r="1164" spans="1:9" ht="20.100000000000001" customHeight="1">
      <c r="A1164" s="244">
        <v>37.1</v>
      </c>
      <c r="B1164" s="992" t="s">
        <v>3954</v>
      </c>
      <c r="C1164" s="993"/>
      <c r="D1164" s="993"/>
      <c r="E1164" s="993"/>
      <c r="F1164" s="993"/>
      <c r="G1164" s="994"/>
      <c r="H1164" s="205"/>
    </row>
    <row r="1165" spans="1:9" ht="19.899999999999999" customHeight="1">
      <c r="A1165" s="244"/>
      <c r="B1165" s="218" t="s">
        <v>3955</v>
      </c>
      <c r="C1165" s="219"/>
      <c r="D1165" s="219"/>
      <c r="E1165" s="205"/>
      <c r="F1165" s="194"/>
      <c r="G1165" s="213"/>
      <c r="H1165" s="205">
        <f>G1150</f>
        <v>468.1</v>
      </c>
    </row>
    <row r="1166" spans="1:9" s="316" customFormat="1" ht="20.100000000000001" customHeight="1">
      <c r="A1166" s="182"/>
      <c r="B1166" s="216"/>
      <c r="C1166" s="220"/>
      <c r="D1166" s="220"/>
      <c r="E1166" s="248"/>
      <c r="F1166" s="182" t="s">
        <v>2560</v>
      </c>
      <c r="G1166" s="197">
        <f>+H1165</f>
        <v>468.1</v>
      </c>
      <c r="H1166" s="262" t="s">
        <v>1861</v>
      </c>
    </row>
    <row r="1167" spans="1:9" ht="20.100000000000001" customHeight="1">
      <c r="A1167" s="244">
        <v>38.6</v>
      </c>
      <c r="B1167" s="992" t="s">
        <v>4965</v>
      </c>
      <c r="C1167" s="993"/>
      <c r="D1167" s="993"/>
      <c r="E1167" s="993"/>
      <c r="F1167" s="993"/>
      <c r="G1167" s="994"/>
      <c r="H1167" s="205"/>
    </row>
    <row r="1168" spans="1:9" ht="20.100000000000001" customHeight="1">
      <c r="A1168" s="244"/>
      <c r="B1168" s="218" t="s">
        <v>3956</v>
      </c>
      <c r="C1168" s="219"/>
      <c r="D1168" s="219"/>
      <c r="E1168" s="205"/>
      <c r="F1168" s="194"/>
      <c r="G1168" s="213"/>
      <c r="H1168" s="247">
        <f>2063.3-678.6</f>
        <v>1384.7</v>
      </c>
      <c r="I1168" s="181">
        <f>G953</f>
        <v>1538.9</v>
      </c>
    </row>
    <row r="1169" spans="1:9" s="228" customFormat="1" ht="20.100000000000001" customHeight="1">
      <c r="A1169" s="187"/>
      <c r="B1169" s="192" t="s">
        <v>3932</v>
      </c>
      <c r="C1169" s="190">
        <v>1</v>
      </c>
      <c r="D1169" s="190">
        <v>3</v>
      </c>
      <c r="E1169" s="205">
        <v>3.82</v>
      </c>
      <c r="F1169" s="194"/>
      <c r="G1169" s="193">
        <f>0.9+0.9+0.05</f>
        <v>1.85</v>
      </c>
      <c r="H1169" s="205">
        <f>ROUND(PRODUCT(C1169:G1169),2)</f>
        <v>21.2</v>
      </c>
    </row>
    <row r="1170" spans="1:9" s="228" customFormat="1" ht="20.100000000000001" customHeight="1">
      <c r="A1170" s="187"/>
      <c r="B1170" s="192" t="s">
        <v>3933</v>
      </c>
      <c r="C1170" s="190">
        <v>1</v>
      </c>
      <c r="D1170" s="190">
        <v>2</v>
      </c>
      <c r="E1170" s="205">
        <f>3.9</f>
        <v>3.9</v>
      </c>
      <c r="F1170" s="194"/>
      <c r="G1170" s="193">
        <f>0.9+0.9+0.05</f>
        <v>1.85</v>
      </c>
      <c r="H1170" s="205">
        <f>ROUND(PRODUCT(C1170:G1170),2)</f>
        <v>14.43</v>
      </c>
    </row>
    <row r="1171" spans="1:9" s="228" customFormat="1" ht="20.100000000000001" customHeight="1">
      <c r="A1171" s="187"/>
      <c r="B1171" s="192" t="s">
        <v>3934</v>
      </c>
      <c r="C1171" s="190">
        <v>2</v>
      </c>
      <c r="D1171" s="190">
        <v>1</v>
      </c>
      <c r="E1171" s="205">
        <v>2.85</v>
      </c>
      <c r="F1171" s="194"/>
      <c r="G1171" s="193">
        <f>0.9+0.9+0.05</f>
        <v>1.85</v>
      </c>
      <c r="H1171" s="205">
        <f>ROUND(PRODUCT(C1171:G1171),2)</f>
        <v>10.55</v>
      </c>
    </row>
    <row r="1172" spans="1:9" s="186" customFormat="1" ht="20.100000000000001" customHeight="1">
      <c r="A1172" s="244"/>
      <c r="B1172" s="218"/>
      <c r="C1172" s="219"/>
      <c r="D1172" s="219"/>
      <c r="E1172" s="253"/>
      <c r="F1172" s="244"/>
      <c r="G1172" s="213"/>
      <c r="H1172" s="253">
        <f>I1173-I1172</f>
        <v>0.02</v>
      </c>
      <c r="I1172" s="186">
        <f>SUM(H1168:H1171)</f>
        <v>1430.88</v>
      </c>
    </row>
    <row r="1173" spans="1:9" s="186" customFormat="1" ht="20.100000000000001" customHeight="1">
      <c r="A1173" s="244"/>
      <c r="B1173" s="218"/>
      <c r="C1173" s="219"/>
      <c r="D1173" s="219"/>
      <c r="E1173" s="253"/>
      <c r="F1173" s="244"/>
      <c r="G1173" s="213" t="s">
        <v>1827</v>
      </c>
      <c r="H1173" s="253">
        <f>+I1173</f>
        <v>1430.9</v>
      </c>
      <c r="I1173" s="186">
        <f>ROUNDUP(I1172,1)</f>
        <v>1430.9</v>
      </c>
    </row>
    <row r="1174" spans="1:9" s="199" customFormat="1" ht="20.100000000000001" customHeight="1">
      <c r="A1174" s="182"/>
      <c r="B1174" s="216"/>
      <c r="C1174" s="220"/>
      <c r="D1174" s="220"/>
      <c r="E1174" s="262"/>
      <c r="F1174" s="182" t="s">
        <v>2560</v>
      </c>
      <c r="G1174" s="197">
        <f>H1173</f>
        <v>1430.9</v>
      </c>
      <c r="H1174" s="262" t="s">
        <v>1861</v>
      </c>
    </row>
    <row r="1175" spans="1:9" ht="20.100000000000001" hidden="1" customHeight="1">
      <c r="A1175" s="244" t="s">
        <v>3957</v>
      </c>
      <c r="B1175" s="992" t="s">
        <v>3958</v>
      </c>
      <c r="C1175" s="993"/>
      <c r="D1175" s="993"/>
      <c r="E1175" s="993"/>
      <c r="F1175" s="993"/>
      <c r="G1175" s="994"/>
      <c r="H1175" s="205"/>
    </row>
    <row r="1176" spans="1:9" ht="20.100000000000001" hidden="1" customHeight="1">
      <c r="A1176" s="244"/>
      <c r="B1176" s="218" t="s">
        <v>3959</v>
      </c>
      <c r="C1176" s="219"/>
      <c r="D1176" s="219"/>
      <c r="E1176" s="205"/>
      <c r="F1176" s="194"/>
      <c r="G1176" s="213"/>
      <c r="H1176" s="205"/>
    </row>
    <row r="1177" spans="1:9" s="316" customFormat="1" ht="20.100000000000001" hidden="1" customHeight="1">
      <c r="A1177" s="182"/>
      <c r="B1177" s="216"/>
      <c r="C1177" s="220"/>
      <c r="D1177" s="220"/>
      <c r="E1177" s="248"/>
      <c r="F1177" s="182" t="s">
        <v>2560</v>
      </c>
      <c r="G1177" s="197">
        <f>H1176</f>
        <v>0</v>
      </c>
      <c r="H1177" s="262" t="s">
        <v>1861</v>
      </c>
    </row>
    <row r="1178" spans="1:9" ht="20.100000000000001" customHeight="1">
      <c r="A1178" s="244" t="s">
        <v>3960</v>
      </c>
      <c r="B1178" s="1022" t="s">
        <v>3961</v>
      </c>
      <c r="C1178" s="1023"/>
      <c r="D1178" s="1023"/>
      <c r="E1178" s="1023"/>
      <c r="F1178" s="1023"/>
      <c r="G1178" s="1024"/>
      <c r="H1178" s="205"/>
    </row>
    <row r="1179" spans="1:9" ht="20.100000000000001" customHeight="1">
      <c r="A1179" s="244"/>
      <c r="B1179" s="218" t="s">
        <v>3962</v>
      </c>
      <c r="C1179" s="219"/>
      <c r="D1179" s="219"/>
      <c r="E1179" s="205"/>
      <c r="F1179" s="194"/>
      <c r="G1179" s="213"/>
      <c r="H1179" s="205">
        <v>678.6</v>
      </c>
      <c r="I1179" s="181">
        <f>G1026</f>
        <v>710.9</v>
      </c>
    </row>
    <row r="1180" spans="1:9" s="316" customFormat="1" ht="20.100000000000001" customHeight="1">
      <c r="A1180" s="182"/>
      <c r="B1180" s="216"/>
      <c r="C1180" s="220"/>
      <c r="D1180" s="220"/>
      <c r="E1180" s="248"/>
      <c r="F1180" s="182" t="s">
        <v>2560</v>
      </c>
      <c r="G1180" s="197">
        <f>H1179</f>
        <v>678.6</v>
      </c>
      <c r="H1180" s="262" t="s">
        <v>1861</v>
      </c>
    </row>
    <row r="1181" spans="1:9" s="316" customFormat="1" ht="20.100000000000001" customHeight="1">
      <c r="A1181" s="244">
        <v>39</v>
      </c>
      <c r="B1181" s="992" t="s">
        <v>3963</v>
      </c>
      <c r="C1181" s="993"/>
      <c r="D1181" s="993"/>
      <c r="E1181" s="993"/>
      <c r="F1181" s="993"/>
      <c r="G1181" s="994"/>
      <c r="H1181" s="248"/>
    </row>
    <row r="1182" spans="1:9" ht="20.100000000000001" customHeight="1">
      <c r="A1182" s="244"/>
      <c r="B1182" s="218" t="s">
        <v>3964</v>
      </c>
      <c r="C1182" s="219">
        <v>1</v>
      </c>
      <c r="D1182" s="219">
        <v>2</v>
      </c>
      <c r="E1182" s="205">
        <f>1.178+1.539+2.356+0.483</f>
        <v>5.56</v>
      </c>
      <c r="F1182" s="194">
        <v>20</v>
      </c>
      <c r="G1182" s="193">
        <v>0.9</v>
      </c>
      <c r="H1182" s="205">
        <f>ROUND(PRODUCT(C1182:G1182),2)</f>
        <v>200.16</v>
      </c>
    </row>
    <row r="1183" spans="1:9" ht="20.100000000000001" customHeight="1">
      <c r="A1183" s="244"/>
      <c r="B1183" s="218" t="s">
        <v>3965</v>
      </c>
      <c r="C1183" s="219">
        <v>1</v>
      </c>
      <c r="D1183" s="219">
        <v>1</v>
      </c>
      <c r="E1183" s="205">
        <f>(2.1+1.615)*2</f>
        <v>7.43</v>
      </c>
      <c r="F1183" s="194">
        <v>20</v>
      </c>
      <c r="G1183" s="193">
        <v>0.75</v>
      </c>
      <c r="H1183" s="205">
        <f>ROUND(PRODUCT(C1183:G1183),2)</f>
        <v>111.45</v>
      </c>
    </row>
    <row r="1184" spans="1:9" ht="20.100000000000001" customHeight="1">
      <c r="A1184" s="244"/>
      <c r="B1184" s="218" t="s">
        <v>3966</v>
      </c>
      <c r="C1184" s="219">
        <v>1</v>
      </c>
      <c r="D1184" s="219">
        <v>2</v>
      </c>
      <c r="E1184" s="205">
        <f>4.35+2.4+4.35</f>
        <v>11.1</v>
      </c>
      <c r="F1184" s="194">
        <v>20</v>
      </c>
      <c r="G1184" s="193">
        <v>0.75</v>
      </c>
      <c r="H1184" s="205">
        <f>ROUND(PRODUCT(C1184:G1184),2)</f>
        <v>333</v>
      </c>
    </row>
    <row r="1185" spans="1:9" s="186" customFormat="1" ht="20.100000000000001" customHeight="1">
      <c r="A1185" s="244"/>
      <c r="B1185" s="218"/>
      <c r="C1185" s="219"/>
      <c r="D1185" s="219"/>
      <c r="E1185" s="253"/>
      <c r="F1185" s="244"/>
      <c r="G1185" s="213"/>
      <c r="H1185" s="253">
        <f>I1186-I1185</f>
        <v>0.09</v>
      </c>
      <c r="I1185" s="186">
        <f>SUM(H1182:H1184)</f>
        <v>644.61</v>
      </c>
    </row>
    <row r="1186" spans="1:9" s="186" customFormat="1" ht="20.100000000000001" customHeight="1">
      <c r="A1186" s="244"/>
      <c r="B1186" s="218"/>
      <c r="C1186" s="219"/>
      <c r="D1186" s="219"/>
      <c r="E1186" s="253"/>
      <c r="F1186" s="244"/>
      <c r="G1186" s="213"/>
      <c r="H1186" s="253">
        <f>+I1186</f>
        <v>644.70000000000005</v>
      </c>
      <c r="I1186" s="186">
        <f>ROUNDUP(I1185,1)</f>
        <v>644.70000000000005</v>
      </c>
    </row>
    <row r="1187" spans="1:9" s="199" customFormat="1" ht="20.100000000000001" customHeight="1">
      <c r="A1187" s="182"/>
      <c r="B1187" s="216"/>
      <c r="C1187" s="220"/>
      <c r="D1187" s="220"/>
      <c r="E1187" s="262"/>
      <c r="F1187" s="182" t="s">
        <v>2560</v>
      </c>
      <c r="G1187" s="197">
        <f>H1186</f>
        <v>644.70000000000005</v>
      </c>
      <c r="H1187" s="262" t="s">
        <v>1341</v>
      </c>
    </row>
    <row r="1188" spans="1:9" ht="20.100000000000001" customHeight="1">
      <c r="A1188" s="244" t="s">
        <v>3967</v>
      </c>
      <c r="B1188" s="992" t="s">
        <v>3968</v>
      </c>
      <c r="C1188" s="993"/>
      <c r="D1188" s="993"/>
      <c r="E1188" s="993"/>
      <c r="F1188" s="993"/>
      <c r="G1188" s="994"/>
      <c r="H1188" s="205"/>
    </row>
    <row r="1189" spans="1:9" ht="20.100000000000001" customHeight="1">
      <c r="A1189" s="244"/>
      <c r="B1189" s="218" t="s">
        <v>3609</v>
      </c>
      <c r="C1189" s="219">
        <v>1</v>
      </c>
      <c r="D1189" s="219">
        <v>1</v>
      </c>
      <c r="E1189" s="205">
        <v>1.8</v>
      </c>
      <c r="F1189" s="236">
        <v>2.25</v>
      </c>
      <c r="G1189" s="193">
        <v>2.1</v>
      </c>
      <c r="H1189" s="205">
        <f>ROUND(PRODUCT(C1189:G1189),2)</f>
        <v>8.51</v>
      </c>
    </row>
    <row r="1190" spans="1:9" ht="20.100000000000001" customHeight="1">
      <c r="A1190" s="244"/>
      <c r="B1190" s="218" t="s">
        <v>3893</v>
      </c>
      <c r="C1190" s="219">
        <v>1</v>
      </c>
      <c r="D1190" s="219">
        <v>1</v>
      </c>
      <c r="E1190" s="205">
        <v>1.2</v>
      </c>
      <c r="F1190" s="236">
        <v>2.25</v>
      </c>
      <c r="G1190" s="193">
        <v>2.1</v>
      </c>
      <c r="H1190" s="205">
        <f>PRODUCT(C1190:G1190)</f>
        <v>5.67</v>
      </c>
    </row>
    <row r="1191" spans="1:9" s="186" customFormat="1" ht="20.100000000000001" customHeight="1">
      <c r="A1191" s="244"/>
      <c r="B1191" s="218"/>
      <c r="C1191" s="219"/>
      <c r="D1191" s="219"/>
      <c r="E1191" s="253"/>
      <c r="F1191" s="244"/>
      <c r="G1191" s="213"/>
      <c r="H1191" s="253">
        <f>I1192-I1191</f>
        <v>0.02</v>
      </c>
      <c r="I1191" s="186">
        <f>SUM(H1189:H1190)</f>
        <v>14.18</v>
      </c>
    </row>
    <row r="1192" spans="1:9" s="186" customFormat="1" ht="20.100000000000001" customHeight="1">
      <c r="A1192" s="244"/>
      <c r="B1192" s="218"/>
      <c r="C1192" s="219"/>
      <c r="D1192" s="219"/>
      <c r="E1192" s="253"/>
      <c r="F1192" s="244"/>
      <c r="G1192" s="213"/>
      <c r="H1192" s="253">
        <f>+I1192</f>
        <v>14.2</v>
      </c>
      <c r="I1192" s="186">
        <f>ROUNDUP(I1191,1)</f>
        <v>14.2</v>
      </c>
    </row>
    <row r="1193" spans="1:9" s="199" customFormat="1" ht="20.100000000000001" customHeight="1">
      <c r="A1193" s="182"/>
      <c r="B1193" s="216"/>
      <c r="C1193" s="220"/>
      <c r="D1193" s="220"/>
      <c r="E1193" s="262"/>
      <c r="F1193" s="182" t="s">
        <v>2560</v>
      </c>
      <c r="G1193" s="197">
        <f>H1192</f>
        <v>14.2</v>
      </c>
      <c r="H1193" s="262" t="s">
        <v>1861</v>
      </c>
    </row>
    <row r="1194" spans="1:9" ht="20.100000000000001" customHeight="1">
      <c r="A1194" s="244">
        <v>40</v>
      </c>
      <c r="B1194" s="992" t="s">
        <v>3969</v>
      </c>
      <c r="C1194" s="993"/>
      <c r="D1194" s="993"/>
      <c r="E1194" s="993"/>
      <c r="F1194" s="993"/>
      <c r="G1194" s="994"/>
      <c r="H1194" s="205"/>
    </row>
    <row r="1195" spans="1:9" ht="20.100000000000001" customHeight="1">
      <c r="A1195" s="244"/>
      <c r="B1195" s="218" t="s">
        <v>3483</v>
      </c>
      <c r="C1195" s="219"/>
      <c r="D1195" s="219"/>
      <c r="E1195" s="205"/>
      <c r="F1195" s="194"/>
      <c r="G1195" s="213"/>
      <c r="H1195" s="205"/>
    </row>
    <row r="1196" spans="1:9" ht="20.100000000000001" customHeight="1">
      <c r="A1196" s="244"/>
      <c r="B1196" s="218" t="s">
        <v>3771</v>
      </c>
      <c r="C1196" s="219">
        <v>1</v>
      </c>
      <c r="D1196" s="219">
        <v>2</v>
      </c>
      <c r="E1196" s="205">
        <v>1</v>
      </c>
      <c r="F1196" s="194">
        <v>2.6</v>
      </c>
      <c r="G1196" s="213">
        <v>2.1</v>
      </c>
      <c r="H1196" s="205">
        <f>ROUND(PRODUCT(C1196:G1196),2)</f>
        <v>10.92</v>
      </c>
    </row>
    <row r="1197" spans="1:9" ht="20.100000000000001" customHeight="1">
      <c r="A1197" s="244"/>
      <c r="B1197" s="218" t="s">
        <v>3772</v>
      </c>
      <c r="C1197" s="219">
        <v>1</v>
      </c>
      <c r="D1197" s="219">
        <v>5</v>
      </c>
      <c r="E1197" s="205">
        <v>1</v>
      </c>
      <c r="F1197" s="194">
        <f>+F1196</f>
        <v>2.6</v>
      </c>
      <c r="G1197" s="213">
        <v>2.1</v>
      </c>
      <c r="H1197" s="205">
        <f>ROUND(PRODUCT(C1197:G1197),2)</f>
        <v>27.3</v>
      </c>
    </row>
    <row r="1198" spans="1:9" ht="20.100000000000001" customHeight="1">
      <c r="A1198" s="244"/>
      <c r="B1198" s="218" t="s">
        <v>3773</v>
      </c>
      <c r="C1198" s="219">
        <v>1</v>
      </c>
      <c r="D1198" s="219">
        <v>6</v>
      </c>
      <c r="E1198" s="205">
        <v>1</v>
      </c>
      <c r="F1198" s="194">
        <f>+F1197</f>
        <v>2.6</v>
      </c>
      <c r="G1198" s="213">
        <v>2.1</v>
      </c>
      <c r="H1198" s="205">
        <f>ROUND(PRODUCT(C1198:G1198),2)</f>
        <v>32.76</v>
      </c>
    </row>
    <row r="1199" spans="1:9" ht="20.100000000000001" customHeight="1">
      <c r="A1199" s="244"/>
      <c r="B1199" s="218" t="s">
        <v>3774</v>
      </c>
      <c r="C1199" s="219">
        <v>1</v>
      </c>
      <c r="D1199" s="219">
        <v>1</v>
      </c>
      <c r="E1199" s="205">
        <v>1</v>
      </c>
      <c r="F1199" s="194">
        <f>+F1198</f>
        <v>2.6</v>
      </c>
      <c r="G1199" s="213">
        <v>2.1</v>
      </c>
      <c r="H1199" s="205">
        <f>ROUND(PRODUCT(C1199:G1199),2)</f>
        <v>5.46</v>
      </c>
    </row>
    <row r="1200" spans="1:9" s="186" customFormat="1" ht="20.100000000000001" customHeight="1">
      <c r="A1200" s="244"/>
      <c r="B1200" s="218"/>
      <c r="C1200" s="219"/>
      <c r="D1200" s="219"/>
      <c r="E1200" s="204"/>
      <c r="F1200" s="193"/>
      <c r="G1200" s="213"/>
      <c r="H1200" s="205">
        <f>J1201-I1201</f>
        <v>0.06</v>
      </c>
    </row>
    <row r="1201" spans="1:10" s="186" customFormat="1" ht="20.100000000000001" customHeight="1">
      <c r="A1201" s="244"/>
      <c r="B1201" s="218"/>
      <c r="C1201" s="219"/>
      <c r="D1201" s="219"/>
      <c r="E1201" s="204"/>
      <c r="F1201" s="193"/>
      <c r="G1201" s="213"/>
      <c r="H1201" s="205">
        <f>J1201</f>
        <v>76.5</v>
      </c>
      <c r="I1201" s="186">
        <f>SUM(H1196:H1199)</f>
        <v>76.44</v>
      </c>
      <c r="J1201" s="186">
        <f>ROUNDUP(I1201,1)</f>
        <v>76.5</v>
      </c>
    </row>
    <row r="1202" spans="1:10" s="199" customFormat="1" ht="20.100000000000001" customHeight="1">
      <c r="A1202" s="182"/>
      <c r="B1202" s="216"/>
      <c r="C1202" s="220"/>
      <c r="D1202" s="220"/>
      <c r="E1202" s="252"/>
      <c r="F1202" s="197" t="s">
        <v>2560</v>
      </c>
      <c r="G1202" s="197">
        <f>H1201</f>
        <v>76.5</v>
      </c>
      <c r="H1202" s="248" t="s">
        <v>1861</v>
      </c>
    </row>
    <row r="1203" spans="1:10" s="313" customFormat="1" ht="20.100000000000001" customHeight="1">
      <c r="A1203" s="244">
        <v>41</v>
      </c>
      <c r="B1203" s="992" t="s">
        <v>3970</v>
      </c>
      <c r="C1203" s="993"/>
      <c r="D1203" s="993"/>
      <c r="E1203" s="993"/>
      <c r="F1203" s="993"/>
      <c r="G1203" s="994"/>
      <c r="H1203" s="205"/>
    </row>
    <row r="1204" spans="1:10" s="289" customFormat="1" ht="20.100000000000001" customHeight="1">
      <c r="A1204" s="187"/>
      <c r="B1204" s="189" t="s">
        <v>3971</v>
      </c>
      <c r="C1204" s="190"/>
      <c r="D1204" s="190"/>
      <c r="E1204" s="250"/>
      <c r="F1204" s="187"/>
      <c r="G1204" s="213"/>
      <c r="H1204" s="205">
        <f>PRODUCT(C1204:G1204)</f>
        <v>0</v>
      </c>
    </row>
    <row r="1205" spans="1:10" s="297" customFormat="1" ht="20.100000000000001" customHeight="1">
      <c r="A1205" s="244"/>
      <c r="B1205" s="218" t="s">
        <v>3642</v>
      </c>
      <c r="C1205" s="219">
        <v>1</v>
      </c>
      <c r="D1205" s="219">
        <v>2</v>
      </c>
      <c r="E1205" s="204">
        <v>1.35</v>
      </c>
      <c r="F1205" s="193">
        <v>1</v>
      </c>
      <c r="G1205" s="193">
        <v>1.35</v>
      </c>
      <c r="H1205" s="205">
        <f t="shared" ref="H1205:H1233" si="38">ROUND(PRODUCT(C1205:G1205),2)</f>
        <v>3.65</v>
      </c>
      <c r="I1205" s="308" t="e">
        <f>SUM(#REF!)</f>
        <v>#REF!</v>
      </c>
    </row>
    <row r="1206" spans="1:10" s="297" customFormat="1" ht="20.100000000000001" customHeight="1">
      <c r="A1206" s="244"/>
      <c r="B1206" s="218" t="s">
        <v>3606</v>
      </c>
      <c r="C1206" s="219">
        <v>1</v>
      </c>
      <c r="D1206" s="219">
        <v>1</v>
      </c>
      <c r="E1206" s="204">
        <v>1.8</v>
      </c>
      <c r="F1206" s="193">
        <f>+F1205</f>
        <v>1</v>
      </c>
      <c r="G1206" s="193">
        <v>1.35</v>
      </c>
      <c r="H1206" s="205">
        <f t="shared" si="38"/>
        <v>2.4300000000000002</v>
      </c>
      <c r="I1206" s="308"/>
    </row>
    <row r="1207" spans="1:10" s="297" customFormat="1" ht="20.100000000000001" customHeight="1">
      <c r="A1207" s="244"/>
      <c r="B1207" s="218" t="s">
        <v>3605</v>
      </c>
      <c r="C1207" s="219">
        <v>1</v>
      </c>
      <c r="D1207" s="219">
        <v>2</v>
      </c>
      <c r="E1207" s="204">
        <v>1.5</v>
      </c>
      <c r="F1207" s="193">
        <f>+F1206</f>
        <v>1</v>
      </c>
      <c r="G1207" s="193">
        <v>1.35</v>
      </c>
      <c r="H1207" s="205">
        <f t="shared" si="38"/>
        <v>4.05</v>
      </c>
      <c r="I1207" s="308"/>
    </row>
    <row r="1208" spans="1:10" s="297" customFormat="1" ht="20.100000000000001" customHeight="1">
      <c r="A1208" s="244"/>
      <c r="B1208" s="218" t="s">
        <v>3607</v>
      </c>
      <c r="C1208" s="219">
        <v>1</v>
      </c>
      <c r="D1208" s="219">
        <v>1</v>
      </c>
      <c r="E1208" s="204">
        <v>1.05</v>
      </c>
      <c r="F1208" s="193">
        <f t="shared" ref="F1208:F1221" si="39">+F1207</f>
        <v>1</v>
      </c>
      <c r="G1208" s="193">
        <v>1.35</v>
      </c>
      <c r="H1208" s="205">
        <f t="shared" si="38"/>
        <v>1.42</v>
      </c>
      <c r="I1208" s="308"/>
    </row>
    <row r="1209" spans="1:10" s="297" customFormat="1" ht="20.100000000000001" customHeight="1">
      <c r="A1209" s="244"/>
      <c r="B1209" s="218" t="s">
        <v>3894</v>
      </c>
      <c r="C1209" s="219">
        <v>1</v>
      </c>
      <c r="D1209" s="219">
        <v>3</v>
      </c>
      <c r="E1209" s="204">
        <v>0.9</v>
      </c>
      <c r="F1209" s="193">
        <f t="shared" si="39"/>
        <v>1</v>
      </c>
      <c r="G1209" s="193">
        <v>0.6</v>
      </c>
      <c r="H1209" s="205">
        <f t="shared" si="38"/>
        <v>1.62</v>
      </c>
      <c r="I1209" s="308"/>
    </row>
    <row r="1210" spans="1:10" s="297" customFormat="1" ht="20.100000000000001" customHeight="1">
      <c r="A1210" s="244"/>
      <c r="B1210" s="216" t="s">
        <v>3972</v>
      </c>
      <c r="C1210" s="219"/>
      <c r="D1210" s="219"/>
      <c r="E1210" s="204"/>
      <c r="F1210" s="193"/>
      <c r="G1210" s="193"/>
      <c r="H1210" s="205">
        <f t="shared" si="38"/>
        <v>0</v>
      </c>
      <c r="I1210" s="308"/>
    </row>
    <row r="1211" spans="1:10" s="297" customFormat="1" ht="20.100000000000001" customHeight="1">
      <c r="A1211" s="244"/>
      <c r="B1211" s="218" t="s">
        <v>3606</v>
      </c>
      <c r="C1211" s="219">
        <v>1</v>
      </c>
      <c r="D1211" s="219">
        <v>2</v>
      </c>
      <c r="E1211" s="204">
        <v>1.8</v>
      </c>
      <c r="F1211" s="193">
        <f>+F1208</f>
        <v>1</v>
      </c>
      <c r="G1211" s="193">
        <v>1.35</v>
      </c>
      <c r="H1211" s="205">
        <f t="shared" si="38"/>
        <v>4.8600000000000003</v>
      </c>
      <c r="I1211" s="308">
        <f>SUM(D1203:D1207)</f>
        <v>5</v>
      </c>
    </row>
    <row r="1212" spans="1:10" s="297" customFormat="1" ht="20.100000000000001" customHeight="1">
      <c r="A1212" s="244"/>
      <c r="B1212" s="218" t="s">
        <v>3642</v>
      </c>
      <c r="C1212" s="219">
        <v>1</v>
      </c>
      <c r="D1212" s="219">
        <v>3</v>
      </c>
      <c r="E1212" s="204">
        <v>1.35</v>
      </c>
      <c r="F1212" s="193">
        <f t="shared" si="39"/>
        <v>1</v>
      </c>
      <c r="G1212" s="193">
        <v>1.35</v>
      </c>
      <c r="H1212" s="205">
        <f t="shared" si="38"/>
        <v>5.47</v>
      </c>
      <c r="I1212" s="308"/>
    </row>
    <row r="1213" spans="1:10" s="297" customFormat="1" ht="20.100000000000001" customHeight="1">
      <c r="A1213" s="244"/>
      <c r="B1213" s="218" t="s">
        <v>3605</v>
      </c>
      <c r="C1213" s="219">
        <v>1</v>
      </c>
      <c r="D1213" s="219">
        <v>4</v>
      </c>
      <c r="E1213" s="204">
        <v>1.5</v>
      </c>
      <c r="F1213" s="193">
        <f t="shared" si="39"/>
        <v>1</v>
      </c>
      <c r="G1213" s="193">
        <v>1.35</v>
      </c>
      <c r="H1213" s="205">
        <f t="shared" si="38"/>
        <v>8.1</v>
      </c>
      <c r="I1213" s="308"/>
    </row>
    <row r="1214" spans="1:10" s="297" customFormat="1" ht="20.100000000000001" customHeight="1">
      <c r="A1214" s="244"/>
      <c r="B1214" s="218" t="s">
        <v>3632</v>
      </c>
      <c r="C1214" s="219">
        <v>1</v>
      </c>
      <c r="D1214" s="219">
        <v>1</v>
      </c>
      <c r="E1214" s="204">
        <v>1.8</v>
      </c>
      <c r="F1214" s="193">
        <f t="shared" si="39"/>
        <v>1</v>
      </c>
      <c r="G1214" s="193">
        <v>1.35</v>
      </c>
      <c r="H1214" s="205">
        <f t="shared" si="38"/>
        <v>2.4300000000000002</v>
      </c>
      <c r="I1214" s="308"/>
    </row>
    <row r="1215" spans="1:10" s="297" customFormat="1" ht="20.100000000000001" customHeight="1">
      <c r="A1215" s="244"/>
      <c r="B1215" s="218" t="s">
        <v>3897</v>
      </c>
      <c r="C1215" s="219">
        <v>1</v>
      </c>
      <c r="D1215" s="219">
        <v>2</v>
      </c>
      <c r="E1215" s="204">
        <v>0.75</v>
      </c>
      <c r="F1215" s="193">
        <f t="shared" si="39"/>
        <v>1</v>
      </c>
      <c r="G1215" s="193">
        <v>0.6</v>
      </c>
      <c r="H1215" s="205">
        <f t="shared" si="38"/>
        <v>0.9</v>
      </c>
      <c r="I1215" s="308"/>
    </row>
    <row r="1216" spans="1:10" s="297" customFormat="1" ht="20.100000000000001" customHeight="1">
      <c r="A1216" s="244"/>
      <c r="B1216" s="216" t="s">
        <v>3973</v>
      </c>
      <c r="C1216" s="219"/>
      <c r="D1216" s="219"/>
      <c r="E1216" s="204"/>
      <c r="F1216" s="193"/>
      <c r="G1216" s="193"/>
      <c r="H1216" s="205">
        <f t="shared" si="38"/>
        <v>0</v>
      </c>
      <c r="I1216" s="308"/>
    </row>
    <row r="1217" spans="1:9" s="297" customFormat="1" ht="20.100000000000001" customHeight="1">
      <c r="A1217" s="244"/>
      <c r="B1217" s="218" t="s">
        <v>3606</v>
      </c>
      <c r="C1217" s="219">
        <v>1</v>
      </c>
      <c r="D1217" s="219">
        <v>1</v>
      </c>
      <c r="E1217" s="204">
        <v>1.8</v>
      </c>
      <c r="F1217" s="193">
        <f>+F1214</f>
        <v>1</v>
      </c>
      <c r="G1217" s="193">
        <v>1.35</v>
      </c>
      <c r="H1217" s="205">
        <f t="shared" si="38"/>
        <v>2.4300000000000002</v>
      </c>
      <c r="I1217" s="308">
        <f>SUM(D1206:D1213)</f>
        <v>16</v>
      </c>
    </row>
    <row r="1218" spans="1:9" s="297" customFormat="1" ht="20.100000000000001" customHeight="1">
      <c r="A1218" s="244"/>
      <c r="B1218" s="218" t="s">
        <v>3642</v>
      </c>
      <c r="C1218" s="219">
        <v>1</v>
      </c>
      <c r="D1218" s="219">
        <v>7</v>
      </c>
      <c r="E1218" s="204">
        <v>1.35</v>
      </c>
      <c r="F1218" s="193">
        <f t="shared" si="39"/>
        <v>1</v>
      </c>
      <c r="G1218" s="193">
        <v>1.35</v>
      </c>
      <c r="H1218" s="205">
        <f t="shared" si="38"/>
        <v>12.76</v>
      </c>
      <c r="I1218" s="308"/>
    </row>
    <row r="1219" spans="1:9" s="297" customFormat="1" ht="20.100000000000001" customHeight="1">
      <c r="A1219" s="244"/>
      <c r="B1219" s="218" t="s">
        <v>3605</v>
      </c>
      <c r="C1219" s="219">
        <v>1</v>
      </c>
      <c r="D1219" s="219">
        <v>4</v>
      </c>
      <c r="E1219" s="204">
        <v>1.5</v>
      </c>
      <c r="F1219" s="193">
        <f t="shared" si="39"/>
        <v>1</v>
      </c>
      <c r="G1219" s="193">
        <v>1.35</v>
      </c>
      <c r="H1219" s="205">
        <f t="shared" si="38"/>
        <v>8.1</v>
      </c>
      <c r="I1219" s="308"/>
    </row>
    <row r="1220" spans="1:9" s="297" customFormat="1" ht="20.100000000000001" customHeight="1">
      <c r="A1220" s="244"/>
      <c r="B1220" s="218" t="s">
        <v>3632</v>
      </c>
      <c r="C1220" s="219">
        <v>1</v>
      </c>
      <c r="D1220" s="219">
        <v>1</v>
      </c>
      <c r="E1220" s="204">
        <v>1.8</v>
      </c>
      <c r="F1220" s="193">
        <f t="shared" si="39"/>
        <v>1</v>
      </c>
      <c r="G1220" s="193">
        <v>1.35</v>
      </c>
      <c r="H1220" s="205">
        <f t="shared" si="38"/>
        <v>2.4300000000000002</v>
      </c>
      <c r="I1220" s="308"/>
    </row>
    <row r="1221" spans="1:9" s="297" customFormat="1" ht="20.100000000000001" customHeight="1">
      <c r="A1221" s="244"/>
      <c r="B1221" s="218" t="s">
        <v>3897</v>
      </c>
      <c r="C1221" s="219">
        <v>1</v>
      </c>
      <c r="D1221" s="219">
        <v>7</v>
      </c>
      <c r="E1221" s="204">
        <v>0.75</v>
      </c>
      <c r="F1221" s="193">
        <f t="shared" si="39"/>
        <v>1</v>
      </c>
      <c r="G1221" s="193">
        <v>0.6</v>
      </c>
      <c r="H1221" s="205">
        <f t="shared" si="38"/>
        <v>3.15</v>
      </c>
      <c r="I1221" s="308"/>
    </row>
    <row r="1222" spans="1:9" s="289" customFormat="1" ht="20.100000000000001" customHeight="1">
      <c r="A1222" s="187"/>
      <c r="B1222" s="189" t="s">
        <v>3974</v>
      </c>
      <c r="C1222" s="190"/>
      <c r="D1222" s="190"/>
      <c r="E1222" s="250"/>
      <c r="F1222" s="193"/>
      <c r="G1222" s="193"/>
      <c r="H1222" s="205">
        <f t="shared" si="38"/>
        <v>0</v>
      </c>
    </row>
    <row r="1223" spans="1:9" s="297" customFormat="1" ht="20.100000000000001" customHeight="1">
      <c r="A1223" s="244"/>
      <c r="B1223" s="218" t="s">
        <v>3605</v>
      </c>
      <c r="C1223" s="219">
        <v>1</v>
      </c>
      <c r="D1223" s="219">
        <v>1</v>
      </c>
      <c r="E1223" s="204">
        <v>1.5</v>
      </c>
      <c r="F1223" s="193">
        <f>+F1220</f>
        <v>1</v>
      </c>
      <c r="G1223" s="193">
        <v>1.35</v>
      </c>
      <c r="H1223" s="205">
        <f t="shared" si="38"/>
        <v>2.0299999999999998</v>
      </c>
      <c r="I1223" s="308"/>
    </row>
    <row r="1224" spans="1:9" s="313" customFormat="1" ht="20.100000000000001" customHeight="1">
      <c r="A1224" s="244"/>
      <c r="B1224" s="218" t="s">
        <v>3975</v>
      </c>
      <c r="C1224" s="219">
        <v>1</v>
      </c>
      <c r="D1224" s="219">
        <v>2</v>
      </c>
      <c r="E1224" s="205">
        <v>1</v>
      </c>
      <c r="F1224" s="194">
        <v>1</v>
      </c>
      <c r="G1224" s="193">
        <v>2.1</v>
      </c>
      <c r="H1224" s="205">
        <f t="shared" si="38"/>
        <v>4.2</v>
      </c>
    </row>
    <row r="1225" spans="1:9" s="313" customFormat="1" ht="20.100000000000001" customHeight="1">
      <c r="A1225" s="244"/>
      <c r="B1225" s="218" t="s">
        <v>3964</v>
      </c>
      <c r="C1225" s="219">
        <v>2</v>
      </c>
      <c r="D1225" s="219">
        <v>2</v>
      </c>
      <c r="E1225" s="205">
        <f>1.178+1.539+2.356+0.483</f>
        <v>5.56</v>
      </c>
      <c r="F1225" s="194">
        <v>1</v>
      </c>
      <c r="G1225" s="193">
        <v>0.9</v>
      </c>
      <c r="H1225" s="205">
        <f t="shared" si="38"/>
        <v>20.02</v>
      </c>
    </row>
    <row r="1226" spans="1:9" s="313" customFormat="1" ht="20.100000000000001" customHeight="1">
      <c r="A1226" s="244"/>
      <c r="B1226" s="218" t="s">
        <v>3965</v>
      </c>
      <c r="C1226" s="219">
        <v>2</v>
      </c>
      <c r="D1226" s="219">
        <v>1</v>
      </c>
      <c r="E1226" s="205">
        <f>(2.1+1.615)*2</f>
        <v>7.43</v>
      </c>
      <c r="F1226" s="194">
        <f>+F1225</f>
        <v>1</v>
      </c>
      <c r="G1226" s="193">
        <v>0.75</v>
      </c>
      <c r="H1226" s="205">
        <f t="shared" si="38"/>
        <v>11.15</v>
      </c>
    </row>
    <row r="1227" spans="1:9" s="313" customFormat="1" ht="20.100000000000001" customHeight="1">
      <c r="A1227" s="244"/>
      <c r="B1227" s="218" t="s">
        <v>3966</v>
      </c>
      <c r="C1227" s="219">
        <v>2</v>
      </c>
      <c r="D1227" s="219">
        <v>2</v>
      </c>
      <c r="E1227" s="205">
        <f>4.35+2.4+4.35</f>
        <v>11.1</v>
      </c>
      <c r="F1227" s="194">
        <f>+F1226</f>
        <v>1</v>
      </c>
      <c r="G1227" s="193">
        <v>0.75</v>
      </c>
      <c r="H1227" s="205">
        <f t="shared" si="38"/>
        <v>33.299999999999997</v>
      </c>
    </row>
    <row r="1228" spans="1:9" s="297" customFormat="1" ht="20.25" customHeight="1">
      <c r="A1228" s="187"/>
      <c r="B1228" s="192" t="s">
        <v>3976</v>
      </c>
      <c r="C1228" s="190">
        <v>1</v>
      </c>
      <c r="D1228" s="190">
        <v>1</v>
      </c>
      <c r="E1228" s="205">
        <v>3.14</v>
      </c>
      <c r="F1228" s="264">
        <v>3.2000000000000001E-2</v>
      </c>
      <c r="G1228" s="193">
        <f>G1276</f>
        <v>30</v>
      </c>
      <c r="H1228" s="205">
        <f t="shared" si="38"/>
        <v>3.01</v>
      </c>
    </row>
    <row r="1229" spans="1:9" s="297" customFormat="1" ht="20.100000000000001" customHeight="1">
      <c r="A1229" s="187"/>
      <c r="B1229" s="192" t="s">
        <v>3977</v>
      </c>
      <c r="C1229" s="190">
        <v>1</v>
      </c>
      <c r="D1229" s="190">
        <v>1</v>
      </c>
      <c r="E1229" s="205">
        <v>3.14</v>
      </c>
      <c r="F1229" s="264">
        <v>2.5000000000000001E-2</v>
      </c>
      <c r="G1229" s="193">
        <f>G1282</f>
        <v>73</v>
      </c>
      <c r="H1229" s="205">
        <f t="shared" si="38"/>
        <v>5.73</v>
      </c>
    </row>
    <row r="1230" spans="1:9" s="297" customFormat="1" ht="20.100000000000001" customHeight="1">
      <c r="A1230" s="187"/>
      <c r="B1230" s="192" t="s">
        <v>3978</v>
      </c>
      <c r="C1230" s="190">
        <v>1</v>
      </c>
      <c r="D1230" s="190">
        <v>1</v>
      </c>
      <c r="E1230" s="205">
        <v>3.14</v>
      </c>
      <c r="F1230" s="194">
        <v>0.02</v>
      </c>
      <c r="G1230" s="193">
        <f>G1289</f>
        <v>42</v>
      </c>
      <c r="H1230" s="205">
        <f t="shared" si="38"/>
        <v>2.64</v>
      </c>
    </row>
    <row r="1231" spans="1:9" s="297" customFormat="1" ht="20.100000000000001" customHeight="1">
      <c r="A1231" s="187"/>
      <c r="B1231" s="192" t="s">
        <v>3979</v>
      </c>
      <c r="C1231" s="190">
        <v>1</v>
      </c>
      <c r="D1231" s="190">
        <v>1</v>
      </c>
      <c r="E1231" s="205">
        <v>3.14</v>
      </c>
      <c r="F1231" s="194">
        <v>0.11</v>
      </c>
      <c r="G1231" s="193">
        <f>G1242</f>
        <v>73</v>
      </c>
      <c r="H1231" s="205">
        <f t="shared" si="38"/>
        <v>25.21</v>
      </c>
    </row>
    <row r="1232" spans="1:9" s="297" customFormat="1" ht="20.100000000000001" customHeight="1">
      <c r="A1232" s="187"/>
      <c r="B1232" s="192" t="s">
        <v>3979</v>
      </c>
      <c r="C1232" s="190">
        <v>1</v>
      </c>
      <c r="D1232" s="190">
        <v>1</v>
      </c>
      <c r="E1232" s="205">
        <v>3.14</v>
      </c>
      <c r="F1232" s="194">
        <v>0.11</v>
      </c>
      <c r="G1232" s="235">
        <f>G1334</f>
        <v>68</v>
      </c>
      <c r="H1232" s="205">
        <f t="shared" si="38"/>
        <v>23.49</v>
      </c>
    </row>
    <row r="1233" spans="1:11" s="297" customFormat="1" ht="20.100000000000001" customHeight="1">
      <c r="A1233" s="187"/>
      <c r="B1233" s="192" t="s">
        <v>3980</v>
      </c>
      <c r="C1233" s="190">
        <v>1</v>
      </c>
      <c r="D1233" s="190">
        <v>1</v>
      </c>
      <c r="E1233" s="205">
        <v>3.14</v>
      </c>
      <c r="F1233" s="264">
        <v>7.4999999999999997E-2</v>
      </c>
      <c r="G1233" s="235">
        <f>G1345</f>
        <v>28</v>
      </c>
      <c r="H1233" s="205">
        <f t="shared" si="38"/>
        <v>6.59</v>
      </c>
    </row>
    <row r="1234" spans="1:11" s="297" customFormat="1" ht="20.100000000000001" customHeight="1">
      <c r="A1234" s="244"/>
      <c r="B1234" s="218"/>
      <c r="C1234" s="219"/>
      <c r="D1234" s="219"/>
      <c r="E1234" s="204"/>
      <c r="F1234" s="193"/>
      <c r="G1234" s="213"/>
      <c r="H1234" s="205">
        <f>J1235-I1235</f>
        <v>0.03</v>
      </c>
    </row>
    <row r="1235" spans="1:11" s="297" customFormat="1" ht="20.100000000000001" customHeight="1">
      <c r="A1235" s="244"/>
      <c r="B1235" s="218"/>
      <c r="C1235" s="219"/>
      <c r="D1235" s="219"/>
      <c r="E1235" s="204"/>
      <c r="F1235" s="193"/>
      <c r="G1235" s="213"/>
      <c r="H1235" s="205">
        <f>J1235</f>
        <v>201.2</v>
      </c>
      <c r="I1235" s="297">
        <f>SUM(H1205:H1233)</f>
        <v>201.17</v>
      </c>
      <c r="J1235" s="297">
        <f>ROUNDUP(I1235,1)</f>
        <v>201.2</v>
      </c>
    </row>
    <row r="1236" spans="1:11" s="306" customFormat="1" ht="20.100000000000001" customHeight="1">
      <c r="A1236" s="182"/>
      <c r="B1236" s="216"/>
      <c r="C1236" s="220"/>
      <c r="D1236" s="220"/>
      <c r="E1236" s="252"/>
      <c r="F1236" s="197" t="s">
        <v>2560</v>
      </c>
      <c r="G1236" s="197">
        <f>H1235</f>
        <v>201.2</v>
      </c>
      <c r="H1236" s="248" t="s">
        <v>1861</v>
      </c>
    </row>
    <row r="1237" spans="1:11" ht="20.100000000000001" customHeight="1">
      <c r="A1237" s="244">
        <v>44.6</v>
      </c>
      <c r="B1237" s="992" t="s">
        <v>3981</v>
      </c>
      <c r="C1237" s="993"/>
      <c r="D1237" s="993"/>
      <c r="E1237" s="993"/>
      <c r="F1237" s="993"/>
      <c r="G1237" s="994"/>
      <c r="H1237" s="205"/>
    </row>
    <row r="1238" spans="1:11" ht="20.100000000000001" customHeight="1">
      <c r="A1238" s="244"/>
      <c r="B1238" s="218" t="s">
        <v>3982</v>
      </c>
      <c r="C1238" s="219">
        <v>1</v>
      </c>
      <c r="D1238" s="219">
        <v>4</v>
      </c>
      <c r="E1238" s="247">
        <v>13</v>
      </c>
      <c r="F1238" s="194"/>
      <c r="G1238" s="213"/>
      <c r="H1238" s="205">
        <f>ROUND(PRODUCT(C1238:G1238),2)</f>
        <v>52</v>
      </c>
    </row>
    <row r="1239" spans="1:11" ht="20.100000000000001" customHeight="1">
      <c r="A1239" s="244"/>
      <c r="B1239" s="218" t="s">
        <v>3983</v>
      </c>
      <c r="C1239" s="219">
        <v>1</v>
      </c>
      <c r="D1239" s="254">
        <v>1</v>
      </c>
      <c r="E1239" s="247">
        <v>21</v>
      </c>
      <c r="F1239" s="194"/>
      <c r="G1239" s="213"/>
      <c r="H1239" s="205">
        <f>ROUND(PRODUCT(C1239:G1239),2)</f>
        <v>21</v>
      </c>
    </row>
    <row r="1240" spans="1:11" s="186" customFormat="1" ht="20.100000000000001" customHeight="1">
      <c r="A1240" s="244"/>
      <c r="B1240" s="218"/>
      <c r="C1240" s="219"/>
      <c r="D1240" s="219"/>
      <c r="E1240" s="204"/>
      <c r="F1240" s="193"/>
      <c r="G1240" s="213"/>
      <c r="H1240" s="205">
        <f>J1241-I1241</f>
        <v>0</v>
      </c>
      <c r="K1240" s="186">
        <f>355/50</f>
        <v>7.1</v>
      </c>
    </row>
    <row r="1241" spans="1:11" s="186" customFormat="1" ht="20.100000000000001" customHeight="1">
      <c r="A1241" s="244"/>
      <c r="B1241" s="218"/>
      <c r="C1241" s="219"/>
      <c r="D1241" s="219"/>
      <c r="E1241" s="204"/>
      <c r="F1241" s="193"/>
      <c r="G1241" s="213"/>
      <c r="H1241" s="205">
        <f>J1241</f>
        <v>73</v>
      </c>
      <c r="I1241" s="186">
        <f>SUM(H1238:H1239)</f>
        <v>73</v>
      </c>
      <c r="J1241" s="186">
        <f>ROUNDUP(I1241,1)</f>
        <v>73</v>
      </c>
    </row>
    <row r="1242" spans="1:11" s="199" customFormat="1" ht="20.100000000000001" customHeight="1">
      <c r="A1242" s="182"/>
      <c r="B1242" s="216"/>
      <c r="C1242" s="220"/>
      <c r="D1242" s="220"/>
      <c r="E1242" s="252"/>
      <c r="F1242" s="197" t="s">
        <v>2560</v>
      </c>
      <c r="G1242" s="197">
        <f>H1241</f>
        <v>73</v>
      </c>
      <c r="H1242" s="248" t="s">
        <v>669</v>
      </c>
    </row>
    <row r="1243" spans="1:11" ht="20.100000000000001" customHeight="1">
      <c r="A1243" s="244">
        <v>46</v>
      </c>
      <c r="B1243" s="992" t="s">
        <v>3984</v>
      </c>
      <c r="C1243" s="993"/>
      <c r="D1243" s="993"/>
      <c r="E1243" s="993"/>
      <c r="F1243" s="993"/>
      <c r="G1243" s="994"/>
      <c r="H1243" s="205"/>
    </row>
    <row r="1244" spans="1:11" s="186" customFormat="1" ht="20.100000000000001" customHeight="1">
      <c r="A1244" s="187"/>
      <c r="B1244" s="192" t="s">
        <v>3985</v>
      </c>
      <c r="C1244" s="190">
        <v>1</v>
      </c>
      <c r="D1244" s="190">
        <v>2</v>
      </c>
      <c r="E1244" s="205">
        <v>1</v>
      </c>
      <c r="F1244" s="187"/>
      <c r="G1244" s="213"/>
      <c r="H1244" s="205">
        <f>ROUND(PRODUCT(C1244:G1244),2)</f>
        <v>2</v>
      </c>
    </row>
    <row r="1245" spans="1:11" s="186" customFormat="1" ht="34.9" customHeight="1">
      <c r="A1245" s="187"/>
      <c r="B1245" s="192" t="s">
        <v>3986</v>
      </c>
      <c r="C1245" s="190">
        <v>1</v>
      </c>
      <c r="D1245" s="190">
        <v>6</v>
      </c>
      <c r="E1245" s="205">
        <v>1</v>
      </c>
      <c r="F1245" s="187"/>
      <c r="G1245" s="213"/>
      <c r="H1245" s="205">
        <f>ROUND(PRODUCT(C1245:G1245),2)</f>
        <v>6</v>
      </c>
    </row>
    <row r="1246" spans="1:11" s="186" customFormat="1" ht="20.100000000000001" customHeight="1">
      <c r="A1246" s="187"/>
      <c r="B1246" s="192"/>
      <c r="C1246" s="190"/>
      <c r="D1246" s="190"/>
      <c r="E1246" s="205"/>
      <c r="F1246" s="187"/>
      <c r="G1246" s="213"/>
      <c r="H1246" s="253">
        <f>SUM(H1244:H1245)</f>
        <v>8</v>
      </c>
    </row>
    <row r="1247" spans="1:11" s="199" customFormat="1" ht="20.100000000000001" customHeight="1">
      <c r="A1247" s="195"/>
      <c r="B1247" s="189"/>
      <c r="C1247" s="196"/>
      <c r="D1247" s="196"/>
      <c r="E1247" s="248"/>
      <c r="F1247" s="317" t="s">
        <v>2560</v>
      </c>
      <c r="G1247" s="197">
        <f>+H1246</f>
        <v>8</v>
      </c>
      <c r="H1247" s="248" t="s">
        <v>669</v>
      </c>
    </row>
    <row r="1248" spans="1:11" ht="20.100000000000001" customHeight="1">
      <c r="A1248" s="244">
        <v>47</v>
      </c>
      <c r="B1248" s="992" t="s">
        <v>740</v>
      </c>
      <c r="C1248" s="993"/>
      <c r="D1248" s="993"/>
      <c r="E1248" s="993"/>
      <c r="F1248" s="993"/>
      <c r="G1248" s="994"/>
      <c r="H1248" s="205"/>
    </row>
    <row r="1249" spans="1:8" s="186" customFormat="1" ht="20.100000000000001" customHeight="1">
      <c r="A1249" s="187"/>
      <c r="B1249" s="192" t="s">
        <v>3987</v>
      </c>
      <c r="C1249" s="190">
        <v>1</v>
      </c>
      <c r="D1249" s="190">
        <v>2</v>
      </c>
      <c r="E1249" s="205"/>
      <c r="F1249" s="187"/>
      <c r="G1249" s="213"/>
      <c r="H1249" s="205">
        <f>ROUND(PRODUCT(C1249:G1249),2)</f>
        <v>2</v>
      </c>
    </row>
    <row r="1250" spans="1:8" s="186" customFormat="1" ht="34.15" customHeight="1">
      <c r="A1250" s="187"/>
      <c r="B1250" s="192" t="s">
        <v>3988</v>
      </c>
      <c r="C1250" s="190">
        <v>1</v>
      </c>
      <c r="D1250" s="190">
        <v>6</v>
      </c>
      <c r="E1250" s="205"/>
      <c r="F1250" s="187"/>
      <c r="G1250" s="213"/>
      <c r="H1250" s="205">
        <f>ROUND(PRODUCT(C1250:G1250),2)</f>
        <v>6</v>
      </c>
    </row>
    <row r="1251" spans="1:8" s="186" customFormat="1" ht="20.100000000000001" customHeight="1">
      <c r="A1251" s="187"/>
      <c r="B1251" s="192"/>
      <c r="C1251" s="190"/>
      <c r="D1251" s="190"/>
      <c r="E1251" s="205"/>
      <c r="F1251" s="187"/>
      <c r="G1251" s="213"/>
      <c r="H1251" s="253">
        <f>SUM(H1249:H1250)</f>
        <v>8</v>
      </c>
    </row>
    <row r="1252" spans="1:8" s="199" customFormat="1" ht="20.100000000000001" customHeight="1">
      <c r="A1252" s="195"/>
      <c r="B1252" s="189"/>
      <c r="C1252" s="196"/>
      <c r="D1252" s="196"/>
      <c r="E1252" s="248"/>
      <c r="F1252" s="317" t="s">
        <v>2560</v>
      </c>
      <c r="G1252" s="197">
        <f>+H1251</f>
        <v>8</v>
      </c>
      <c r="H1252" s="248" t="s">
        <v>1166</v>
      </c>
    </row>
    <row r="1253" spans="1:8" ht="20.100000000000001" customHeight="1">
      <c r="A1253" s="244">
        <v>48</v>
      </c>
      <c r="B1253" s="992" t="s">
        <v>3989</v>
      </c>
      <c r="C1253" s="993"/>
      <c r="D1253" s="993"/>
      <c r="E1253" s="993"/>
      <c r="F1253" s="993"/>
      <c r="G1253" s="994"/>
      <c r="H1253" s="205"/>
    </row>
    <row r="1254" spans="1:8" s="186" customFormat="1" ht="20.100000000000001" customHeight="1">
      <c r="A1254" s="318"/>
      <c r="B1254" s="192" t="s">
        <v>3987</v>
      </c>
      <c r="C1254" s="319">
        <v>1</v>
      </c>
      <c r="D1254" s="319">
        <v>3</v>
      </c>
      <c r="E1254" s="256"/>
      <c r="F1254" s="264"/>
      <c r="G1254" s="213"/>
      <c r="H1254" s="205">
        <f>ROUND(PRODUCT(C1254:G1254),2)</f>
        <v>3</v>
      </c>
    </row>
    <row r="1255" spans="1:8" s="186" customFormat="1" ht="34.9" customHeight="1">
      <c r="A1255" s="318"/>
      <c r="B1255" s="192" t="s">
        <v>3988</v>
      </c>
      <c r="C1255" s="320">
        <v>4</v>
      </c>
      <c r="D1255" s="320">
        <v>3</v>
      </c>
      <c r="E1255" s="256"/>
      <c r="F1255" s="264"/>
      <c r="G1255" s="213"/>
      <c r="H1255" s="205">
        <f>ROUND(PRODUCT(C1255:G1255),2)</f>
        <v>12</v>
      </c>
    </row>
    <row r="1256" spans="1:8" s="186" customFormat="1" ht="20.100000000000001" customHeight="1">
      <c r="A1256" s="318"/>
      <c r="B1256" s="321"/>
      <c r="C1256" s="190"/>
      <c r="D1256" s="190"/>
      <c r="E1256" s="256"/>
      <c r="F1256" s="264"/>
      <c r="G1256" s="213"/>
      <c r="H1256" s="205">
        <f>SUM(H1254:H1255)</f>
        <v>15</v>
      </c>
    </row>
    <row r="1257" spans="1:8" s="199" customFormat="1" ht="20.100000000000001" customHeight="1">
      <c r="A1257" s="195"/>
      <c r="B1257" s="189"/>
      <c r="C1257" s="196"/>
      <c r="D1257" s="196"/>
      <c r="E1257" s="322"/>
      <c r="F1257" s="317" t="s">
        <v>2560</v>
      </c>
      <c r="G1257" s="197">
        <f>+H1256</f>
        <v>15</v>
      </c>
      <c r="H1257" s="248" t="s">
        <v>1166</v>
      </c>
    </row>
    <row r="1258" spans="1:8" ht="20.100000000000001" customHeight="1">
      <c r="A1258" s="244">
        <v>49</v>
      </c>
      <c r="B1258" s="992" t="s">
        <v>3990</v>
      </c>
      <c r="C1258" s="993"/>
      <c r="D1258" s="993"/>
      <c r="E1258" s="993"/>
      <c r="F1258" s="993"/>
      <c r="G1258" s="994"/>
      <c r="H1258" s="205"/>
    </row>
    <row r="1259" spans="1:8" s="186" customFormat="1" ht="20.100000000000001" customHeight="1">
      <c r="A1259" s="318"/>
      <c r="B1259" s="192" t="s">
        <v>3771</v>
      </c>
      <c r="C1259" s="319">
        <v>5</v>
      </c>
      <c r="D1259" s="320">
        <v>2</v>
      </c>
      <c r="E1259" s="256"/>
      <c r="F1259" s="264"/>
      <c r="G1259" s="213"/>
      <c r="H1259" s="205">
        <f>ROUND(PRODUCT(C1259:G1259),2)</f>
        <v>10</v>
      </c>
    </row>
    <row r="1260" spans="1:8" s="186" customFormat="1" ht="20.100000000000001" customHeight="1">
      <c r="A1260" s="318"/>
      <c r="B1260" s="192" t="s">
        <v>3772</v>
      </c>
      <c r="C1260" s="320">
        <v>1</v>
      </c>
      <c r="D1260" s="320">
        <v>20</v>
      </c>
      <c r="E1260" s="256"/>
      <c r="F1260" s="264"/>
      <c r="G1260" s="213"/>
      <c r="H1260" s="205">
        <f>ROUND(PRODUCT(C1260:G1260),2)</f>
        <v>20</v>
      </c>
    </row>
    <row r="1261" spans="1:8" s="186" customFormat="1" ht="20.100000000000001" customHeight="1">
      <c r="A1261" s="318"/>
      <c r="B1261" s="192" t="s">
        <v>3773</v>
      </c>
      <c r="C1261" s="320">
        <v>1</v>
      </c>
      <c r="D1261" s="320">
        <v>20</v>
      </c>
      <c r="E1261" s="256"/>
      <c r="F1261" s="264"/>
      <c r="G1261" s="213"/>
      <c r="H1261" s="205">
        <f>ROUND(PRODUCT(C1261:G1261),2)</f>
        <v>20</v>
      </c>
    </row>
    <row r="1262" spans="1:8" s="186" customFormat="1" ht="20.100000000000001" customHeight="1">
      <c r="A1262" s="318"/>
      <c r="B1262" s="321"/>
      <c r="C1262" s="190"/>
      <c r="D1262" s="190"/>
      <c r="E1262" s="256"/>
      <c r="F1262" s="264"/>
      <c r="G1262" s="213"/>
      <c r="H1262" s="205">
        <f>SUM(H1259:H1261)</f>
        <v>50</v>
      </c>
    </row>
    <row r="1263" spans="1:8" s="199" customFormat="1" ht="20.100000000000001" customHeight="1">
      <c r="A1263" s="195"/>
      <c r="B1263" s="189"/>
      <c r="C1263" s="196"/>
      <c r="D1263" s="196"/>
      <c r="E1263" s="322"/>
      <c r="F1263" s="317" t="s">
        <v>2560</v>
      </c>
      <c r="G1263" s="197">
        <f>+H1262</f>
        <v>50</v>
      </c>
      <c r="H1263" s="248" t="s">
        <v>1166</v>
      </c>
    </row>
    <row r="1264" spans="1:8" ht="20.100000000000001" customHeight="1">
      <c r="A1264" s="244">
        <v>50.3</v>
      </c>
      <c r="B1264" s="992" t="s">
        <v>3991</v>
      </c>
      <c r="C1264" s="993"/>
      <c r="D1264" s="993"/>
      <c r="E1264" s="993"/>
      <c r="F1264" s="993"/>
      <c r="G1264" s="994"/>
      <c r="H1264" s="205"/>
    </row>
    <row r="1265" spans="1:9" ht="20.100000000000001" customHeight="1">
      <c r="A1265" s="244"/>
      <c r="B1265" s="218" t="s">
        <v>3992</v>
      </c>
      <c r="C1265" s="219">
        <v>1</v>
      </c>
      <c r="D1265" s="254">
        <v>3</v>
      </c>
      <c r="E1265" s="205"/>
      <c r="F1265" s="194"/>
      <c r="G1265" s="213"/>
      <c r="H1265" s="205">
        <f>ROUND(PRODUCT(C1265:G1265),2)</f>
        <v>3</v>
      </c>
    </row>
    <row r="1266" spans="1:9" s="199" customFormat="1" ht="20.100000000000001" customHeight="1">
      <c r="A1266" s="195"/>
      <c r="B1266" s="189"/>
      <c r="C1266" s="196"/>
      <c r="D1266" s="196"/>
      <c r="E1266" s="322"/>
      <c r="F1266" s="317" t="s">
        <v>2560</v>
      </c>
      <c r="G1266" s="197">
        <f>+H1265</f>
        <v>3</v>
      </c>
      <c r="H1266" s="248" t="s">
        <v>1166</v>
      </c>
    </row>
    <row r="1267" spans="1:9" ht="20.100000000000001" customHeight="1">
      <c r="A1267" s="244">
        <v>50.4</v>
      </c>
      <c r="B1267" s="218" t="s">
        <v>1788</v>
      </c>
      <c r="C1267" s="219"/>
      <c r="D1267" s="219"/>
      <c r="E1267" s="205"/>
      <c r="F1267" s="194"/>
      <c r="G1267" s="213"/>
      <c r="H1267" s="205"/>
    </row>
    <row r="1268" spans="1:9" ht="20.100000000000001" customHeight="1">
      <c r="A1268" s="244"/>
      <c r="B1268" s="218" t="s">
        <v>3993</v>
      </c>
      <c r="C1268" s="219">
        <v>1</v>
      </c>
      <c r="D1268" s="254">
        <v>3</v>
      </c>
      <c r="E1268" s="205"/>
      <c r="F1268" s="194"/>
      <c r="G1268" s="213"/>
      <c r="H1268" s="205">
        <f>ROUND(PRODUCT(C1268:G1268),2)</f>
        <v>3</v>
      </c>
    </row>
    <row r="1269" spans="1:9" s="199" customFormat="1" ht="20.100000000000001" customHeight="1">
      <c r="A1269" s="195"/>
      <c r="B1269" s="189"/>
      <c r="C1269" s="196"/>
      <c r="D1269" s="196"/>
      <c r="E1269" s="322"/>
      <c r="F1269" s="317" t="s">
        <v>2560</v>
      </c>
      <c r="G1269" s="197">
        <f>+H1268</f>
        <v>3</v>
      </c>
      <c r="H1269" s="248" t="s">
        <v>1166</v>
      </c>
    </row>
    <row r="1270" spans="1:9" ht="20.100000000000001" customHeight="1">
      <c r="A1270" s="244">
        <v>50.5</v>
      </c>
      <c r="B1270" s="992" t="s">
        <v>3994</v>
      </c>
      <c r="C1270" s="993"/>
      <c r="D1270" s="993"/>
      <c r="E1270" s="993"/>
      <c r="F1270" s="993"/>
      <c r="G1270" s="994"/>
      <c r="H1270" s="205"/>
    </row>
    <row r="1271" spans="1:9" ht="20.100000000000001" customHeight="1">
      <c r="A1271" s="244"/>
      <c r="B1271" s="218" t="s">
        <v>3995</v>
      </c>
      <c r="C1271" s="219">
        <v>1</v>
      </c>
      <c r="D1271" s="219">
        <v>1</v>
      </c>
      <c r="E1271" s="205"/>
      <c r="F1271" s="194"/>
      <c r="G1271" s="213"/>
      <c r="H1271" s="205">
        <f>ROUND(PRODUCT(C1271:G1271),2)</f>
        <v>1</v>
      </c>
    </row>
    <row r="1272" spans="1:9" s="199" customFormat="1" ht="20.100000000000001" customHeight="1">
      <c r="A1272" s="195"/>
      <c r="B1272" s="189"/>
      <c r="C1272" s="196"/>
      <c r="D1272" s="196"/>
      <c r="E1272" s="322"/>
      <c r="F1272" s="317" t="s">
        <v>2560</v>
      </c>
      <c r="G1272" s="197">
        <f>+H1271</f>
        <v>1</v>
      </c>
      <c r="H1272" s="248" t="s">
        <v>1130</v>
      </c>
    </row>
    <row r="1273" spans="1:9" ht="20.100000000000001" customHeight="1">
      <c r="A1273" s="244">
        <v>52</v>
      </c>
      <c r="B1273" s="992" t="s">
        <v>189</v>
      </c>
      <c r="C1273" s="993"/>
      <c r="D1273" s="993"/>
      <c r="E1273" s="993"/>
      <c r="F1273" s="993"/>
      <c r="G1273" s="994"/>
      <c r="H1273" s="205"/>
    </row>
    <row r="1274" spans="1:9" ht="20.100000000000001" customHeight="1">
      <c r="A1274" s="244"/>
      <c r="B1274" s="216" t="s">
        <v>3996</v>
      </c>
      <c r="C1274" s="219"/>
      <c r="D1274" s="219"/>
      <c r="E1274" s="205"/>
      <c r="F1274" s="194"/>
      <c r="G1274" s="213"/>
      <c r="H1274" s="205"/>
    </row>
    <row r="1275" spans="1:9" ht="20.100000000000001" customHeight="1">
      <c r="A1275" s="244"/>
      <c r="B1275" s="218" t="s">
        <v>3997</v>
      </c>
      <c r="C1275" s="219">
        <v>1</v>
      </c>
      <c r="D1275" s="219">
        <v>1</v>
      </c>
      <c r="E1275" s="205">
        <v>30</v>
      </c>
      <c r="F1275" s="194"/>
      <c r="G1275" s="213"/>
      <c r="H1275" s="205">
        <f>ROUND(PRODUCT(C1275:G1275),2)</f>
        <v>30</v>
      </c>
    </row>
    <row r="1276" spans="1:9" s="316" customFormat="1" ht="20.100000000000001" customHeight="1">
      <c r="A1276" s="182"/>
      <c r="B1276" s="216"/>
      <c r="C1276" s="220"/>
      <c r="D1276" s="220"/>
      <c r="E1276" s="248"/>
      <c r="F1276" s="317" t="s">
        <v>2560</v>
      </c>
      <c r="G1276" s="197">
        <f>+H1275</f>
        <v>30</v>
      </c>
      <c r="H1276" s="248" t="s">
        <v>669</v>
      </c>
    </row>
    <row r="1277" spans="1:9" ht="20.100000000000001" customHeight="1">
      <c r="A1277" s="244"/>
      <c r="B1277" s="216" t="s">
        <v>3998</v>
      </c>
      <c r="C1277" s="219"/>
      <c r="D1277" s="219"/>
      <c r="E1277" s="205"/>
      <c r="F1277" s="194"/>
      <c r="G1277" s="213"/>
      <c r="H1277" s="205"/>
    </row>
    <row r="1278" spans="1:9" ht="20.100000000000001" customHeight="1">
      <c r="A1278" s="244"/>
      <c r="B1278" s="218" t="s">
        <v>3999</v>
      </c>
      <c r="C1278" s="219">
        <v>1</v>
      </c>
      <c r="D1278" s="219">
        <v>1</v>
      </c>
      <c r="E1278" s="205">
        <v>12</v>
      </c>
      <c r="F1278" s="194"/>
      <c r="G1278" s="213"/>
      <c r="H1278" s="205">
        <f>ROUND(PRODUCT(C1278:G1278),2)</f>
        <v>12</v>
      </c>
      <c r="I1278" s="181">
        <v>7</v>
      </c>
    </row>
    <row r="1279" spans="1:9" ht="20.100000000000001" customHeight="1">
      <c r="A1279" s="244"/>
      <c r="B1279" s="218" t="s">
        <v>4000</v>
      </c>
      <c r="C1279" s="219">
        <v>1</v>
      </c>
      <c r="D1279" s="219">
        <v>4</v>
      </c>
      <c r="E1279" s="205">
        <v>10</v>
      </c>
      <c r="F1279" s="194"/>
      <c r="G1279" s="213"/>
      <c r="H1279" s="205">
        <f>ROUND(PRODUCT(C1279:G1279),2)</f>
        <v>40</v>
      </c>
    </row>
    <row r="1280" spans="1:9" ht="20.100000000000001" customHeight="1">
      <c r="A1280" s="244"/>
      <c r="B1280" s="218" t="s">
        <v>4001</v>
      </c>
      <c r="C1280" s="219">
        <v>1</v>
      </c>
      <c r="D1280" s="219">
        <v>3</v>
      </c>
      <c r="E1280" s="205">
        <v>7</v>
      </c>
      <c r="F1280" s="194"/>
      <c r="G1280" s="213"/>
      <c r="H1280" s="205">
        <f>ROUND(PRODUCT(C1280:G1280),2)</f>
        <v>21</v>
      </c>
    </row>
    <row r="1281" spans="1:8" ht="20.100000000000001" customHeight="1">
      <c r="A1281" s="244"/>
      <c r="B1281" s="218"/>
      <c r="C1281" s="219"/>
      <c r="D1281" s="219"/>
      <c r="E1281" s="205"/>
      <c r="F1281" s="194"/>
      <c r="G1281" s="213"/>
      <c r="H1281" s="205">
        <f>SUM(H1278:H1280)</f>
        <v>73</v>
      </c>
    </row>
    <row r="1282" spans="1:8" s="316" customFormat="1" ht="20.100000000000001" customHeight="1">
      <c r="A1282" s="182"/>
      <c r="B1282" s="216"/>
      <c r="C1282" s="220"/>
      <c r="D1282" s="220"/>
      <c r="E1282" s="248"/>
      <c r="F1282" s="317" t="s">
        <v>2560</v>
      </c>
      <c r="G1282" s="197">
        <f>+H1281</f>
        <v>73</v>
      </c>
      <c r="H1282" s="248" t="s">
        <v>669</v>
      </c>
    </row>
    <row r="1283" spans="1:8" ht="20.100000000000001" customHeight="1">
      <c r="A1283" s="244">
        <v>52.4</v>
      </c>
      <c r="B1283" s="992" t="s">
        <v>4002</v>
      </c>
      <c r="C1283" s="993"/>
      <c r="D1283" s="993"/>
      <c r="E1283" s="993"/>
      <c r="F1283" s="993"/>
      <c r="G1283" s="994"/>
      <c r="H1283" s="205"/>
    </row>
    <row r="1284" spans="1:8" ht="20.100000000000001" customHeight="1">
      <c r="A1284" s="244"/>
      <c r="B1284" s="323" t="s">
        <v>4003</v>
      </c>
      <c r="C1284" s="219"/>
      <c r="D1284" s="219"/>
      <c r="E1284" s="205"/>
      <c r="F1284" s="194"/>
      <c r="G1284" s="213"/>
      <c r="H1284" s="205"/>
    </row>
    <row r="1285" spans="1:8" s="186" customFormat="1" ht="20.100000000000001" customHeight="1">
      <c r="A1285" s="187"/>
      <c r="B1285" s="192" t="s">
        <v>4004</v>
      </c>
      <c r="C1285" s="190">
        <v>1</v>
      </c>
      <c r="D1285" s="190">
        <v>2</v>
      </c>
      <c r="E1285" s="205">
        <v>3.5</v>
      </c>
      <c r="F1285" s="187"/>
      <c r="G1285" s="213"/>
      <c r="H1285" s="205">
        <f>ROUND(PRODUCT(C1285:G1285),2)</f>
        <v>7</v>
      </c>
    </row>
    <row r="1286" spans="1:8" s="186" customFormat="1" ht="20.100000000000001" customHeight="1">
      <c r="A1286" s="187"/>
      <c r="B1286" s="192" t="s">
        <v>4005</v>
      </c>
      <c r="C1286" s="190">
        <v>1</v>
      </c>
      <c r="D1286" s="190">
        <v>4</v>
      </c>
      <c r="E1286" s="205">
        <v>3.5</v>
      </c>
      <c r="F1286" s="187"/>
      <c r="G1286" s="213"/>
      <c r="H1286" s="205">
        <f>ROUND(PRODUCT(C1286:G1286),2)</f>
        <v>14</v>
      </c>
    </row>
    <row r="1287" spans="1:8" s="186" customFormat="1" ht="20.100000000000001" customHeight="1">
      <c r="A1287" s="187"/>
      <c r="B1287" s="192" t="s">
        <v>4006</v>
      </c>
      <c r="C1287" s="190">
        <v>1</v>
      </c>
      <c r="D1287" s="190">
        <v>6</v>
      </c>
      <c r="E1287" s="205">
        <v>3.5</v>
      </c>
      <c r="F1287" s="187"/>
      <c r="G1287" s="213"/>
      <c r="H1287" s="205">
        <f>ROUND(PRODUCT(C1287:G1287),2)</f>
        <v>21</v>
      </c>
    </row>
    <row r="1288" spans="1:8" ht="20.100000000000001" customHeight="1">
      <c r="A1288" s="244"/>
      <c r="B1288" s="218"/>
      <c r="C1288" s="219"/>
      <c r="D1288" s="219"/>
      <c r="E1288" s="205"/>
      <c r="F1288" s="194"/>
      <c r="G1288" s="213"/>
      <c r="H1288" s="205">
        <f>SUM(H1285:H1287)</f>
        <v>42</v>
      </c>
    </row>
    <row r="1289" spans="1:8" s="316" customFormat="1" ht="20.100000000000001" customHeight="1">
      <c r="A1289" s="182"/>
      <c r="B1289" s="216"/>
      <c r="C1289" s="220"/>
      <c r="D1289" s="220"/>
      <c r="E1289" s="248"/>
      <c r="F1289" s="317" t="s">
        <v>2560</v>
      </c>
      <c r="G1289" s="197">
        <f>+H1288</f>
        <v>42</v>
      </c>
      <c r="H1289" s="248" t="s">
        <v>669</v>
      </c>
    </row>
    <row r="1290" spans="1:8" ht="20.100000000000001" customHeight="1">
      <c r="A1290" s="244">
        <v>53.5</v>
      </c>
      <c r="B1290" s="992" t="s">
        <v>4007</v>
      </c>
      <c r="C1290" s="993"/>
      <c r="D1290" s="993"/>
      <c r="E1290" s="993"/>
      <c r="F1290" s="993"/>
      <c r="G1290" s="994"/>
      <c r="H1290" s="205"/>
    </row>
    <row r="1291" spans="1:8" s="186" customFormat="1" ht="20.100000000000001" customHeight="1">
      <c r="A1291" s="187"/>
      <c r="B1291" s="192" t="s">
        <v>4008</v>
      </c>
      <c r="C1291" s="190">
        <v>1</v>
      </c>
      <c r="D1291" s="190">
        <v>1</v>
      </c>
      <c r="E1291" s="250"/>
      <c r="F1291" s="187"/>
      <c r="G1291" s="213"/>
      <c r="H1291" s="205">
        <f>ROUND(PRODUCT(C1291:G1291),2)</f>
        <v>1</v>
      </c>
    </row>
    <row r="1292" spans="1:8" s="186" customFormat="1" ht="19.899999999999999" customHeight="1">
      <c r="A1292" s="187"/>
      <c r="B1292" s="192" t="s">
        <v>4009</v>
      </c>
      <c r="C1292" s="190">
        <v>1</v>
      </c>
      <c r="D1292" s="190">
        <v>2</v>
      </c>
      <c r="E1292" s="250"/>
      <c r="F1292" s="187"/>
      <c r="G1292" s="213"/>
      <c r="H1292" s="205">
        <f>ROUND(PRODUCT(C1292:G1292),2)</f>
        <v>2</v>
      </c>
    </row>
    <row r="1293" spans="1:8" s="186" customFormat="1" ht="34.9" customHeight="1">
      <c r="A1293" s="187"/>
      <c r="B1293" s="192" t="s">
        <v>4010</v>
      </c>
      <c r="C1293" s="190">
        <v>1</v>
      </c>
      <c r="D1293" s="190">
        <v>4</v>
      </c>
      <c r="E1293" s="250"/>
      <c r="F1293" s="187"/>
      <c r="G1293" s="213"/>
      <c r="H1293" s="205">
        <f>ROUND(PRODUCT(C1293:G1293),2)</f>
        <v>4</v>
      </c>
    </row>
    <row r="1294" spans="1:8" s="186" customFormat="1" ht="20.100000000000001" customHeight="1">
      <c r="A1294" s="187"/>
      <c r="B1294" s="192"/>
      <c r="C1294" s="190"/>
      <c r="D1294" s="190"/>
      <c r="E1294" s="250"/>
      <c r="F1294" s="187"/>
      <c r="G1294" s="213"/>
      <c r="H1294" s="253">
        <f>SUM(H1291:H1293)</f>
        <v>7</v>
      </c>
    </row>
    <row r="1295" spans="1:8" s="199" customFormat="1" ht="20.100000000000001" customHeight="1">
      <c r="A1295" s="195"/>
      <c r="B1295" s="189"/>
      <c r="C1295" s="196"/>
      <c r="D1295" s="196"/>
      <c r="E1295" s="322"/>
      <c r="F1295" s="182" t="s">
        <v>2560</v>
      </c>
      <c r="G1295" s="197">
        <f>+H1294</f>
        <v>7</v>
      </c>
      <c r="H1295" s="262" t="s">
        <v>1166</v>
      </c>
    </row>
    <row r="1296" spans="1:8" ht="20.100000000000001" customHeight="1">
      <c r="A1296" s="244">
        <v>54.2</v>
      </c>
      <c r="B1296" s="989" t="s">
        <v>4011</v>
      </c>
      <c r="C1296" s="990"/>
      <c r="D1296" s="990"/>
      <c r="E1296" s="990"/>
      <c r="F1296" s="990"/>
      <c r="G1296" s="991"/>
      <c r="H1296" s="205"/>
    </row>
    <row r="1297" spans="1:8" s="186" customFormat="1" ht="20.100000000000001" customHeight="1">
      <c r="A1297" s="187"/>
      <c r="B1297" s="192" t="s">
        <v>3771</v>
      </c>
      <c r="C1297" s="190">
        <v>1</v>
      </c>
      <c r="D1297" s="190">
        <v>2</v>
      </c>
      <c r="E1297" s="205"/>
      <c r="F1297" s="187"/>
      <c r="G1297" s="213"/>
      <c r="H1297" s="205">
        <f>ROUND(PRODUCT(C1297:G1297),2)</f>
        <v>2</v>
      </c>
    </row>
    <row r="1298" spans="1:8" s="186" customFormat="1" ht="20.100000000000001" customHeight="1">
      <c r="A1298" s="187"/>
      <c r="B1298" s="192" t="s">
        <v>3772</v>
      </c>
      <c r="C1298" s="190">
        <v>1</v>
      </c>
      <c r="D1298" s="190">
        <v>4</v>
      </c>
      <c r="E1298" s="205"/>
      <c r="F1298" s="187"/>
      <c r="G1298" s="213"/>
      <c r="H1298" s="205">
        <f>ROUND(PRODUCT(C1298:G1298),2)</f>
        <v>4</v>
      </c>
    </row>
    <row r="1299" spans="1:8" s="186" customFormat="1" ht="20.100000000000001" customHeight="1">
      <c r="A1299" s="187"/>
      <c r="B1299" s="192" t="s">
        <v>3773</v>
      </c>
      <c r="C1299" s="190">
        <v>1</v>
      </c>
      <c r="D1299" s="190">
        <v>6</v>
      </c>
      <c r="E1299" s="205"/>
      <c r="F1299" s="187"/>
      <c r="G1299" s="213"/>
      <c r="H1299" s="205">
        <f>ROUND(PRODUCT(C1299:G1299),2)</f>
        <v>6</v>
      </c>
    </row>
    <row r="1300" spans="1:8" s="186" customFormat="1" ht="20.100000000000001" customHeight="1">
      <c r="A1300" s="187"/>
      <c r="B1300" s="192"/>
      <c r="C1300" s="190"/>
      <c r="D1300" s="190"/>
      <c r="E1300" s="250"/>
      <c r="F1300" s="187"/>
      <c r="G1300" s="213"/>
      <c r="H1300" s="253">
        <f>SUM(H1297:H1299)</f>
        <v>12</v>
      </c>
    </row>
    <row r="1301" spans="1:8" s="199" customFormat="1" ht="20.100000000000001" customHeight="1">
      <c r="A1301" s="195"/>
      <c r="B1301" s="189"/>
      <c r="C1301" s="196"/>
      <c r="D1301" s="196"/>
      <c r="E1301" s="322"/>
      <c r="F1301" s="182" t="s">
        <v>2560</v>
      </c>
      <c r="G1301" s="197">
        <f>+H1300</f>
        <v>12</v>
      </c>
      <c r="H1301" s="262" t="s">
        <v>1166</v>
      </c>
    </row>
    <row r="1302" spans="1:8" s="186" customFormat="1" ht="20.100000000000001" customHeight="1">
      <c r="A1302" s="187">
        <v>54.1</v>
      </c>
      <c r="B1302" s="989" t="s">
        <v>4012</v>
      </c>
      <c r="C1302" s="990"/>
      <c r="D1302" s="990"/>
      <c r="E1302" s="990"/>
      <c r="F1302" s="990"/>
      <c r="G1302" s="991"/>
      <c r="H1302" s="205"/>
    </row>
    <row r="1303" spans="1:8" s="186" customFormat="1" ht="20.100000000000001" customHeight="1">
      <c r="A1303" s="187"/>
      <c r="B1303" s="192" t="s">
        <v>3771</v>
      </c>
      <c r="C1303" s="190">
        <v>1</v>
      </c>
      <c r="D1303" s="190">
        <v>2</v>
      </c>
      <c r="E1303" s="205"/>
      <c r="F1303" s="187"/>
      <c r="G1303" s="213"/>
      <c r="H1303" s="205">
        <f>ROUND(PRODUCT(C1303:G1303),2)</f>
        <v>2</v>
      </c>
    </row>
    <row r="1304" spans="1:8" s="186" customFormat="1" ht="20.100000000000001" customHeight="1">
      <c r="A1304" s="187"/>
      <c r="B1304" s="192" t="s">
        <v>3772</v>
      </c>
      <c r="C1304" s="190">
        <v>1</v>
      </c>
      <c r="D1304" s="190">
        <v>2</v>
      </c>
      <c r="E1304" s="205"/>
      <c r="F1304" s="187"/>
      <c r="G1304" s="213"/>
      <c r="H1304" s="205">
        <f>ROUND(PRODUCT(C1304:G1304),2)</f>
        <v>2</v>
      </c>
    </row>
    <row r="1305" spans="1:8" s="186" customFormat="1" ht="20.100000000000001" customHeight="1">
      <c r="A1305" s="187"/>
      <c r="B1305" s="192" t="s">
        <v>3773</v>
      </c>
      <c r="C1305" s="190">
        <v>1</v>
      </c>
      <c r="D1305" s="190">
        <v>6</v>
      </c>
      <c r="E1305" s="205"/>
      <c r="F1305" s="187"/>
      <c r="G1305" s="213"/>
      <c r="H1305" s="205">
        <f>ROUND(PRODUCT(C1305:G1305),2)</f>
        <v>6</v>
      </c>
    </row>
    <row r="1306" spans="1:8" s="186" customFormat="1" ht="20.100000000000001" customHeight="1">
      <c r="A1306" s="187"/>
      <c r="B1306" s="192"/>
      <c r="C1306" s="190"/>
      <c r="D1306" s="190"/>
      <c r="E1306" s="250"/>
      <c r="F1306" s="187"/>
      <c r="G1306" s="213"/>
      <c r="H1306" s="253">
        <f>SUM(H1303:H1305)</f>
        <v>10</v>
      </c>
    </row>
    <row r="1307" spans="1:8" s="199" customFormat="1" ht="20.100000000000001" customHeight="1">
      <c r="A1307" s="195"/>
      <c r="B1307" s="189"/>
      <c r="C1307" s="196"/>
      <c r="D1307" s="196"/>
      <c r="E1307" s="322"/>
      <c r="F1307" s="182" t="s">
        <v>2560</v>
      </c>
      <c r="G1307" s="197">
        <f>+H1306</f>
        <v>10</v>
      </c>
      <c r="H1307" s="262" t="s">
        <v>1166</v>
      </c>
    </row>
    <row r="1308" spans="1:8" ht="34.9" customHeight="1">
      <c r="A1308" s="244">
        <v>56.3</v>
      </c>
      <c r="B1308" s="992" t="s">
        <v>4013</v>
      </c>
      <c r="C1308" s="993"/>
      <c r="D1308" s="993"/>
      <c r="E1308" s="993"/>
      <c r="F1308" s="993"/>
      <c r="G1308" s="994"/>
      <c r="H1308" s="205"/>
    </row>
    <row r="1309" spans="1:8" ht="20.100000000000001" customHeight="1">
      <c r="A1309" s="244"/>
      <c r="B1309" s="218" t="s">
        <v>4014</v>
      </c>
      <c r="C1309" s="219">
        <v>1</v>
      </c>
      <c r="D1309" s="219">
        <v>1</v>
      </c>
      <c r="E1309" s="205"/>
      <c r="F1309" s="194"/>
      <c r="G1309" s="213"/>
      <c r="H1309" s="205">
        <f>ROUND(PRODUCT(C1309:G1309),2)</f>
        <v>1</v>
      </c>
    </row>
    <row r="1310" spans="1:8" s="316" customFormat="1" ht="20.100000000000001" customHeight="1">
      <c r="A1310" s="182"/>
      <c r="B1310" s="216"/>
      <c r="C1310" s="220"/>
      <c r="D1310" s="220"/>
      <c r="E1310" s="248"/>
      <c r="F1310" s="182" t="s">
        <v>2560</v>
      </c>
      <c r="G1310" s="197">
        <f>+H1309</f>
        <v>1</v>
      </c>
      <c r="H1310" s="262" t="s">
        <v>1130</v>
      </c>
    </row>
    <row r="1311" spans="1:8" ht="34.9" customHeight="1">
      <c r="A1311" s="244">
        <v>56.4</v>
      </c>
      <c r="B1311" s="992" t="s">
        <v>4015</v>
      </c>
      <c r="C1311" s="993"/>
      <c r="D1311" s="993"/>
      <c r="E1311" s="993"/>
      <c r="F1311" s="993"/>
      <c r="G1311" s="994"/>
      <c r="H1311" s="205"/>
    </row>
    <row r="1312" spans="1:8" ht="19.899999999999999" customHeight="1">
      <c r="A1312" s="244"/>
      <c r="B1312" s="218" t="s">
        <v>4016</v>
      </c>
      <c r="C1312" s="219">
        <v>1</v>
      </c>
      <c r="D1312" s="219">
        <v>2</v>
      </c>
      <c r="E1312" s="205"/>
      <c r="F1312" s="194"/>
      <c r="G1312" s="213"/>
      <c r="H1312" s="205">
        <f>ROUND(PRODUCT(C1312:G1312),2)</f>
        <v>2</v>
      </c>
    </row>
    <row r="1313" spans="1:9" s="186" customFormat="1" ht="19.899999999999999" customHeight="1">
      <c r="A1313" s="187"/>
      <c r="B1313" s="192" t="s">
        <v>4017</v>
      </c>
      <c r="C1313" s="190">
        <v>1</v>
      </c>
      <c r="D1313" s="190">
        <v>2</v>
      </c>
      <c r="E1313" s="250"/>
      <c r="F1313" s="187"/>
      <c r="G1313" s="213"/>
      <c r="H1313" s="205">
        <f>ROUND(PRODUCT(C1313:G1313),2)</f>
        <v>2</v>
      </c>
    </row>
    <row r="1314" spans="1:9" s="186" customFormat="1" ht="20.100000000000001" customHeight="1">
      <c r="A1314" s="187"/>
      <c r="B1314" s="192"/>
      <c r="C1314" s="190"/>
      <c r="D1314" s="190"/>
      <c r="E1314" s="250"/>
      <c r="F1314" s="187"/>
      <c r="G1314" s="213"/>
      <c r="H1314" s="253">
        <f>SUM(H1312:H1313)</f>
        <v>4</v>
      </c>
    </row>
    <row r="1315" spans="1:9" s="316" customFormat="1" ht="20.100000000000001" customHeight="1">
      <c r="A1315" s="182"/>
      <c r="B1315" s="216"/>
      <c r="C1315" s="220"/>
      <c r="D1315" s="220"/>
      <c r="E1315" s="248"/>
      <c r="F1315" s="182" t="s">
        <v>2560</v>
      </c>
      <c r="G1315" s="197">
        <f>H1314</f>
        <v>4</v>
      </c>
      <c r="H1315" s="262" t="s">
        <v>1166</v>
      </c>
    </row>
    <row r="1316" spans="1:9" ht="19.899999999999999" customHeight="1">
      <c r="A1316" s="244">
        <v>57</v>
      </c>
      <c r="B1316" s="992" t="s">
        <v>4018</v>
      </c>
      <c r="C1316" s="993"/>
      <c r="D1316" s="993"/>
      <c r="E1316" s="993"/>
      <c r="F1316" s="993"/>
      <c r="G1316" s="994"/>
      <c r="H1316" s="205"/>
    </row>
    <row r="1317" spans="1:9" ht="19.899999999999999" customHeight="1">
      <c r="A1317" s="244"/>
      <c r="B1317" s="218" t="s">
        <v>4019</v>
      </c>
      <c r="C1317" s="219">
        <v>1</v>
      </c>
      <c r="D1317" s="254">
        <v>1</v>
      </c>
      <c r="E1317" s="205"/>
      <c r="F1317" s="194"/>
      <c r="G1317" s="213"/>
      <c r="H1317" s="205">
        <f>ROUND(PRODUCT(C1317:G1317),2)</f>
        <v>1</v>
      </c>
    </row>
    <row r="1318" spans="1:9" ht="19.899999999999999" customHeight="1">
      <c r="A1318" s="244"/>
      <c r="B1318" s="218" t="s">
        <v>4020</v>
      </c>
      <c r="C1318" s="219">
        <v>1</v>
      </c>
      <c r="D1318" s="219">
        <v>2</v>
      </c>
      <c r="E1318" s="205"/>
      <c r="F1318" s="194"/>
      <c r="G1318" s="213"/>
      <c r="H1318" s="205">
        <f>ROUND(PRODUCT(C1318:G1318),2)</f>
        <v>2</v>
      </c>
    </row>
    <row r="1319" spans="1:9" ht="19.899999999999999" customHeight="1">
      <c r="A1319" s="244"/>
      <c r="B1319" s="218" t="s">
        <v>4021</v>
      </c>
      <c r="C1319" s="219">
        <v>1</v>
      </c>
      <c r="D1319" s="219">
        <v>4</v>
      </c>
      <c r="E1319" s="205"/>
      <c r="F1319" s="194"/>
      <c r="G1319" s="213"/>
      <c r="H1319" s="205">
        <f>ROUND(PRODUCT(C1319:G1319),2)</f>
        <v>4</v>
      </c>
    </row>
    <row r="1320" spans="1:9" ht="19.899999999999999" customHeight="1">
      <c r="A1320" s="244"/>
      <c r="B1320" s="218"/>
      <c r="C1320" s="219"/>
      <c r="D1320" s="219"/>
      <c r="E1320" s="205"/>
      <c r="F1320" s="194"/>
      <c r="G1320" s="213"/>
      <c r="H1320" s="205">
        <f>SUM(H1317:H1319)</f>
        <v>7</v>
      </c>
    </row>
    <row r="1321" spans="1:9" s="316" customFormat="1" ht="19.899999999999999" customHeight="1">
      <c r="A1321" s="182"/>
      <c r="B1321" s="216"/>
      <c r="C1321" s="220"/>
      <c r="D1321" s="220"/>
      <c r="E1321" s="248"/>
      <c r="F1321" s="182" t="s">
        <v>2560</v>
      </c>
      <c r="G1321" s="197">
        <f>H1320</f>
        <v>7</v>
      </c>
      <c r="H1321" s="262" t="s">
        <v>1166</v>
      </c>
    </row>
    <row r="1322" spans="1:9" s="186" customFormat="1" ht="34.9" customHeight="1">
      <c r="A1322" s="187">
        <v>58.3</v>
      </c>
      <c r="B1322" s="989" t="s">
        <v>4022</v>
      </c>
      <c r="C1322" s="990"/>
      <c r="D1322" s="990"/>
      <c r="E1322" s="990"/>
      <c r="F1322" s="990"/>
      <c r="G1322" s="991"/>
      <c r="H1322" s="205"/>
    </row>
    <row r="1323" spans="1:9" s="186" customFormat="1" ht="20.100000000000001" customHeight="1">
      <c r="A1323" s="187"/>
      <c r="B1323" s="189" t="s">
        <v>4023</v>
      </c>
      <c r="C1323" s="190"/>
      <c r="D1323" s="190"/>
      <c r="E1323" s="205"/>
      <c r="F1323" s="187"/>
      <c r="G1323" s="213"/>
      <c r="H1323" s="205"/>
    </row>
    <row r="1324" spans="1:9" s="186" customFormat="1" ht="20.100000000000001" customHeight="1">
      <c r="A1324" s="187"/>
      <c r="B1324" s="192" t="s">
        <v>4024</v>
      </c>
      <c r="C1324" s="190">
        <v>1</v>
      </c>
      <c r="D1324" s="190">
        <v>1</v>
      </c>
      <c r="E1324" s="205">
        <v>4</v>
      </c>
      <c r="F1324" s="187"/>
      <c r="G1324" s="213"/>
      <c r="H1324" s="205">
        <f t="shared" ref="H1324:H1331" si="40">ROUND(PRODUCT(C1324:G1324),2)</f>
        <v>4</v>
      </c>
    </row>
    <row r="1325" spans="1:9" s="186" customFormat="1" ht="20.100000000000001" customHeight="1">
      <c r="A1325" s="187"/>
      <c r="B1325" s="192" t="s">
        <v>4025</v>
      </c>
      <c r="C1325" s="190">
        <v>1</v>
      </c>
      <c r="D1325" s="190">
        <v>1</v>
      </c>
      <c r="E1325" s="205">
        <v>2</v>
      </c>
      <c r="F1325" s="187"/>
      <c r="G1325" s="213"/>
      <c r="H1325" s="205">
        <f t="shared" si="40"/>
        <v>2</v>
      </c>
    </row>
    <row r="1326" spans="1:9" s="186" customFormat="1" ht="20.100000000000001" customHeight="1">
      <c r="A1326" s="187"/>
      <c r="B1326" s="192" t="s">
        <v>4026</v>
      </c>
      <c r="C1326" s="190">
        <v>1</v>
      </c>
      <c r="D1326" s="190">
        <v>2</v>
      </c>
      <c r="E1326" s="205">
        <v>3</v>
      </c>
      <c r="F1326" s="187"/>
      <c r="G1326" s="213"/>
      <c r="H1326" s="205">
        <f t="shared" si="40"/>
        <v>6</v>
      </c>
    </row>
    <row r="1327" spans="1:9" s="329" customFormat="1" ht="20.100000000000001" customHeight="1">
      <c r="A1327" s="324"/>
      <c r="B1327" s="205" t="s">
        <v>4027</v>
      </c>
      <c r="C1327" s="320">
        <v>1</v>
      </c>
      <c r="D1327" s="320">
        <v>2</v>
      </c>
      <c r="E1327" s="325">
        <v>1.2</v>
      </c>
      <c r="F1327" s="326"/>
      <c r="G1327" s="327"/>
      <c r="H1327" s="205">
        <f t="shared" si="40"/>
        <v>2.4</v>
      </c>
      <c r="I1327" s="328"/>
    </row>
    <row r="1328" spans="1:9" s="329" customFormat="1" ht="20.100000000000001" customHeight="1">
      <c r="A1328" s="324"/>
      <c r="B1328" s="205" t="s">
        <v>4028</v>
      </c>
      <c r="C1328" s="320">
        <v>1</v>
      </c>
      <c r="D1328" s="320">
        <v>2</v>
      </c>
      <c r="E1328" s="325">
        <v>2</v>
      </c>
      <c r="F1328" s="326"/>
      <c r="G1328" s="327"/>
      <c r="H1328" s="205">
        <f t="shared" si="40"/>
        <v>4</v>
      </c>
      <c r="I1328" s="328"/>
    </row>
    <row r="1329" spans="1:9" s="329" customFormat="1" ht="20.100000000000001" customHeight="1">
      <c r="A1329" s="324"/>
      <c r="B1329" s="205" t="s">
        <v>4029</v>
      </c>
      <c r="C1329" s="320">
        <v>1</v>
      </c>
      <c r="D1329" s="320">
        <v>2</v>
      </c>
      <c r="E1329" s="325">
        <v>2</v>
      </c>
      <c r="F1329" s="326"/>
      <c r="G1329" s="327"/>
      <c r="H1329" s="205">
        <f t="shared" si="40"/>
        <v>4</v>
      </c>
      <c r="I1329" s="328"/>
    </row>
    <row r="1330" spans="1:9" s="329" customFormat="1" ht="20.100000000000001" customHeight="1">
      <c r="A1330" s="324"/>
      <c r="B1330" s="205" t="s">
        <v>4030</v>
      </c>
      <c r="C1330" s="320">
        <v>1</v>
      </c>
      <c r="D1330" s="320">
        <v>4</v>
      </c>
      <c r="E1330" s="325">
        <v>8</v>
      </c>
      <c r="F1330" s="326"/>
      <c r="G1330" s="327"/>
      <c r="H1330" s="205">
        <f t="shared" si="40"/>
        <v>32</v>
      </c>
      <c r="I1330" s="328"/>
    </row>
    <row r="1331" spans="1:9" s="329" customFormat="1" ht="20.100000000000001" customHeight="1">
      <c r="A1331" s="324"/>
      <c r="B1331" s="205" t="s">
        <v>4031</v>
      </c>
      <c r="C1331" s="320">
        <v>1</v>
      </c>
      <c r="D1331" s="320">
        <v>15</v>
      </c>
      <c r="E1331" s="325">
        <v>0.9</v>
      </c>
      <c r="F1331" s="326"/>
      <c r="G1331" s="327"/>
      <c r="H1331" s="205">
        <f t="shared" si="40"/>
        <v>13.5</v>
      </c>
      <c r="I1331" s="328"/>
    </row>
    <row r="1332" spans="1:9" s="186" customFormat="1" ht="20.100000000000001" customHeight="1">
      <c r="A1332" s="187"/>
      <c r="B1332" s="192"/>
      <c r="C1332" s="190"/>
      <c r="D1332" s="190"/>
      <c r="E1332" s="205"/>
      <c r="F1332" s="187"/>
      <c r="G1332" s="213"/>
      <c r="H1332" s="205">
        <v>0.1</v>
      </c>
    </row>
    <row r="1333" spans="1:9" s="186" customFormat="1" ht="20.100000000000001" customHeight="1">
      <c r="A1333" s="187"/>
      <c r="B1333" s="192"/>
      <c r="C1333" s="190"/>
      <c r="D1333" s="190"/>
      <c r="E1333" s="205"/>
      <c r="F1333" s="187"/>
      <c r="G1333" s="213"/>
      <c r="H1333" s="205">
        <f>SUM(H1324:H1332)</f>
        <v>68</v>
      </c>
    </row>
    <row r="1334" spans="1:9" s="199" customFormat="1" ht="20.100000000000001" customHeight="1">
      <c r="A1334" s="195"/>
      <c r="B1334" s="189"/>
      <c r="C1334" s="196"/>
      <c r="D1334" s="196"/>
      <c r="E1334" s="248"/>
      <c r="F1334" s="182" t="s">
        <v>2560</v>
      </c>
      <c r="G1334" s="197">
        <f>+H1333</f>
        <v>68</v>
      </c>
      <c r="H1334" s="262" t="s">
        <v>669</v>
      </c>
    </row>
    <row r="1335" spans="1:9" s="186" customFormat="1" ht="20.100000000000001" customHeight="1">
      <c r="A1335" s="187"/>
      <c r="B1335" s="189" t="s">
        <v>4032</v>
      </c>
      <c r="C1335" s="190"/>
      <c r="D1335" s="190"/>
      <c r="E1335" s="205"/>
      <c r="F1335" s="187"/>
      <c r="G1335" s="213"/>
      <c r="H1335" s="205"/>
    </row>
    <row r="1336" spans="1:9" s="186" customFormat="1" ht="33" customHeight="1">
      <c r="A1336" s="187"/>
      <c r="B1336" s="205" t="s">
        <v>4033</v>
      </c>
      <c r="C1336" s="320">
        <v>1</v>
      </c>
      <c r="D1336" s="320">
        <v>2</v>
      </c>
      <c r="E1336" s="325">
        <v>3</v>
      </c>
      <c r="F1336" s="187"/>
      <c r="G1336" s="213"/>
      <c r="H1336" s="205">
        <f t="shared" ref="H1336:H1343" si="41">ROUND(PRODUCT(C1336:G1336),2)</f>
        <v>6</v>
      </c>
    </row>
    <row r="1337" spans="1:9" s="186" customFormat="1" ht="33" customHeight="1">
      <c r="A1337" s="187"/>
      <c r="B1337" s="205" t="s">
        <v>4034</v>
      </c>
      <c r="C1337" s="320">
        <v>1</v>
      </c>
      <c r="D1337" s="320">
        <v>2</v>
      </c>
      <c r="E1337" s="325">
        <v>3</v>
      </c>
      <c r="F1337" s="187"/>
      <c r="G1337" s="213"/>
      <c r="H1337" s="205">
        <f t="shared" si="41"/>
        <v>6</v>
      </c>
    </row>
    <row r="1338" spans="1:9" s="186" customFormat="1" ht="19.899999999999999" customHeight="1">
      <c r="A1338" s="187"/>
      <c r="B1338" s="205" t="s">
        <v>4035</v>
      </c>
      <c r="C1338" s="320">
        <v>1</v>
      </c>
      <c r="D1338" s="320">
        <v>2</v>
      </c>
      <c r="E1338" s="325">
        <v>2</v>
      </c>
      <c r="F1338" s="187"/>
      <c r="G1338" s="213"/>
      <c r="H1338" s="205">
        <f t="shared" si="41"/>
        <v>4</v>
      </c>
    </row>
    <row r="1339" spans="1:9" s="186" customFormat="1" ht="20.100000000000001" customHeight="1">
      <c r="A1339" s="187"/>
      <c r="B1339" s="205" t="s">
        <v>4036</v>
      </c>
      <c r="C1339" s="320">
        <v>1</v>
      </c>
      <c r="D1339" s="320">
        <v>1</v>
      </c>
      <c r="E1339" s="325">
        <v>2</v>
      </c>
      <c r="F1339" s="187"/>
      <c r="G1339" s="213"/>
      <c r="H1339" s="205">
        <f t="shared" si="41"/>
        <v>2</v>
      </c>
    </row>
    <row r="1340" spans="1:9" s="186" customFormat="1" ht="20.100000000000001" customHeight="1">
      <c r="A1340" s="187"/>
      <c r="B1340" s="205" t="s">
        <v>4036</v>
      </c>
      <c r="C1340" s="320">
        <v>1</v>
      </c>
      <c r="D1340" s="320">
        <v>1</v>
      </c>
      <c r="E1340" s="325">
        <v>3</v>
      </c>
      <c r="F1340" s="187"/>
      <c r="G1340" s="213"/>
      <c r="H1340" s="205">
        <f t="shared" si="41"/>
        <v>3</v>
      </c>
    </row>
    <row r="1341" spans="1:9" s="186" customFormat="1" ht="20.100000000000001" customHeight="1">
      <c r="A1341" s="187"/>
      <c r="B1341" s="205" t="s">
        <v>4037</v>
      </c>
      <c r="C1341" s="320">
        <v>1</v>
      </c>
      <c r="D1341" s="320">
        <v>1</v>
      </c>
      <c r="E1341" s="325">
        <v>3</v>
      </c>
      <c r="F1341" s="187"/>
      <c r="G1341" s="213"/>
      <c r="H1341" s="205">
        <f t="shared" si="41"/>
        <v>3</v>
      </c>
    </row>
    <row r="1342" spans="1:9" s="186" customFormat="1" ht="20.100000000000001" customHeight="1">
      <c r="A1342" s="187"/>
      <c r="B1342" s="205" t="s">
        <v>4038</v>
      </c>
      <c r="C1342" s="320">
        <v>1</v>
      </c>
      <c r="D1342" s="320">
        <v>1</v>
      </c>
      <c r="E1342" s="325">
        <v>2</v>
      </c>
      <c r="F1342" s="187"/>
      <c r="G1342" s="213"/>
      <c r="H1342" s="205">
        <f t="shared" si="41"/>
        <v>2</v>
      </c>
    </row>
    <row r="1343" spans="1:9" s="186" customFormat="1" ht="20.100000000000001" customHeight="1">
      <c r="A1343" s="187"/>
      <c r="B1343" s="205" t="s">
        <v>4039</v>
      </c>
      <c r="C1343" s="320">
        <v>1</v>
      </c>
      <c r="D1343" s="320">
        <v>1</v>
      </c>
      <c r="E1343" s="325">
        <v>2</v>
      </c>
      <c r="F1343" s="187"/>
      <c r="G1343" s="213"/>
      <c r="H1343" s="205">
        <f t="shared" si="41"/>
        <v>2</v>
      </c>
    </row>
    <row r="1344" spans="1:9" s="186" customFormat="1" ht="20.100000000000001" customHeight="1">
      <c r="A1344" s="187"/>
      <c r="B1344" s="192"/>
      <c r="C1344" s="190"/>
      <c r="D1344" s="190"/>
      <c r="E1344" s="205"/>
      <c r="F1344" s="187"/>
      <c r="G1344" s="213"/>
      <c r="H1344" s="253">
        <f>SUM(H1336:H1343)</f>
        <v>28</v>
      </c>
    </row>
    <row r="1345" spans="1:8" s="199" customFormat="1" ht="20.100000000000001" customHeight="1">
      <c r="A1345" s="195"/>
      <c r="B1345" s="189"/>
      <c r="C1345" s="196"/>
      <c r="D1345" s="196"/>
      <c r="E1345" s="322"/>
      <c r="F1345" s="182" t="s">
        <v>2560</v>
      </c>
      <c r="G1345" s="197">
        <f>+H1344</f>
        <v>28</v>
      </c>
      <c r="H1345" s="262" t="s">
        <v>669</v>
      </c>
    </row>
    <row r="1346" spans="1:8" ht="20.100000000000001" customHeight="1">
      <c r="A1346" s="244">
        <v>59.5</v>
      </c>
      <c r="B1346" s="992" t="s">
        <v>4040</v>
      </c>
      <c r="C1346" s="993"/>
      <c r="D1346" s="993"/>
      <c r="E1346" s="993"/>
      <c r="F1346" s="993"/>
      <c r="G1346" s="994"/>
      <c r="H1346" s="205"/>
    </row>
    <row r="1347" spans="1:8" s="186" customFormat="1" ht="20.100000000000001" customHeight="1">
      <c r="A1347" s="187"/>
      <c r="B1347" s="192" t="s">
        <v>4041</v>
      </c>
      <c r="C1347" s="190">
        <v>1</v>
      </c>
      <c r="D1347" s="190">
        <v>2</v>
      </c>
      <c r="E1347" s="250"/>
      <c r="F1347" s="187"/>
      <c r="G1347" s="213"/>
      <c r="H1347" s="205">
        <f>ROUND(PRODUCT(C1347:G1347),2)</f>
        <v>2</v>
      </c>
    </row>
    <row r="1348" spans="1:8" s="186" customFormat="1" ht="20.100000000000001" customHeight="1">
      <c r="A1348" s="187"/>
      <c r="B1348" s="192" t="s">
        <v>4042</v>
      </c>
      <c r="C1348" s="190">
        <v>1</v>
      </c>
      <c r="D1348" s="190">
        <v>5</v>
      </c>
      <c r="E1348" s="250"/>
      <c r="F1348" s="187"/>
      <c r="G1348" s="213"/>
      <c r="H1348" s="205">
        <f>ROUND(PRODUCT(C1348:G1348),2)</f>
        <v>5</v>
      </c>
    </row>
    <row r="1349" spans="1:8" s="186" customFormat="1" ht="20.100000000000001" customHeight="1">
      <c r="A1349" s="187"/>
      <c r="B1349" s="192" t="s">
        <v>4043</v>
      </c>
      <c r="C1349" s="190">
        <v>1</v>
      </c>
      <c r="D1349" s="190">
        <v>10</v>
      </c>
      <c r="E1349" s="250"/>
      <c r="F1349" s="187"/>
      <c r="G1349" s="213"/>
      <c r="H1349" s="205">
        <f>ROUND(PRODUCT(C1349:G1349),2)</f>
        <v>10</v>
      </c>
    </row>
    <row r="1350" spans="1:8" s="186" customFormat="1" ht="20.100000000000001" customHeight="1">
      <c r="A1350" s="187"/>
      <c r="B1350" s="192"/>
      <c r="C1350" s="190"/>
      <c r="D1350" s="190"/>
      <c r="E1350" s="250"/>
      <c r="F1350" s="187"/>
      <c r="G1350" s="213"/>
      <c r="H1350" s="253">
        <f>SUM(H1347:H1349)</f>
        <v>17</v>
      </c>
    </row>
    <row r="1351" spans="1:8" s="199" customFormat="1" ht="20.100000000000001" customHeight="1">
      <c r="A1351" s="195"/>
      <c r="B1351" s="189"/>
      <c r="C1351" s="196"/>
      <c r="D1351" s="196"/>
      <c r="E1351" s="322"/>
      <c r="F1351" s="182" t="s">
        <v>2560</v>
      </c>
      <c r="G1351" s="197">
        <f>+H1350</f>
        <v>17</v>
      </c>
      <c r="H1351" s="262" t="s">
        <v>1166</v>
      </c>
    </row>
    <row r="1352" spans="1:8" ht="20.100000000000001" customHeight="1">
      <c r="A1352" s="244">
        <v>60</v>
      </c>
      <c r="B1352" s="992" t="s">
        <v>1238</v>
      </c>
      <c r="C1352" s="993"/>
      <c r="D1352" s="993"/>
      <c r="E1352" s="993"/>
      <c r="F1352" s="993"/>
      <c r="G1352" s="994"/>
      <c r="H1352" s="205"/>
    </row>
    <row r="1353" spans="1:8" ht="20.100000000000001" customHeight="1">
      <c r="A1353" s="244"/>
      <c r="B1353" s="218" t="s">
        <v>4044</v>
      </c>
      <c r="C1353" s="219">
        <v>1</v>
      </c>
      <c r="D1353" s="219">
        <v>11</v>
      </c>
      <c r="E1353" s="205"/>
      <c r="F1353" s="194"/>
      <c r="G1353" s="213"/>
      <c r="H1353" s="205">
        <f>ROUND(PRODUCT(C1353:G1353),2)</f>
        <v>11</v>
      </c>
    </row>
    <row r="1354" spans="1:8" s="316" customFormat="1" ht="20.100000000000001" customHeight="1">
      <c r="A1354" s="182"/>
      <c r="B1354" s="216"/>
      <c r="C1354" s="220"/>
      <c r="D1354" s="220"/>
      <c r="E1354" s="248"/>
      <c r="F1354" s="182" t="s">
        <v>2560</v>
      </c>
      <c r="G1354" s="197">
        <f>+H1353</f>
        <v>11</v>
      </c>
      <c r="H1354" s="262" t="s">
        <v>1166</v>
      </c>
    </row>
    <row r="1355" spans="1:8" ht="19.899999999999999" customHeight="1">
      <c r="A1355" s="244">
        <v>61.1</v>
      </c>
      <c r="B1355" s="992" t="s">
        <v>4045</v>
      </c>
      <c r="C1355" s="993"/>
      <c r="D1355" s="993"/>
      <c r="E1355" s="993"/>
      <c r="F1355" s="993"/>
      <c r="G1355" s="994"/>
      <c r="H1355" s="205"/>
    </row>
    <row r="1356" spans="1:8" ht="19.899999999999999" customHeight="1">
      <c r="A1356" s="244"/>
      <c r="B1356" s="1028" t="s">
        <v>2312</v>
      </c>
      <c r="C1356" s="1029"/>
      <c r="D1356" s="1029"/>
      <c r="E1356" s="1029"/>
      <c r="F1356" s="1029"/>
      <c r="G1356" s="1030"/>
      <c r="H1356" s="205"/>
    </row>
    <row r="1357" spans="1:8" s="186" customFormat="1" ht="19.899999999999999" customHeight="1">
      <c r="A1357" s="187"/>
      <c r="B1357" s="192" t="s">
        <v>4046</v>
      </c>
      <c r="C1357" s="190">
        <v>1</v>
      </c>
      <c r="D1357" s="190">
        <v>2</v>
      </c>
      <c r="E1357" s="205">
        <v>2</v>
      </c>
      <c r="F1357" s="187"/>
      <c r="G1357" s="213"/>
      <c r="H1357" s="205">
        <f>ROUND(PRODUCT(C1357:G1357),2)</f>
        <v>4</v>
      </c>
    </row>
    <row r="1358" spans="1:8" s="186" customFormat="1" ht="19.899999999999999" customHeight="1">
      <c r="A1358" s="187"/>
      <c r="B1358" s="192" t="s">
        <v>4047</v>
      </c>
      <c r="C1358" s="190">
        <v>1</v>
      </c>
      <c r="D1358" s="190">
        <v>1</v>
      </c>
      <c r="E1358" s="247">
        <v>5</v>
      </c>
      <c r="F1358" s="187"/>
      <c r="G1358" s="213"/>
      <c r="H1358" s="205">
        <f>ROUND(PRODUCT(C1358:G1358),2)</f>
        <v>5</v>
      </c>
    </row>
    <row r="1359" spans="1:8" s="186" customFormat="1" ht="19.899999999999999" customHeight="1">
      <c r="A1359" s="187"/>
      <c r="B1359" s="192" t="s">
        <v>4048</v>
      </c>
      <c r="C1359" s="190">
        <v>1</v>
      </c>
      <c r="D1359" s="190">
        <v>1</v>
      </c>
      <c r="E1359" s="247">
        <v>6</v>
      </c>
      <c r="F1359" s="187"/>
      <c r="G1359" s="213"/>
      <c r="H1359" s="205">
        <f>ROUND(PRODUCT(C1359:G1359),2)</f>
        <v>6</v>
      </c>
    </row>
    <row r="1360" spans="1:8" s="186" customFormat="1" ht="19.899999999999999" customHeight="1">
      <c r="A1360" s="187"/>
      <c r="B1360" s="192" t="s">
        <v>4049</v>
      </c>
      <c r="C1360" s="190">
        <v>1</v>
      </c>
      <c r="D1360" s="190">
        <v>1</v>
      </c>
      <c r="E1360" s="247">
        <v>5</v>
      </c>
      <c r="F1360" s="187"/>
      <c r="G1360" s="213"/>
      <c r="H1360" s="205">
        <f>ROUND(PRODUCT(C1360:G1360),2)</f>
        <v>5</v>
      </c>
    </row>
    <row r="1361" spans="1:8" s="186" customFormat="1" ht="19.899999999999999" customHeight="1">
      <c r="A1361" s="187"/>
      <c r="B1361" s="192"/>
      <c r="C1361" s="190"/>
      <c r="D1361" s="190"/>
      <c r="E1361" s="256"/>
      <c r="F1361" s="187"/>
      <c r="G1361" s="213"/>
      <c r="H1361" s="205">
        <f>SUM(H1357:H1360)</f>
        <v>20</v>
      </c>
    </row>
    <row r="1362" spans="1:8" s="199" customFormat="1" ht="19.899999999999999" customHeight="1">
      <c r="A1362" s="195"/>
      <c r="B1362" s="189"/>
      <c r="C1362" s="196"/>
      <c r="D1362" s="196"/>
      <c r="E1362" s="322"/>
      <c r="F1362" s="182" t="s">
        <v>2560</v>
      </c>
      <c r="G1362" s="197">
        <f>+H1361</f>
        <v>20</v>
      </c>
      <c r="H1362" s="262" t="s">
        <v>669</v>
      </c>
    </row>
    <row r="1363" spans="1:8" s="186" customFormat="1" ht="20.100000000000001" customHeight="1">
      <c r="A1363" s="187"/>
      <c r="B1363" s="189" t="s">
        <v>4050</v>
      </c>
      <c r="C1363" s="190"/>
      <c r="D1363" s="190"/>
      <c r="E1363" s="256"/>
      <c r="F1363" s="187"/>
      <c r="G1363" s="213"/>
      <c r="H1363" s="205"/>
    </row>
    <row r="1364" spans="1:8" s="186" customFormat="1" ht="20.100000000000001" customHeight="1">
      <c r="A1364" s="187"/>
      <c r="B1364" s="192" t="s">
        <v>4049</v>
      </c>
      <c r="C1364" s="190">
        <v>1</v>
      </c>
      <c r="D1364" s="190">
        <v>1</v>
      </c>
      <c r="E1364" s="247">
        <v>8</v>
      </c>
      <c r="F1364" s="187"/>
      <c r="G1364" s="213"/>
      <c r="H1364" s="205">
        <f>ROUND(PRODUCT(C1364:G1364),2)</f>
        <v>8</v>
      </c>
    </row>
    <row r="1365" spans="1:8" s="199" customFormat="1" ht="20.100000000000001" customHeight="1">
      <c r="A1365" s="195"/>
      <c r="B1365" s="189"/>
      <c r="C1365" s="196"/>
      <c r="D1365" s="196"/>
      <c r="E1365" s="322"/>
      <c r="F1365" s="182" t="s">
        <v>2560</v>
      </c>
      <c r="G1365" s="197">
        <f>+H1364</f>
        <v>8</v>
      </c>
      <c r="H1365" s="262" t="s">
        <v>669</v>
      </c>
    </row>
    <row r="1366" spans="1:8" ht="20.100000000000001" customHeight="1">
      <c r="A1366" s="244">
        <v>62.1</v>
      </c>
      <c r="B1366" s="992" t="s">
        <v>4051</v>
      </c>
      <c r="C1366" s="993"/>
      <c r="D1366" s="993"/>
      <c r="E1366" s="993"/>
      <c r="F1366" s="993"/>
      <c r="G1366" s="994"/>
      <c r="H1366" s="205"/>
    </row>
    <row r="1367" spans="1:8" ht="19.899999999999999" customHeight="1">
      <c r="A1367" s="244"/>
      <c r="B1367" s="216" t="s">
        <v>4052</v>
      </c>
      <c r="C1367" s="219">
        <v>1</v>
      </c>
      <c r="D1367" s="219">
        <v>2</v>
      </c>
      <c r="E1367" s="205"/>
      <c r="F1367" s="194"/>
      <c r="G1367" s="213"/>
      <c r="H1367" s="205">
        <f>ROUND(PRODUCT(C1367:G1367),2)</f>
        <v>2</v>
      </c>
    </row>
    <row r="1368" spans="1:8" s="316" customFormat="1" ht="20.100000000000001" customHeight="1">
      <c r="A1368" s="182"/>
      <c r="B1368" s="216"/>
      <c r="C1368" s="220"/>
      <c r="D1368" s="220"/>
      <c r="E1368" s="248"/>
      <c r="F1368" s="182" t="s">
        <v>2560</v>
      </c>
      <c r="G1368" s="197">
        <f>+H1367</f>
        <v>2</v>
      </c>
      <c r="H1368" s="262" t="s">
        <v>1166</v>
      </c>
    </row>
    <row r="1369" spans="1:8" ht="20.100000000000001" customHeight="1">
      <c r="A1369" s="244">
        <v>62.2</v>
      </c>
      <c r="B1369" s="992" t="s">
        <v>4053</v>
      </c>
      <c r="C1369" s="993"/>
      <c r="D1369" s="993"/>
      <c r="E1369" s="993"/>
      <c r="F1369" s="993"/>
      <c r="G1369" s="994"/>
      <c r="H1369" s="205"/>
    </row>
    <row r="1370" spans="1:8" ht="19.899999999999999" customHeight="1">
      <c r="A1370" s="244"/>
      <c r="B1370" s="216" t="s">
        <v>4054</v>
      </c>
      <c r="C1370" s="219">
        <v>1</v>
      </c>
      <c r="D1370" s="219">
        <v>2</v>
      </c>
      <c r="E1370" s="205"/>
      <c r="F1370" s="194"/>
      <c r="G1370" s="213"/>
      <c r="H1370" s="205">
        <f>ROUND(PRODUCT(C1370:G1370),2)</f>
        <v>2</v>
      </c>
    </row>
    <row r="1371" spans="1:8" s="316" customFormat="1" ht="20.100000000000001" customHeight="1">
      <c r="A1371" s="182"/>
      <c r="B1371" s="216"/>
      <c r="C1371" s="220"/>
      <c r="D1371" s="220"/>
      <c r="E1371" s="248"/>
      <c r="F1371" s="182" t="s">
        <v>2560</v>
      </c>
      <c r="G1371" s="197">
        <f>+H1370</f>
        <v>2</v>
      </c>
      <c r="H1371" s="262" t="s">
        <v>1166</v>
      </c>
    </row>
    <row r="1372" spans="1:8" ht="40.15" customHeight="1">
      <c r="A1372" s="244">
        <v>64.099999999999994</v>
      </c>
      <c r="B1372" s="992" t="s">
        <v>4055</v>
      </c>
      <c r="C1372" s="993"/>
      <c r="D1372" s="993"/>
      <c r="E1372" s="993"/>
      <c r="F1372" s="993"/>
      <c r="G1372" s="994"/>
      <c r="H1372" s="205"/>
    </row>
    <row r="1373" spans="1:8" ht="20.100000000000001" customHeight="1">
      <c r="A1373" s="244"/>
      <c r="B1373" s="216" t="s">
        <v>4056</v>
      </c>
      <c r="C1373" s="219"/>
      <c r="D1373" s="219"/>
      <c r="E1373" s="205"/>
      <c r="F1373" s="194"/>
      <c r="G1373" s="213"/>
      <c r="H1373" s="205"/>
    </row>
    <row r="1374" spans="1:8" ht="20.100000000000001" customHeight="1">
      <c r="A1374" s="244"/>
      <c r="B1374" s="216" t="s">
        <v>3312</v>
      </c>
      <c r="C1374" s="219"/>
      <c r="D1374" s="219"/>
      <c r="E1374" s="205"/>
      <c r="F1374" s="194"/>
      <c r="G1374" s="213"/>
      <c r="H1374" s="205"/>
    </row>
    <row r="1375" spans="1:8" ht="20.100000000000001" customHeight="1">
      <c r="A1375" s="244"/>
      <c r="B1375" s="218" t="s">
        <v>4057</v>
      </c>
      <c r="C1375" s="219">
        <v>1</v>
      </c>
      <c r="D1375" s="254">
        <v>5</v>
      </c>
      <c r="E1375" s="205"/>
      <c r="F1375" s="194"/>
      <c r="G1375" s="213"/>
      <c r="H1375" s="205">
        <f t="shared" ref="H1375:H1396" si="42">ROUND(PRODUCT(C1375:G1375),2)</f>
        <v>5</v>
      </c>
    </row>
    <row r="1376" spans="1:8" ht="20.100000000000001" customHeight="1">
      <c r="A1376" s="244"/>
      <c r="B1376" s="218" t="s">
        <v>4058</v>
      </c>
      <c r="C1376" s="219">
        <v>1</v>
      </c>
      <c r="D1376" s="219">
        <v>2</v>
      </c>
      <c r="E1376" s="205"/>
      <c r="F1376" s="194"/>
      <c r="G1376" s="213"/>
      <c r="H1376" s="205">
        <f t="shared" si="42"/>
        <v>2</v>
      </c>
    </row>
    <row r="1377" spans="1:8" ht="20.100000000000001" customHeight="1">
      <c r="A1377" s="244"/>
      <c r="B1377" s="218" t="s">
        <v>3802</v>
      </c>
      <c r="C1377" s="219">
        <v>1</v>
      </c>
      <c r="D1377" s="219">
        <v>1</v>
      </c>
      <c r="E1377" s="205"/>
      <c r="F1377" s="194"/>
      <c r="G1377" s="213"/>
      <c r="H1377" s="205">
        <f t="shared" si="42"/>
        <v>1</v>
      </c>
    </row>
    <row r="1378" spans="1:8" ht="20.100000000000001" customHeight="1">
      <c r="A1378" s="244"/>
      <c r="B1378" s="218" t="s">
        <v>4059</v>
      </c>
      <c r="C1378" s="219">
        <v>1</v>
      </c>
      <c r="D1378" s="219">
        <v>2</v>
      </c>
      <c r="E1378" s="205"/>
      <c r="F1378" s="194"/>
      <c r="G1378" s="213"/>
      <c r="H1378" s="205">
        <f t="shared" si="42"/>
        <v>2</v>
      </c>
    </row>
    <row r="1379" spans="1:8" ht="20.100000000000001" customHeight="1">
      <c r="A1379" s="244"/>
      <c r="B1379" s="218" t="s">
        <v>3508</v>
      </c>
      <c r="C1379" s="219">
        <v>1</v>
      </c>
      <c r="D1379" s="254">
        <v>2</v>
      </c>
      <c r="E1379" s="205"/>
      <c r="F1379" s="194"/>
      <c r="G1379" s="213"/>
      <c r="H1379" s="205">
        <f t="shared" si="42"/>
        <v>2</v>
      </c>
    </row>
    <row r="1380" spans="1:8" ht="20.100000000000001" customHeight="1">
      <c r="A1380" s="244"/>
      <c r="B1380" s="218" t="s">
        <v>3506</v>
      </c>
      <c r="C1380" s="219">
        <v>1</v>
      </c>
      <c r="D1380" s="219">
        <v>2</v>
      </c>
      <c r="E1380" s="205"/>
      <c r="F1380" s="194"/>
      <c r="G1380" s="213"/>
      <c r="H1380" s="205">
        <f t="shared" si="42"/>
        <v>2</v>
      </c>
    </row>
    <row r="1381" spans="1:8" ht="20.100000000000001" customHeight="1">
      <c r="A1381" s="244"/>
      <c r="B1381" s="216" t="s">
        <v>3306</v>
      </c>
      <c r="C1381" s="219"/>
      <c r="D1381" s="219"/>
      <c r="E1381" s="205"/>
      <c r="F1381" s="194"/>
      <c r="G1381" s="213"/>
      <c r="H1381" s="205">
        <f t="shared" si="42"/>
        <v>0</v>
      </c>
    </row>
    <row r="1382" spans="1:8" ht="20.100000000000001" customHeight="1">
      <c r="A1382" s="244"/>
      <c r="B1382" s="218" t="s">
        <v>4060</v>
      </c>
      <c r="C1382" s="219">
        <v>1</v>
      </c>
      <c r="D1382" s="219">
        <v>2</v>
      </c>
      <c r="E1382" s="205"/>
      <c r="F1382" s="194"/>
      <c r="G1382" s="213"/>
      <c r="H1382" s="205">
        <f t="shared" si="42"/>
        <v>2</v>
      </c>
    </row>
    <row r="1383" spans="1:8" ht="20.100000000000001" customHeight="1">
      <c r="A1383" s="244"/>
      <c r="B1383" s="218" t="s">
        <v>3852</v>
      </c>
      <c r="C1383" s="219">
        <v>1</v>
      </c>
      <c r="D1383" s="219">
        <v>2</v>
      </c>
      <c r="E1383" s="205"/>
      <c r="F1383" s="194"/>
      <c r="G1383" s="213"/>
      <c r="H1383" s="205">
        <f t="shared" si="42"/>
        <v>2</v>
      </c>
    </row>
    <row r="1384" spans="1:8" ht="20.100000000000001" customHeight="1">
      <c r="A1384" s="244"/>
      <c r="B1384" s="218" t="s">
        <v>4061</v>
      </c>
      <c r="C1384" s="219">
        <v>1</v>
      </c>
      <c r="D1384" s="254">
        <v>1</v>
      </c>
      <c r="E1384" s="205"/>
      <c r="F1384" s="194"/>
      <c r="G1384" s="213"/>
      <c r="H1384" s="205">
        <f t="shared" si="42"/>
        <v>1</v>
      </c>
    </row>
    <row r="1385" spans="1:8" ht="20.100000000000001" customHeight="1">
      <c r="A1385" s="244"/>
      <c r="B1385" s="218" t="s">
        <v>4062</v>
      </c>
      <c r="C1385" s="219">
        <v>1</v>
      </c>
      <c r="D1385" s="219">
        <v>2</v>
      </c>
      <c r="E1385" s="205"/>
      <c r="F1385" s="194"/>
      <c r="G1385" s="213"/>
      <c r="H1385" s="205">
        <f t="shared" si="42"/>
        <v>2</v>
      </c>
    </row>
    <row r="1386" spans="1:8" ht="20.100000000000001" customHeight="1">
      <c r="A1386" s="244"/>
      <c r="B1386" s="218" t="s">
        <v>4063</v>
      </c>
      <c r="C1386" s="219">
        <v>1</v>
      </c>
      <c r="D1386" s="219">
        <v>2</v>
      </c>
      <c r="E1386" s="205"/>
      <c r="F1386" s="194"/>
      <c r="G1386" s="213"/>
      <c r="H1386" s="205">
        <f t="shared" si="42"/>
        <v>2</v>
      </c>
    </row>
    <row r="1387" spans="1:8" ht="20.100000000000001" customHeight="1">
      <c r="A1387" s="244"/>
      <c r="B1387" s="218" t="s">
        <v>4064</v>
      </c>
      <c r="C1387" s="219">
        <v>1</v>
      </c>
      <c r="D1387" s="254">
        <v>2</v>
      </c>
      <c r="E1387" s="205"/>
      <c r="F1387" s="194"/>
      <c r="G1387" s="213"/>
      <c r="H1387" s="205">
        <f t="shared" si="42"/>
        <v>2</v>
      </c>
    </row>
    <row r="1388" spans="1:8" ht="20.100000000000001" customHeight="1">
      <c r="A1388" s="244"/>
      <c r="B1388" s="218" t="s">
        <v>3857</v>
      </c>
      <c r="C1388" s="219">
        <v>1</v>
      </c>
      <c r="D1388" s="254">
        <v>2</v>
      </c>
      <c r="E1388" s="205"/>
      <c r="F1388" s="194"/>
      <c r="G1388" s="213"/>
      <c r="H1388" s="205">
        <f t="shared" si="42"/>
        <v>2</v>
      </c>
    </row>
    <row r="1389" spans="1:8" ht="20.100000000000001" customHeight="1">
      <c r="A1389" s="244"/>
      <c r="B1389" s="216" t="s">
        <v>4065</v>
      </c>
      <c r="C1389" s="219"/>
      <c r="D1389" s="219"/>
      <c r="E1389" s="205"/>
      <c r="F1389" s="194"/>
      <c r="G1389" s="213"/>
      <c r="H1389" s="205">
        <f t="shared" si="42"/>
        <v>0</v>
      </c>
    </row>
    <row r="1390" spans="1:8" ht="20.100000000000001" customHeight="1">
      <c r="A1390" s="244"/>
      <c r="B1390" s="218" t="s">
        <v>4060</v>
      </c>
      <c r="C1390" s="219">
        <v>1</v>
      </c>
      <c r="D1390" s="219">
        <v>2</v>
      </c>
      <c r="E1390" s="205"/>
      <c r="F1390" s="194"/>
      <c r="G1390" s="213"/>
      <c r="H1390" s="205">
        <f t="shared" si="42"/>
        <v>2</v>
      </c>
    </row>
    <row r="1391" spans="1:8" ht="20.100000000000001" customHeight="1">
      <c r="A1391" s="244"/>
      <c r="B1391" s="218" t="s">
        <v>4063</v>
      </c>
      <c r="C1391" s="219">
        <v>1</v>
      </c>
      <c r="D1391" s="219">
        <v>2</v>
      </c>
      <c r="E1391" s="205"/>
      <c r="F1391" s="194"/>
      <c r="G1391" s="213"/>
      <c r="H1391" s="205">
        <f t="shared" si="42"/>
        <v>2</v>
      </c>
    </row>
    <row r="1392" spans="1:8" ht="20.100000000000001" customHeight="1">
      <c r="A1392" s="244"/>
      <c r="B1392" s="218" t="s">
        <v>4061</v>
      </c>
      <c r="C1392" s="219">
        <v>1</v>
      </c>
      <c r="D1392" s="219">
        <v>2</v>
      </c>
      <c r="E1392" s="205"/>
      <c r="F1392" s="194"/>
      <c r="G1392" s="213"/>
      <c r="H1392" s="205">
        <f t="shared" si="42"/>
        <v>2</v>
      </c>
    </row>
    <row r="1393" spans="1:8" ht="20.100000000000001" customHeight="1">
      <c r="A1393" s="244"/>
      <c r="B1393" s="218" t="s">
        <v>4066</v>
      </c>
      <c r="C1393" s="219">
        <v>1</v>
      </c>
      <c r="D1393" s="219">
        <v>1</v>
      </c>
      <c r="E1393" s="205"/>
      <c r="F1393" s="194"/>
      <c r="G1393" s="213"/>
      <c r="H1393" s="205">
        <f t="shared" si="42"/>
        <v>1</v>
      </c>
    </row>
    <row r="1394" spans="1:8" ht="20.100000000000001" customHeight="1">
      <c r="A1394" s="244"/>
      <c r="B1394" s="218" t="s">
        <v>4067</v>
      </c>
      <c r="C1394" s="254">
        <v>1</v>
      </c>
      <c r="D1394" s="219">
        <v>2</v>
      </c>
      <c r="E1394" s="205"/>
      <c r="F1394" s="194"/>
      <c r="G1394" s="213"/>
      <c r="H1394" s="205">
        <f t="shared" si="42"/>
        <v>2</v>
      </c>
    </row>
    <row r="1395" spans="1:8" ht="20.100000000000001" customHeight="1">
      <c r="A1395" s="244"/>
      <c r="B1395" s="218" t="s">
        <v>4064</v>
      </c>
      <c r="C1395" s="219">
        <v>1</v>
      </c>
      <c r="D1395" s="254">
        <v>2</v>
      </c>
      <c r="E1395" s="205"/>
      <c r="F1395" s="194"/>
      <c r="G1395" s="213"/>
      <c r="H1395" s="205">
        <f t="shared" si="42"/>
        <v>2</v>
      </c>
    </row>
    <row r="1396" spans="1:8" ht="20.100000000000001" customHeight="1">
      <c r="A1396" s="244"/>
      <c r="B1396" s="218" t="s">
        <v>4068</v>
      </c>
      <c r="C1396" s="219">
        <v>1</v>
      </c>
      <c r="D1396" s="219">
        <v>2</v>
      </c>
      <c r="E1396" s="205"/>
      <c r="F1396" s="194"/>
      <c r="G1396" s="213"/>
      <c r="H1396" s="205">
        <f t="shared" si="42"/>
        <v>2</v>
      </c>
    </row>
    <row r="1397" spans="1:8" ht="20.100000000000001" customHeight="1">
      <c r="A1397" s="244"/>
      <c r="B1397" s="218"/>
      <c r="C1397" s="219"/>
      <c r="D1397" s="219"/>
      <c r="E1397" s="205"/>
      <c r="F1397" s="194"/>
      <c r="G1397" s="213"/>
      <c r="H1397" s="205">
        <f>SUM(H1375:H1396)</f>
        <v>40</v>
      </c>
    </row>
    <row r="1398" spans="1:8" s="316" customFormat="1" ht="20.100000000000001" customHeight="1">
      <c r="A1398" s="182"/>
      <c r="B1398" s="216"/>
      <c r="C1398" s="220"/>
      <c r="D1398" s="220"/>
      <c r="E1398" s="248"/>
      <c r="F1398" s="182" t="s">
        <v>2560</v>
      </c>
      <c r="G1398" s="197">
        <f>+H1397</f>
        <v>40</v>
      </c>
      <c r="H1398" s="262" t="s">
        <v>1166</v>
      </c>
    </row>
    <row r="1399" spans="1:8" ht="20.100000000000001" customHeight="1">
      <c r="A1399" s="244"/>
      <c r="B1399" s="216" t="s">
        <v>4069</v>
      </c>
      <c r="C1399" s="219"/>
      <c r="D1399" s="219"/>
      <c r="E1399" s="205"/>
      <c r="F1399" s="194"/>
      <c r="G1399" s="213"/>
      <c r="H1399" s="205"/>
    </row>
    <row r="1400" spans="1:8" ht="20.100000000000001" customHeight="1">
      <c r="A1400" s="244"/>
      <c r="B1400" s="216" t="s">
        <v>3312</v>
      </c>
      <c r="C1400" s="219"/>
      <c r="D1400" s="219"/>
      <c r="E1400" s="205"/>
      <c r="F1400" s="194"/>
      <c r="G1400" s="213"/>
      <c r="H1400" s="205"/>
    </row>
    <row r="1401" spans="1:8" ht="20.100000000000001" customHeight="1">
      <c r="A1401" s="244"/>
      <c r="B1401" s="218" t="s">
        <v>3810</v>
      </c>
      <c r="C1401" s="219">
        <v>1</v>
      </c>
      <c r="D1401" s="219">
        <v>2</v>
      </c>
      <c r="E1401" s="205"/>
      <c r="F1401" s="194"/>
      <c r="G1401" s="213"/>
      <c r="H1401" s="205">
        <f t="shared" ref="H1401:H1429" si="43">ROUND(PRODUCT(C1401:G1401),2)</f>
        <v>2</v>
      </c>
    </row>
    <row r="1402" spans="1:8" ht="20.100000000000001" customHeight="1">
      <c r="A1402" s="244"/>
      <c r="B1402" s="218" t="s">
        <v>3814</v>
      </c>
      <c r="C1402" s="219">
        <v>1</v>
      </c>
      <c r="D1402" s="219">
        <v>1</v>
      </c>
      <c r="E1402" s="205"/>
      <c r="F1402" s="194"/>
      <c r="G1402" s="213"/>
      <c r="H1402" s="205">
        <f t="shared" si="43"/>
        <v>1</v>
      </c>
    </row>
    <row r="1403" spans="1:8" ht="20.100000000000001" customHeight="1">
      <c r="A1403" s="244"/>
      <c r="B1403" s="218" t="s">
        <v>3509</v>
      </c>
      <c r="C1403" s="219">
        <v>1</v>
      </c>
      <c r="D1403" s="219">
        <v>1</v>
      </c>
      <c r="E1403" s="205"/>
      <c r="F1403" s="194"/>
      <c r="G1403" s="213"/>
      <c r="H1403" s="205">
        <f t="shared" si="43"/>
        <v>1</v>
      </c>
    </row>
    <row r="1404" spans="1:8" ht="20.100000000000001" customHeight="1">
      <c r="A1404" s="244"/>
      <c r="B1404" s="218" t="s">
        <v>3813</v>
      </c>
      <c r="C1404" s="219">
        <v>1</v>
      </c>
      <c r="D1404" s="219">
        <v>1</v>
      </c>
      <c r="E1404" s="205"/>
      <c r="F1404" s="194"/>
      <c r="G1404" s="213"/>
      <c r="H1404" s="205">
        <f t="shared" si="43"/>
        <v>1</v>
      </c>
    </row>
    <row r="1405" spans="1:8" ht="20.100000000000001" customHeight="1">
      <c r="A1405" s="244"/>
      <c r="B1405" s="218" t="s">
        <v>3506</v>
      </c>
      <c r="C1405" s="219">
        <v>1</v>
      </c>
      <c r="D1405" s="219">
        <v>1</v>
      </c>
      <c r="E1405" s="205"/>
      <c r="F1405" s="194"/>
      <c r="G1405" s="213"/>
      <c r="H1405" s="205">
        <f t="shared" si="43"/>
        <v>1</v>
      </c>
    </row>
    <row r="1406" spans="1:8" ht="20.100000000000001" customHeight="1">
      <c r="A1406" s="244"/>
      <c r="B1406" s="218" t="s">
        <v>3849</v>
      </c>
      <c r="C1406" s="219">
        <v>1</v>
      </c>
      <c r="D1406" s="219">
        <v>1</v>
      </c>
      <c r="E1406" s="205"/>
      <c r="F1406" s="194"/>
      <c r="G1406" s="213"/>
      <c r="H1406" s="205">
        <f t="shared" si="43"/>
        <v>1</v>
      </c>
    </row>
    <row r="1407" spans="1:8" ht="20.100000000000001" customHeight="1">
      <c r="A1407" s="244"/>
      <c r="B1407" s="218" t="s">
        <v>4059</v>
      </c>
      <c r="C1407" s="219">
        <v>1</v>
      </c>
      <c r="D1407" s="219">
        <v>1</v>
      </c>
      <c r="E1407" s="205"/>
      <c r="F1407" s="194"/>
      <c r="G1407" s="213"/>
      <c r="H1407" s="205">
        <f t="shared" si="43"/>
        <v>1</v>
      </c>
    </row>
    <row r="1408" spans="1:8" ht="20.100000000000001" customHeight="1">
      <c r="A1408" s="244"/>
      <c r="B1408" s="216" t="s">
        <v>3306</v>
      </c>
      <c r="C1408" s="219"/>
      <c r="D1408" s="219"/>
      <c r="E1408" s="205"/>
      <c r="F1408" s="194"/>
      <c r="G1408" s="213"/>
      <c r="H1408" s="205">
        <f t="shared" si="43"/>
        <v>0</v>
      </c>
    </row>
    <row r="1409" spans="1:8" ht="20.100000000000001" customHeight="1">
      <c r="A1409" s="244"/>
      <c r="B1409" s="218" t="s">
        <v>3295</v>
      </c>
      <c r="C1409" s="219">
        <v>1</v>
      </c>
      <c r="D1409" s="219">
        <v>1</v>
      </c>
      <c r="E1409" s="205"/>
      <c r="F1409" s="194"/>
      <c r="G1409" s="213"/>
      <c r="H1409" s="205">
        <f t="shared" si="43"/>
        <v>1</v>
      </c>
    </row>
    <row r="1410" spans="1:8" ht="20.100000000000001" customHeight="1">
      <c r="A1410" s="244"/>
      <c r="B1410" s="218" t="s">
        <v>3852</v>
      </c>
      <c r="C1410" s="219">
        <v>1</v>
      </c>
      <c r="D1410" s="219">
        <v>1</v>
      </c>
      <c r="E1410" s="205"/>
      <c r="F1410" s="194"/>
      <c r="G1410" s="213"/>
      <c r="H1410" s="205">
        <f t="shared" si="43"/>
        <v>1</v>
      </c>
    </row>
    <row r="1411" spans="1:8" ht="20.100000000000001" customHeight="1">
      <c r="A1411" s="244"/>
      <c r="B1411" s="218" t="s">
        <v>4070</v>
      </c>
      <c r="C1411" s="219">
        <v>1</v>
      </c>
      <c r="D1411" s="219">
        <v>2</v>
      </c>
      <c r="E1411" s="205"/>
      <c r="F1411" s="194"/>
      <c r="G1411" s="213"/>
      <c r="H1411" s="205">
        <f t="shared" si="43"/>
        <v>2</v>
      </c>
    </row>
    <row r="1412" spans="1:8" ht="20.100000000000001" customHeight="1">
      <c r="A1412" s="244"/>
      <c r="B1412" s="218" t="s">
        <v>3855</v>
      </c>
      <c r="C1412" s="219">
        <v>1</v>
      </c>
      <c r="D1412" s="219">
        <v>2</v>
      </c>
      <c r="E1412" s="205"/>
      <c r="F1412" s="194"/>
      <c r="G1412" s="213"/>
      <c r="H1412" s="205">
        <f t="shared" si="43"/>
        <v>2</v>
      </c>
    </row>
    <row r="1413" spans="1:8" ht="20.100000000000001" customHeight="1">
      <c r="A1413" s="244"/>
      <c r="B1413" s="218" t="s">
        <v>4064</v>
      </c>
      <c r="C1413" s="219">
        <v>1</v>
      </c>
      <c r="D1413" s="219">
        <v>2</v>
      </c>
      <c r="E1413" s="205"/>
      <c r="F1413" s="194"/>
      <c r="G1413" s="213"/>
      <c r="H1413" s="205">
        <f t="shared" si="43"/>
        <v>2</v>
      </c>
    </row>
    <row r="1414" spans="1:8" ht="20.100000000000001" customHeight="1">
      <c r="A1414" s="244"/>
      <c r="B1414" s="218" t="s">
        <v>3856</v>
      </c>
      <c r="C1414" s="219">
        <v>1</v>
      </c>
      <c r="D1414" s="219">
        <v>1</v>
      </c>
      <c r="E1414" s="205"/>
      <c r="F1414" s="194"/>
      <c r="G1414" s="213"/>
      <c r="H1414" s="205">
        <f t="shared" si="43"/>
        <v>1</v>
      </c>
    </row>
    <row r="1415" spans="1:8" ht="20.100000000000001" customHeight="1">
      <c r="A1415" s="244"/>
      <c r="B1415" s="218" t="s">
        <v>3857</v>
      </c>
      <c r="C1415" s="219">
        <v>1</v>
      </c>
      <c r="D1415" s="219">
        <v>2</v>
      </c>
      <c r="E1415" s="205"/>
      <c r="F1415" s="194"/>
      <c r="G1415" s="213"/>
      <c r="H1415" s="205">
        <f t="shared" si="43"/>
        <v>2</v>
      </c>
    </row>
    <row r="1416" spans="1:8" ht="20.100000000000001" customHeight="1">
      <c r="A1416" s="244"/>
      <c r="B1416" s="218" t="s">
        <v>4071</v>
      </c>
      <c r="C1416" s="219">
        <v>1</v>
      </c>
      <c r="D1416" s="219">
        <v>2</v>
      </c>
      <c r="E1416" s="205"/>
      <c r="F1416" s="194"/>
      <c r="G1416" s="213"/>
      <c r="H1416" s="205">
        <f t="shared" si="43"/>
        <v>2</v>
      </c>
    </row>
    <row r="1417" spans="1:8" ht="20.100000000000001" customHeight="1">
      <c r="A1417" s="244"/>
      <c r="B1417" s="216" t="s">
        <v>4043</v>
      </c>
      <c r="C1417" s="219"/>
      <c r="D1417" s="219"/>
      <c r="E1417" s="205"/>
      <c r="F1417" s="194"/>
      <c r="G1417" s="213"/>
      <c r="H1417" s="205">
        <f t="shared" si="43"/>
        <v>0</v>
      </c>
    </row>
    <row r="1418" spans="1:8" ht="20.100000000000001" customHeight="1">
      <c r="A1418" s="244"/>
      <c r="B1418" s="218" t="s">
        <v>3295</v>
      </c>
      <c r="C1418" s="219">
        <v>1</v>
      </c>
      <c r="D1418" s="219">
        <v>1</v>
      </c>
      <c r="E1418" s="205"/>
      <c r="F1418" s="194"/>
      <c r="G1418" s="213"/>
      <c r="H1418" s="205">
        <f t="shared" si="43"/>
        <v>1</v>
      </c>
    </row>
    <row r="1419" spans="1:8" ht="20.100000000000001" customHeight="1">
      <c r="A1419" s="244"/>
      <c r="B1419" s="218" t="s">
        <v>3856</v>
      </c>
      <c r="C1419" s="219">
        <v>1</v>
      </c>
      <c r="D1419" s="219">
        <v>1</v>
      </c>
      <c r="E1419" s="205"/>
      <c r="F1419" s="194"/>
      <c r="G1419" s="213"/>
      <c r="H1419" s="205">
        <f t="shared" si="43"/>
        <v>1</v>
      </c>
    </row>
    <row r="1420" spans="1:8" ht="20.100000000000001" customHeight="1">
      <c r="A1420" s="244"/>
      <c r="B1420" s="218" t="s">
        <v>3384</v>
      </c>
      <c r="C1420" s="219">
        <v>1</v>
      </c>
      <c r="D1420" s="219">
        <v>1</v>
      </c>
      <c r="E1420" s="205"/>
      <c r="F1420" s="194"/>
      <c r="G1420" s="213"/>
      <c r="H1420" s="205">
        <f t="shared" si="43"/>
        <v>1</v>
      </c>
    </row>
    <row r="1421" spans="1:8" ht="20.100000000000001" customHeight="1">
      <c r="A1421" s="244"/>
      <c r="B1421" s="218" t="s">
        <v>3858</v>
      </c>
      <c r="C1421" s="219">
        <v>1</v>
      </c>
      <c r="D1421" s="254">
        <v>1</v>
      </c>
      <c r="E1421" s="205"/>
      <c r="F1421" s="194"/>
      <c r="G1421" s="213"/>
      <c r="H1421" s="205">
        <f t="shared" si="43"/>
        <v>1</v>
      </c>
    </row>
    <row r="1422" spans="1:8" ht="20.100000000000001" customHeight="1">
      <c r="A1422" s="244"/>
      <c r="B1422" s="218" t="s">
        <v>3384</v>
      </c>
      <c r="C1422" s="219">
        <v>1</v>
      </c>
      <c r="D1422" s="254">
        <v>1</v>
      </c>
      <c r="E1422" s="205"/>
      <c r="F1422" s="194"/>
      <c r="G1422" s="213"/>
      <c r="H1422" s="205">
        <f t="shared" si="43"/>
        <v>1</v>
      </c>
    </row>
    <row r="1423" spans="1:8" ht="20.100000000000001" customHeight="1">
      <c r="A1423" s="244"/>
      <c r="B1423" s="218" t="s">
        <v>3939</v>
      </c>
      <c r="C1423" s="219">
        <v>1</v>
      </c>
      <c r="D1423" s="254">
        <v>1</v>
      </c>
      <c r="E1423" s="205"/>
      <c r="F1423" s="194"/>
      <c r="G1423" s="213"/>
      <c r="H1423" s="205">
        <f t="shared" si="43"/>
        <v>1</v>
      </c>
    </row>
    <row r="1424" spans="1:8" ht="20.100000000000001" customHeight="1">
      <c r="A1424" s="244"/>
      <c r="B1424" s="218" t="s">
        <v>3384</v>
      </c>
      <c r="C1424" s="219">
        <v>1</v>
      </c>
      <c r="D1424" s="254">
        <v>1</v>
      </c>
      <c r="E1424" s="205"/>
      <c r="F1424" s="194"/>
      <c r="G1424" s="213"/>
      <c r="H1424" s="205">
        <f t="shared" si="43"/>
        <v>1</v>
      </c>
    </row>
    <row r="1425" spans="1:9" ht="20.100000000000001" customHeight="1">
      <c r="A1425" s="244"/>
      <c r="B1425" s="218" t="s">
        <v>3813</v>
      </c>
      <c r="C1425" s="219">
        <v>1</v>
      </c>
      <c r="D1425" s="219">
        <v>1</v>
      </c>
      <c r="E1425" s="205"/>
      <c r="F1425" s="194"/>
      <c r="G1425" s="213"/>
      <c r="H1425" s="205">
        <f t="shared" si="43"/>
        <v>1</v>
      </c>
    </row>
    <row r="1426" spans="1:9" ht="20.100000000000001" customHeight="1">
      <c r="A1426" s="244"/>
      <c r="B1426" s="218" t="s">
        <v>3940</v>
      </c>
      <c r="C1426" s="219">
        <v>1</v>
      </c>
      <c r="D1426" s="219">
        <v>1</v>
      </c>
      <c r="E1426" s="205"/>
      <c r="F1426" s="194"/>
      <c r="G1426" s="213"/>
      <c r="H1426" s="205">
        <f t="shared" si="43"/>
        <v>1</v>
      </c>
    </row>
    <row r="1427" spans="1:9" ht="20.100000000000001" customHeight="1">
      <c r="A1427" s="244"/>
      <c r="B1427" s="218" t="s">
        <v>3344</v>
      </c>
      <c r="C1427" s="219">
        <v>1</v>
      </c>
      <c r="D1427" s="219">
        <v>1</v>
      </c>
      <c r="E1427" s="205"/>
      <c r="F1427" s="194"/>
      <c r="G1427" s="213"/>
      <c r="H1427" s="205">
        <f t="shared" si="43"/>
        <v>1</v>
      </c>
    </row>
    <row r="1428" spans="1:9" ht="20.100000000000001" customHeight="1">
      <c r="A1428" s="244"/>
      <c r="B1428" s="218" t="s">
        <v>4072</v>
      </c>
      <c r="C1428" s="219">
        <v>1</v>
      </c>
      <c r="D1428" s="219">
        <v>1</v>
      </c>
      <c r="E1428" s="205"/>
      <c r="F1428" s="194"/>
      <c r="G1428" s="213"/>
      <c r="H1428" s="205">
        <f t="shared" si="43"/>
        <v>1</v>
      </c>
    </row>
    <row r="1429" spans="1:9" ht="20.100000000000001" customHeight="1">
      <c r="A1429" s="244"/>
      <c r="B1429" s="218" t="s">
        <v>4073</v>
      </c>
      <c r="C1429" s="219">
        <v>1</v>
      </c>
      <c r="D1429" s="330">
        <v>3</v>
      </c>
      <c r="E1429" s="205"/>
      <c r="F1429" s="194"/>
      <c r="G1429" s="213"/>
      <c r="H1429" s="205">
        <f t="shared" si="43"/>
        <v>3</v>
      </c>
    </row>
    <row r="1430" spans="1:9" ht="20.100000000000001" customHeight="1">
      <c r="A1430" s="244"/>
      <c r="B1430" s="218"/>
      <c r="C1430" s="219"/>
      <c r="D1430" s="219"/>
      <c r="E1430" s="205"/>
      <c r="F1430" s="194"/>
      <c r="G1430" s="213"/>
      <c r="H1430" s="205">
        <f>SUM(H1400:H1429)</f>
        <v>35</v>
      </c>
    </row>
    <row r="1431" spans="1:9" s="316" customFormat="1" ht="20.100000000000001" customHeight="1">
      <c r="A1431" s="182"/>
      <c r="B1431" s="216"/>
      <c r="C1431" s="220"/>
      <c r="D1431" s="220"/>
      <c r="E1431" s="248"/>
      <c r="F1431" s="182" t="s">
        <v>2560</v>
      </c>
      <c r="G1431" s="197">
        <f>+H1430</f>
        <v>35</v>
      </c>
      <c r="H1431" s="262" t="s">
        <v>1166</v>
      </c>
    </row>
    <row r="1432" spans="1:9" ht="20.100000000000001" customHeight="1">
      <c r="A1432" s="244" t="s">
        <v>4074</v>
      </c>
      <c r="B1432" s="1025" t="s">
        <v>4075</v>
      </c>
      <c r="C1432" s="1026"/>
      <c r="D1432" s="1026"/>
      <c r="E1432" s="1026"/>
      <c r="F1432" s="1026"/>
      <c r="G1432" s="1027"/>
      <c r="H1432" s="205"/>
    </row>
    <row r="1433" spans="1:9" s="186" customFormat="1" ht="20.100000000000001" customHeight="1">
      <c r="A1433" s="187"/>
      <c r="B1433" s="192" t="s">
        <v>3295</v>
      </c>
      <c r="C1433" s="190">
        <v>1</v>
      </c>
      <c r="D1433" s="233">
        <v>1</v>
      </c>
      <c r="E1433" s="250"/>
      <c r="F1433" s="187"/>
      <c r="G1433" s="213"/>
      <c r="H1433" s="205">
        <f>ROUND(PRODUCT(C1433:G1433),2)</f>
        <v>1</v>
      </c>
    </row>
    <row r="1434" spans="1:9" s="186" customFormat="1" ht="20.100000000000001" customHeight="1">
      <c r="A1434" s="187"/>
      <c r="B1434" s="192" t="s">
        <v>4076</v>
      </c>
      <c r="C1434" s="190">
        <v>1</v>
      </c>
      <c r="D1434" s="233">
        <v>1</v>
      </c>
      <c r="E1434" s="250"/>
      <c r="F1434" s="187"/>
      <c r="G1434" s="213"/>
      <c r="H1434" s="205">
        <f>ROUND(PRODUCT(C1434:G1434),2)</f>
        <v>1</v>
      </c>
    </row>
    <row r="1435" spans="1:9" ht="20.100000000000001" customHeight="1">
      <c r="A1435" s="244"/>
      <c r="B1435" s="218" t="s">
        <v>3940</v>
      </c>
      <c r="C1435" s="219">
        <v>1</v>
      </c>
      <c r="D1435" s="219">
        <v>1</v>
      </c>
      <c r="E1435" s="205"/>
      <c r="F1435" s="194"/>
      <c r="G1435" s="213"/>
      <c r="H1435" s="205">
        <f>ROUND(PRODUCT(C1435:G1435),2)</f>
        <v>1</v>
      </c>
    </row>
    <row r="1436" spans="1:9" ht="20.100000000000001" customHeight="1">
      <c r="A1436" s="244"/>
      <c r="B1436" s="218"/>
      <c r="C1436" s="219"/>
      <c r="D1436" s="219"/>
      <c r="E1436" s="205"/>
      <c r="F1436" s="194"/>
      <c r="G1436" s="213"/>
      <c r="H1436" s="205">
        <f>SUM(H1433:H1435)</f>
        <v>3</v>
      </c>
    </row>
    <row r="1437" spans="1:9" s="316" customFormat="1" ht="20.100000000000001" customHeight="1">
      <c r="A1437" s="182"/>
      <c r="B1437" s="216"/>
      <c r="C1437" s="220"/>
      <c r="D1437" s="220"/>
      <c r="E1437" s="248"/>
      <c r="F1437" s="182" t="s">
        <v>2560</v>
      </c>
      <c r="G1437" s="197">
        <f>+H1436</f>
        <v>3</v>
      </c>
      <c r="H1437" s="262" t="s">
        <v>1166</v>
      </c>
      <c r="I1437" s="199"/>
    </row>
    <row r="1438" spans="1:9" ht="34.9" customHeight="1">
      <c r="A1438" s="244">
        <v>65.099999999999994</v>
      </c>
      <c r="B1438" s="992" t="s">
        <v>4077</v>
      </c>
      <c r="C1438" s="993"/>
      <c r="D1438" s="993"/>
      <c r="E1438" s="993"/>
      <c r="F1438" s="993"/>
      <c r="G1438" s="994"/>
      <c r="H1438" s="205"/>
    </row>
    <row r="1439" spans="1:9" ht="20.100000000000001" customHeight="1">
      <c r="A1439" s="244"/>
      <c r="B1439" s="216" t="s">
        <v>3312</v>
      </c>
      <c r="C1439" s="219"/>
      <c r="D1439" s="219"/>
      <c r="E1439" s="205"/>
      <c r="F1439" s="194"/>
      <c r="G1439" s="213"/>
      <c r="H1439" s="205"/>
    </row>
    <row r="1440" spans="1:9" ht="20.100000000000001" customHeight="1">
      <c r="A1440" s="244"/>
      <c r="B1440" s="218" t="s">
        <v>3506</v>
      </c>
      <c r="C1440" s="219">
        <v>1</v>
      </c>
      <c r="D1440" s="219">
        <v>1</v>
      </c>
      <c r="E1440" s="205"/>
      <c r="F1440" s="194"/>
      <c r="G1440" s="213"/>
      <c r="H1440" s="205">
        <f t="shared" ref="H1440:H1457" si="44">ROUND(PRODUCT(C1440:G1440),2)</f>
        <v>1</v>
      </c>
    </row>
    <row r="1441" spans="1:8" ht="20.100000000000001" customHeight="1">
      <c r="A1441" s="244"/>
      <c r="B1441" s="218" t="s">
        <v>3849</v>
      </c>
      <c r="C1441" s="219">
        <v>1</v>
      </c>
      <c r="D1441" s="219">
        <v>1</v>
      </c>
      <c r="E1441" s="205"/>
      <c r="F1441" s="194"/>
      <c r="G1441" s="213"/>
      <c r="H1441" s="205">
        <f t="shared" si="44"/>
        <v>1</v>
      </c>
    </row>
    <row r="1442" spans="1:8" ht="20.100000000000001" customHeight="1">
      <c r="A1442" s="244"/>
      <c r="B1442" s="218" t="s">
        <v>4059</v>
      </c>
      <c r="C1442" s="219">
        <v>1</v>
      </c>
      <c r="D1442" s="219">
        <v>1</v>
      </c>
      <c r="E1442" s="205"/>
      <c r="F1442" s="194"/>
      <c r="G1442" s="213"/>
      <c r="H1442" s="205">
        <f t="shared" si="44"/>
        <v>1</v>
      </c>
    </row>
    <row r="1443" spans="1:8" ht="20.100000000000001" customHeight="1">
      <c r="A1443" s="244"/>
      <c r="B1443" s="216" t="s">
        <v>3306</v>
      </c>
      <c r="C1443" s="219"/>
      <c r="D1443" s="219"/>
      <c r="E1443" s="205"/>
      <c r="F1443" s="194"/>
      <c r="G1443" s="213"/>
      <c r="H1443" s="205">
        <f t="shared" si="44"/>
        <v>0</v>
      </c>
    </row>
    <row r="1444" spans="1:8" ht="20.100000000000001" customHeight="1">
      <c r="A1444" s="244"/>
      <c r="B1444" s="218" t="s">
        <v>3295</v>
      </c>
      <c r="C1444" s="219">
        <v>1</v>
      </c>
      <c r="D1444" s="219">
        <v>1</v>
      </c>
      <c r="E1444" s="205"/>
      <c r="F1444" s="194"/>
      <c r="G1444" s="213"/>
      <c r="H1444" s="205">
        <f t="shared" si="44"/>
        <v>1</v>
      </c>
    </row>
    <row r="1445" spans="1:8" ht="20.100000000000001" customHeight="1">
      <c r="A1445" s="244"/>
      <c r="B1445" s="218" t="s">
        <v>3852</v>
      </c>
      <c r="C1445" s="219">
        <v>1</v>
      </c>
      <c r="D1445" s="219">
        <v>1</v>
      </c>
      <c r="E1445" s="205"/>
      <c r="F1445" s="194"/>
      <c r="G1445" s="213"/>
      <c r="H1445" s="205">
        <f t="shared" si="44"/>
        <v>1</v>
      </c>
    </row>
    <row r="1446" spans="1:8" ht="20.100000000000001" customHeight="1">
      <c r="A1446" s="244"/>
      <c r="B1446" s="218" t="s">
        <v>4070</v>
      </c>
      <c r="C1446" s="219">
        <v>1</v>
      </c>
      <c r="D1446" s="219">
        <v>1</v>
      </c>
      <c r="E1446" s="205"/>
      <c r="F1446" s="194"/>
      <c r="G1446" s="213"/>
      <c r="H1446" s="205">
        <f t="shared" si="44"/>
        <v>1</v>
      </c>
    </row>
    <row r="1447" spans="1:8" ht="20.100000000000001" customHeight="1">
      <c r="A1447" s="244"/>
      <c r="B1447" s="218" t="s">
        <v>3855</v>
      </c>
      <c r="C1447" s="219">
        <v>1</v>
      </c>
      <c r="D1447" s="219">
        <v>1</v>
      </c>
      <c r="E1447" s="205"/>
      <c r="F1447" s="194"/>
      <c r="G1447" s="213"/>
      <c r="H1447" s="205">
        <f t="shared" si="44"/>
        <v>1</v>
      </c>
    </row>
    <row r="1448" spans="1:8" ht="20.100000000000001" customHeight="1">
      <c r="A1448" s="244"/>
      <c r="B1448" s="218" t="s">
        <v>4064</v>
      </c>
      <c r="C1448" s="219">
        <v>1</v>
      </c>
      <c r="D1448" s="219">
        <v>1</v>
      </c>
      <c r="E1448" s="205"/>
      <c r="F1448" s="194"/>
      <c r="G1448" s="213"/>
      <c r="H1448" s="205">
        <f t="shared" si="44"/>
        <v>1</v>
      </c>
    </row>
    <row r="1449" spans="1:8" ht="20.100000000000001" customHeight="1">
      <c r="A1449" s="244"/>
      <c r="B1449" s="218" t="s">
        <v>3856</v>
      </c>
      <c r="C1449" s="219">
        <v>1</v>
      </c>
      <c r="D1449" s="219">
        <v>1</v>
      </c>
      <c r="E1449" s="205"/>
      <c r="F1449" s="194"/>
      <c r="G1449" s="213"/>
      <c r="H1449" s="205">
        <f t="shared" si="44"/>
        <v>1</v>
      </c>
    </row>
    <row r="1450" spans="1:8" ht="20.100000000000001" customHeight="1">
      <c r="A1450" s="244"/>
      <c r="B1450" s="218" t="s">
        <v>3857</v>
      </c>
      <c r="C1450" s="219">
        <v>1</v>
      </c>
      <c r="D1450" s="219">
        <v>2</v>
      </c>
      <c r="E1450" s="205"/>
      <c r="F1450" s="194"/>
      <c r="G1450" s="213"/>
      <c r="H1450" s="205">
        <f t="shared" si="44"/>
        <v>2</v>
      </c>
    </row>
    <row r="1451" spans="1:8" ht="20.100000000000001" customHeight="1">
      <c r="A1451" s="244"/>
      <c r="B1451" s="216" t="s">
        <v>4043</v>
      </c>
      <c r="C1451" s="219"/>
      <c r="D1451" s="219"/>
      <c r="E1451" s="205"/>
      <c r="F1451" s="194"/>
      <c r="G1451" s="213"/>
      <c r="H1451" s="205">
        <f t="shared" si="44"/>
        <v>0</v>
      </c>
    </row>
    <row r="1452" spans="1:8" ht="20.100000000000001" customHeight="1">
      <c r="A1452" s="244"/>
      <c r="B1452" s="218" t="s">
        <v>3295</v>
      </c>
      <c r="C1452" s="219">
        <v>1</v>
      </c>
      <c r="D1452" s="219">
        <v>1</v>
      </c>
      <c r="E1452" s="205"/>
      <c r="F1452" s="194"/>
      <c r="G1452" s="213"/>
      <c r="H1452" s="205">
        <f t="shared" si="44"/>
        <v>1</v>
      </c>
    </row>
    <row r="1453" spans="1:8" ht="20.100000000000001" customHeight="1">
      <c r="A1453" s="244"/>
      <c r="B1453" s="218" t="s">
        <v>3856</v>
      </c>
      <c r="C1453" s="219">
        <v>1</v>
      </c>
      <c r="D1453" s="219">
        <v>1</v>
      </c>
      <c r="E1453" s="205"/>
      <c r="F1453" s="194"/>
      <c r="G1453" s="213"/>
      <c r="H1453" s="205">
        <f t="shared" si="44"/>
        <v>1</v>
      </c>
    </row>
    <row r="1454" spans="1:8" ht="20.100000000000001" customHeight="1">
      <c r="A1454" s="244"/>
      <c r="B1454" s="218" t="s">
        <v>3858</v>
      </c>
      <c r="C1454" s="219">
        <v>1</v>
      </c>
      <c r="D1454" s="219">
        <v>2</v>
      </c>
      <c r="E1454" s="205"/>
      <c r="F1454" s="194"/>
      <c r="G1454" s="213"/>
      <c r="H1454" s="205">
        <f t="shared" si="44"/>
        <v>2</v>
      </c>
    </row>
    <row r="1455" spans="1:8" ht="20.100000000000001" customHeight="1">
      <c r="A1455" s="244"/>
      <c r="B1455" s="218" t="s">
        <v>3939</v>
      </c>
      <c r="C1455" s="219">
        <v>1</v>
      </c>
      <c r="D1455" s="219">
        <v>2</v>
      </c>
      <c r="E1455" s="205"/>
      <c r="F1455" s="194"/>
      <c r="G1455" s="213"/>
      <c r="H1455" s="205">
        <f t="shared" si="44"/>
        <v>2</v>
      </c>
    </row>
    <row r="1456" spans="1:8" ht="20.100000000000001" customHeight="1">
      <c r="A1456" s="244"/>
      <c r="B1456" s="218" t="s">
        <v>3940</v>
      </c>
      <c r="C1456" s="219">
        <v>1</v>
      </c>
      <c r="D1456" s="219">
        <v>1</v>
      </c>
      <c r="E1456" s="205"/>
      <c r="F1456" s="194"/>
      <c r="G1456" s="213"/>
      <c r="H1456" s="205">
        <f t="shared" si="44"/>
        <v>1</v>
      </c>
    </row>
    <row r="1457" spans="1:8" ht="20.100000000000001" customHeight="1">
      <c r="A1457" s="244"/>
      <c r="B1457" s="218" t="s">
        <v>3344</v>
      </c>
      <c r="C1457" s="219">
        <v>1</v>
      </c>
      <c r="D1457" s="219">
        <v>1</v>
      </c>
      <c r="E1457" s="205"/>
      <c r="F1457" s="194"/>
      <c r="G1457" s="213"/>
      <c r="H1457" s="205">
        <f t="shared" si="44"/>
        <v>1</v>
      </c>
    </row>
    <row r="1458" spans="1:8" ht="20.100000000000001" customHeight="1">
      <c r="A1458" s="244"/>
      <c r="B1458" s="218"/>
      <c r="C1458" s="219"/>
      <c r="D1458" s="219"/>
      <c r="E1458" s="205"/>
      <c r="F1458" s="194"/>
      <c r="G1458" s="213"/>
      <c r="H1458" s="205">
        <f>SUM(H1439:H1457)</f>
        <v>19</v>
      </c>
    </row>
    <row r="1459" spans="1:8" s="316" customFormat="1" ht="20.100000000000001" customHeight="1">
      <c r="A1459" s="182"/>
      <c r="B1459" s="216"/>
      <c r="C1459" s="220"/>
      <c r="D1459" s="220"/>
      <c r="E1459" s="248"/>
      <c r="F1459" s="182" t="s">
        <v>2560</v>
      </c>
      <c r="G1459" s="197">
        <f>+H1458</f>
        <v>19</v>
      </c>
      <c r="H1459" s="262" t="s">
        <v>1166</v>
      </c>
    </row>
    <row r="1460" spans="1:8" ht="49.9" customHeight="1">
      <c r="A1460" s="244">
        <v>66.099999999999994</v>
      </c>
      <c r="B1460" s="992" t="s">
        <v>4078</v>
      </c>
      <c r="C1460" s="993"/>
      <c r="D1460" s="993"/>
      <c r="E1460" s="993"/>
      <c r="F1460" s="993"/>
      <c r="G1460" s="994"/>
      <c r="H1460" s="205"/>
    </row>
    <row r="1461" spans="1:8" ht="20.100000000000001" customHeight="1">
      <c r="A1461" s="244"/>
      <c r="B1461" s="218" t="s">
        <v>3992</v>
      </c>
      <c r="C1461" s="219">
        <v>1</v>
      </c>
      <c r="D1461" s="254">
        <v>3</v>
      </c>
      <c r="E1461" s="205"/>
      <c r="F1461" s="194"/>
      <c r="G1461" s="213"/>
      <c r="H1461" s="205">
        <f>ROUND(PRODUCT(C1461:G1461),2)</f>
        <v>3</v>
      </c>
    </row>
    <row r="1462" spans="1:8" s="316" customFormat="1" ht="20.100000000000001" customHeight="1">
      <c r="A1462" s="182"/>
      <c r="B1462" s="216"/>
      <c r="C1462" s="220"/>
      <c r="D1462" s="220"/>
      <c r="E1462" s="248"/>
      <c r="F1462" s="182" t="s">
        <v>2560</v>
      </c>
      <c r="G1462" s="197">
        <f>+H1461</f>
        <v>3</v>
      </c>
      <c r="H1462" s="262" t="s">
        <v>1166</v>
      </c>
    </row>
    <row r="1463" spans="1:8" ht="49.9" customHeight="1">
      <c r="A1463" s="244">
        <v>67.099999999999994</v>
      </c>
      <c r="B1463" s="1022" t="s">
        <v>4079</v>
      </c>
      <c r="C1463" s="1023"/>
      <c r="D1463" s="1023"/>
      <c r="E1463" s="1023"/>
      <c r="F1463" s="1023"/>
      <c r="G1463" s="1024"/>
      <c r="H1463" s="205"/>
    </row>
    <row r="1464" spans="1:8" ht="20.100000000000001" customHeight="1">
      <c r="A1464" s="244"/>
      <c r="B1464" s="216" t="s">
        <v>3312</v>
      </c>
      <c r="C1464" s="219"/>
      <c r="D1464" s="219"/>
      <c r="E1464" s="205"/>
      <c r="F1464" s="194"/>
      <c r="G1464" s="213"/>
      <c r="H1464" s="205"/>
    </row>
    <row r="1465" spans="1:8" ht="20.100000000000001" customHeight="1">
      <c r="A1465" s="244"/>
      <c r="B1465" s="218" t="s">
        <v>3506</v>
      </c>
      <c r="C1465" s="219">
        <v>1</v>
      </c>
      <c r="D1465" s="219">
        <v>1</v>
      </c>
      <c r="E1465" s="205"/>
      <c r="F1465" s="194"/>
      <c r="G1465" s="213"/>
      <c r="H1465" s="205">
        <f t="shared" ref="H1465:H1482" si="45">ROUND(PRODUCT(C1465:G1465),2)</f>
        <v>1</v>
      </c>
    </row>
    <row r="1466" spans="1:8" ht="20.100000000000001" customHeight="1">
      <c r="A1466" s="244"/>
      <c r="B1466" s="218" t="s">
        <v>3849</v>
      </c>
      <c r="C1466" s="219">
        <v>1</v>
      </c>
      <c r="D1466" s="219">
        <v>2</v>
      </c>
      <c r="E1466" s="205"/>
      <c r="F1466" s="194"/>
      <c r="G1466" s="213"/>
      <c r="H1466" s="205">
        <f t="shared" si="45"/>
        <v>2</v>
      </c>
    </row>
    <row r="1467" spans="1:8" ht="20.100000000000001" customHeight="1">
      <c r="A1467" s="244"/>
      <c r="B1467" s="218" t="s">
        <v>4059</v>
      </c>
      <c r="C1467" s="219">
        <v>1</v>
      </c>
      <c r="D1467" s="219">
        <v>2</v>
      </c>
      <c r="E1467" s="205"/>
      <c r="F1467" s="194"/>
      <c r="G1467" s="213"/>
      <c r="H1467" s="205">
        <f t="shared" si="45"/>
        <v>2</v>
      </c>
    </row>
    <row r="1468" spans="1:8" ht="20.100000000000001" customHeight="1">
      <c r="A1468" s="244"/>
      <c r="B1468" s="216" t="s">
        <v>3306</v>
      </c>
      <c r="C1468" s="219"/>
      <c r="D1468" s="219"/>
      <c r="E1468" s="205"/>
      <c r="F1468" s="194"/>
      <c r="G1468" s="213"/>
      <c r="H1468" s="205">
        <f t="shared" si="45"/>
        <v>0</v>
      </c>
    </row>
    <row r="1469" spans="1:8" ht="20.100000000000001" customHeight="1">
      <c r="A1469" s="244"/>
      <c r="B1469" s="218" t="s">
        <v>3295</v>
      </c>
      <c r="C1469" s="219">
        <v>1</v>
      </c>
      <c r="D1469" s="219">
        <v>1</v>
      </c>
      <c r="E1469" s="205"/>
      <c r="F1469" s="194"/>
      <c r="G1469" s="213"/>
      <c r="H1469" s="205">
        <f t="shared" si="45"/>
        <v>1</v>
      </c>
    </row>
    <row r="1470" spans="1:8" ht="20.100000000000001" customHeight="1">
      <c r="A1470" s="244"/>
      <c r="B1470" s="218" t="s">
        <v>3852</v>
      </c>
      <c r="C1470" s="219">
        <v>1</v>
      </c>
      <c r="D1470" s="219">
        <v>1</v>
      </c>
      <c r="E1470" s="205"/>
      <c r="F1470" s="194"/>
      <c r="G1470" s="213"/>
      <c r="H1470" s="205">
        <f t="shared" si="45"/>
        <v>1</v>
      </c>
    </row>
    <row r="1471" spans="1:8" ht="20.100000000000001" customHeight="1">
      <c r="A1471" s="244"/>
      <c r="B1471" s="218" t="s">
        <v>4070</v>
      </c>
      <c r="C1471" s="219">
        <v>1</v>
      </c>
      <c r="D1471" s="219">
        <v>2</v>
      </c>
      <c r="E1471" s="205"/>
      <c r="F1471" s="194"/>
      <c r="G1471" s="213"/>
      <c r="H1471" s="205">
        <f t="shared" si="45"/>
        <v>2</v>
      </c>
    </row>
    <row r="1472" spans="1:8" ht="20.100000000000001" customHeight="1">
      <c r="A1472" s="244"/>
      <c r="B1472" s="218" t="s">
        <v>3855</v>
      </c>
      <c r="C1472" s="219">
        <v>1</v>
      </c>
      <c r="D1472" s="219">
        <v>1</v>
      </c>
      <c r="E1472" s="205"/>
      <c r="F1472" s="194"/>
      <c r="G1472" s="213"/>
      <c r="H1472" s="205">
        <f t="shared" si="45"/>
        <v>1</v>
      </c>
    </row>
    <row r="1473" spans="1:10" ht="20.100000000000001" customHeight="1">
      <c r="A1473" s="244"/>
      <c r="B1473" s="218" t="s">
        <v>4064</v>
      </c>
      <c r="C1473" s="219">
        <v>1</v>
      </c>
      <c r="D1473" s="219">
        <v>2</v>
      </c>
      <c r="E1473" s="205"/>
      <c r="F1473" s="194"/>
      <c r="G1473" s="213"/>
      <c r="H1473" s="205">
        <f t="shared" si="45"/>
        <v>2</v>
      </c>
    </row>
    <row r="1474" spans="1:10" ht="20.100000000000001" customHeight="1">
      <c r="A1474" s="244"/>
      <c r="B1474" s="218" t="s">
        <v>3856</v>
      </c>
      <c r="C1474" s="219">
        <v>1</v>
      </c>
      <c r="D1474" s="219">
        <v>2</v>
      </c>
      <c r="E1474" s="205"/>
      <c r="F1474" s="194"/>
      <c r="G1474" s="213"/>
      <c r="H1474" s="205">
        <f t="shared" si="45"/>
        <v>2</v>
      </c>
    </row>
    <row r="1475" spans="1:10" ht="20.100000000000001" customHeight="1">
      <c r="A1475" s="244"/>
      <c r="B1475" s="218" t="s">
        <v>3857</v>
      </c>
      <c r="C1475" s="219">
        <v>1</v>
      </c>
      <c r="D1475" s="219">
        <v>1</v>
      </c>
      <c r="E1475" s="205"/>
      <c r="F1475" s="194"/>
      <c r="G1475" s="213"/>
      <c r="H1475" s="205">
        <f t="shared" si="45"/>
        <v>1</v>
      </c>
    </row>
    <row r="1476" spans="1:10" ht="20.100000000000001" customHeight="1">
      <c r="A1476" s="244"/>
      <c r="B1476" s="216" t="s">
        <v>4043</v>
      </c>
      <c r="C1476" s="219"/>
      <c r="D1476" s="219"/>
      <c r="E1476" s="205"/>
      <c r="F1476" s="194"/>
      <c r="G1476" s="213"/>
      <c r="H1476" s="205">
        <f t="shared" si="45"/>
        <v>0</v>
      </c>
    </row>
    <row r="1477" spans="1:10" ht="20.100000000000001" customHeight="1">
      <c r="A1477" s="244"/>
      <c r="B1477" s="218" t="s">
        <v>3295</v>
      </c>
      <c r="C1477" s="219">
        <v>1</v>
      </c>
      <c r="D1477" s="219">
        <v>1</v>
      </c>
      <c r="E1477" s="205"/>
      <c r="F1477" s="194"/>
      <c r="G1477" s="213"/>
      <c r="H1477" s="205">
        <f t="shared" si="45"/>
        <v>1</v>
      </c>
    </row>
    <row r="1478" spans="1:10" ht="20.100000000000001" customHeight="1">
      <c r="A1478" s="244"/>
      <c r="B1478" s="218" t="s">
        <v>3856</v>
      </c>
      <c r="C1478" s="219">
        <v>1</v>
      </c>
      <c r="D1478" s="219">
        <v>2</v>
      </c>
      <c r="E1478" s="205"/>
      <c r="F1478" s="194"/>
      <c r="G1478" s="213"/>
      <c r="H1478" s="205">
        <f t="shared" si="45"/>
        <v>2</v>
      </c>
    </row>
    <row r="1479" spans="1:10" ht="20.100000000000001" customHeight="1">
      <c r="A1479" s="244"/>
      <c r="B1479" s="218" t="s">
        <v>3858</v>
      </c>
      <c r="C1479" s="219">
        <v>1</v>
      </c>
      <c r="D1479" s="219">
        <v>1</v>
      </c>
      <c r="E1479" s="205"/>
      <c r="F1479" s="194"/>
      <c r="G1479" s="213"/>
      <c r="H1479" s="205">
        <f t="shared" si="45"/>
        <v>1</v>
      </c>
    </row>
    <row r="1480" spans="1:10" ht="20.100000000000001" customHeight="1">
      <c r="A1480" s="244"/>
      <c r="B1480" s="218" t="s">
        <v>3939</v>
      </c>
      <c r="C1480" s="219">
        <v>1</v>
      </c>
      <c r="D1480" s="219">
        <v>1</v>
      </c>
      <c r="E1480" s="205"/>
      <c r="F1480" s="194"/>
      <c r="G1480" s="213"/>
      <c r="H1480" s="205">
        <f t="shared" si="45"/>
        <v>1</v>
      </c>
    </row>
    <row r="1481" spans="1:10" ht="20.100000000000001" customHeight="1">
      <c r="A1481" s="244"/>
      <c r="B1481" s="218" t="s">
        <v>3940</v>
      </c>
      <c r="C1481" s="219">
        <v>1</v>
      </c>
      <c r="D1481" s="219">
        <v>1</v>
      </c>
      <c r="E1481" s="205"/>
      <c r="F1481" s="194"/>
      <c r="G1481" s="213"/>
      <c r="H1481" s="205">
        <f t="shared" si="45"/>
        <v>1</v>
      </c>
    </row>
    <row r="1482" spans="1:10" ht="20.100000000000001" customHeight="1">
      <c r="A1482" s="244"/>
      <c r="B1482" s="218" t="s">
        <v>3344</v>
      </c>
      <c r="C1482" s="219">
        <v>1</v>
      </c>
      <c r="D1482" s="219">
        <v>1</v>
      </c>
      <c r="E1482" s="205"/>
      <c r="F1482" s="194"/>
      <c r="G1482" s="213"/>
      <c r="H1482" s="205">
        <f t="shared" si="45"/>
        <v>1</v>
      </c>
    </row>
    <row r="1483" spans="1:10" ht="20.100000000000001" customHeight="1">
      <c r="A1483" s="244"/>
      <c r="B1483" s="218"/>
      <c r="C1483" s="219"/>
      <c r="D1483" s="219"/>
      <c r="E1483" s="205"/>
      <c r="F1483" s="194"/>
      <c r="G1483" s="213"/>
      <c r="H1483" s="205">
        <f>SUM(H1464:H1482)</f>
        <v>22</v>
      </c>
    </row>
    <row r="1484" spans="1:10" s="316" customFormat="1" ht="20.100000000000001" customHeight="1">
      <c r="A1484" s="182"/>
      <c r="B1484" s="216"/>
      <c r="C1484" s="220"/>
      <c r="D1484" s="220"/>
      <c r="E1484" s="248"/>
      <c r="F1484" s="182" t="s">
        <v>2560</v>
      </c>
      <c r="G1484" s="197">
        <f>+H1483</f>
        <v>22</v>
      </c>
      <c r="H1484" s="262" t="s">
        <v>1166</v>
      </c>
    </row>
    <row r="1485" spans="1:10" s="313" customFormat="1" ht="49.9" customHeight="1">
      <c r="A1485" s="244">
        <v>68.2</v>
      </c>
      <c r="B1485" s="992" t="s">
        <v>4080</v>
      </c>
      <c r="C1485" s="993"/>
      <c r="D1485" s="993"/>
      <c r="E1485" s="993"/>
      <c r="F1485" s="993"/>
      <c r="G1485" s="994"/>
      <c r="H1485" s="205"/>
    </row>
    <row r="1486" spans="1:10" s="313" customFormat="1" ht="20.100000000000001" customHeight="1">
      <c r="A1486" s="244"/>
      <c r="B1486" s="216" t="s">
        <v>3312</v>
      </c>
      <c r="C1486" s="219"/>
      <c r="D1486" s="219"/>
      <c r="E1486" s="205"/>
      <c r="F1486" s="194"/>
      <c r="G1486" s="213"/>
      <c r="H1486" s="205"/>
    </row>
    <row r="1487" spans="1:10" s="313" customFormat="1" ht="20.100000000000001" customHeight="1">
      <c r="A1487" s="244"/>
      <c r="B1487" s="218" t="s">
        <v>3506</v>
      </c>
      <c r="C1487" s="219">
        <v>1</v>
      </c>
      <c r="D1487" s="219">
        <v>1</v>
      </c>
      <c r="E1487" s="205"/>
      <c r="F1487" s="194"/>
      <c r="G1487" s="213"/>
      <c r="H1487" s="205">
        <f t="shared" ref="H1487:H1500" si="46">ROUND(PRODUCT(C1487:G1487),2)</f>
        <v>1</v>
      </c>
      <c r="J1487" s="331"/>
    </row>
    <row r="1488" spans="1:10" s="313" customFormat="1" ht="20.100000000000001" customHeight="1">
      <c r="A1488" s="244"/>
      <c r="B1488" s="216" t="s">
        <v>3306</v>
      </c>
      <c r="C1488" s="219"/>
      <c r="D1488" s="219"/>
      <c r="E1488" s="205"/>
      <c r="F1488" s="194"/>
      <c r="G1488" s="213"/>
      <c r="H1488" s="205">
        <f t="shared" si="46"/>
        <v>0</v>
      </c>
      <c r="J1488" s="331"/>
    </row>
    <row r="1489" spans="1:10" s="313" customFormat="1" ht="20.100000000000001" customHeight="1">
      <c r="A1489" s="244"/>
      <c r="B1489" s="218" t="s">
        <v>3295</v>
      </c>
      <c r="C1489" s="219">
        <v>1</v>
      </c>
      <c r="D1489" s="219">
        <v>1</v>
      </c>
      <c r="E1489" s="205"/>
      <c r="F1489" s="194"/>
      <c r="G1489" s="213"/>
      <c r="H1489" s="205">
        <f t="shared" si="46"/>
        <v>1</v>
      </c>
      <c r="J1489" s="331"/>
    </row>
    <row r="1490" spans="1:10" s="313" customFormat="1" ht="20.100000000000001" customHeight="1">
      <c r="A1490" s="244"/>
      <c r="B1490" s="218" t="s">
        <v>3852</v>
      </c>
      <c r="C1490" s="219">
        <v>1</v>
      </c>
      <c r="D1490" s="219">
        <v>1</v>
      </c>
      <c r="E1490" s="205"/>
      <c r="F1490" s="194"/>
      <c r="G1490" s="213"/>
      <c r="H1490" s="205">
        <f t="shared" si="46"/>
        <v>1</v>
      </c>
      <c r="J1490" s="331"/>
    </row>
    <row r="1491" spans="1:10" s="313" customFormat="1" ht="20.100000000000001" customHeight="1">
      <c r="A1491" s="244"/>
      <c r="B1491" s="218" t="s">
        <v>4081</v>
      </c>
      <c r="C1491" s="219">
        <v>1</v>
      </c>
      <c r="D1491" s="219">
        <v>1</v>
      </c>
      <c r="E1491" s="205"/>
      <c r="F1491" s="194"/>
      <c r="G1491" s="213"/>
      <c r="H1491" s="205">
        <f t="shared" si="46"/>
        <v>1</v>
      </c>
      <c r="J1491" s="331"/>
    </row>
    <row r="1492" spans="1:10" s="313" customFormat="1" ht="20.100000000000001" customHeight="1">
      <c r="A1492" s="244"/>
      <c r="B1492" s="218" t="s">
        <v>3855</v>
      </c>
      <c r="C1492" s="219">
        <v>1</v>
      </c>
      <c r="D1492" s="219">
        <v>1</v>
      </c>
      <c r="E1492" s="205"/>
      <c r="F1492" s="194"/>
      <c r="G1492" s="213"/>
      <c r="H1492" s="205">
        <f t="shared" si="46"/>
        <v>1</v>
      </c>
      <c r="J1492" s="331"/>
    </row>
    <row r="1493" spans="1:10" s="313" customFormat="1" ht="20.100000000000001" customHeight="1">
      <c r="A1493" s="244"/>
      <c r="B1493" s="218" t="s">
        <v>3856</v>
      </c>
      <c r="C1493" s="219">
        <v>1</v>
      </c>
      <c r="D1493" s="219">
        <v>1</v>
      </c>
      <c r="E1493" s="205"/>
      <c r="F1493" s="194"/>
      <c r="G1493" s="213"/>
      <c r="H1493" s="205">
        <f t="shared" si="46"/>
        <v>1</v>
      </c>
      <c r="J1493" s="331"/>
    </row>
    <row r="1494" spans="1:10" s="313" customFormat="1" ht="20.100000000000001" customHeight="1">
      <c r="A1494" s="244"/>
      <c r="B1494" s="216" t="s">
        <v>4043</v>
      </c>
      <c r="C1494" s="219"/>
      <c r="D1494" s="219"/>
      <c r="E1494" s="205"/>
      <c r="F1494" s="194"/>
      <c r="G1494" s="213"/>
      <c r="H1494" s="205">
        <f t="shared" si="46"/>
        <v>0</v>
      </c>
      <c r="J1494" s="331"/>
    </row>
    <row r="1495" spans="1:10" s="313" customFormat="1" ht="20.100000000000001" customHeight="1">
      <c r="A1495" s="244"/>
      <c r="B1495" s="218" t="s">
        <v>3295</v>
      </c>
      <c r="C1495" s="219">
        <v>1</v>
      </c>
      <c r="D1495" s="219">
        <v>1</v>
      </c>
      <c r="E1495" s="205"/>
      <c r="F1495" s="194"/>
      <c r="G1495" s="213"/>
      <c r="H1495" s="205">
        <f t="shared" si="46"/>
        <v>1</v>
      </c>
      <c r="J1495" s="331"/>
    </row>
    <row r="1496" spans="1:10" s="313" customFormat="1" ht="20.100000000000001" customHeight="1">
      <c r="A1496" s="244"/>
      <c r="B1496" s="218" t="s">
        <v>3856</v>
      </c>
      <c r="C1496" s="219">
        <v>1</v>
      </c>
      <c r="D1496" s="219">
        <v>1</v>
      </c>
      <c r="E1496" s="205"/>
      <c r="F1496" s="194"/>
      <c r="G1496" s="213"/>
      <c r="H1496" s="205">
        <f t="shared" si="46"/>
        <v>1</v>
      </c>
      <c r="J1496" s="331"/>
    </row>
    <row r="1497" spans="1:10" s="313" customFormat="1" ht="20.100000000000001" customHeight="1">
      <c r="A1497" s="244"/>
      <c r="B1497" s="218" t="s">
        <v>3858</v>
      </c>
      <c r="C1497" s="219">
        <v>1</v>
      </c>
      <c r="D1497" s="219">
        <v>2</v>
      </c>
      <c r="E1497" s="205"/>
      <c r="F1497" s="194"/>
      <c r="G1497" s="213"/>
      <c r="H1497" s="205">
        <f t="shared" si="46"/>
        <v>2</v>
      </c>
      <c r="J1497" s="331"/>
    </row>
    <row r="1498" spans="1:10" s="313" customFormat="1" ht="20.100000000000001" customHeight="1">
      <c r="A1498" s="244"/>
      <c r="B1498" s="218" t="s">
        <v>3939</v>
      </c>
      <c r="C1498" s="219">
        <v>1</v>
      </c>
      <c r="D1498" s="219">
        <v>2</v>
      </c>
      <c r="E1498" s="205"/>
      <c r="F1498" s="194"/>
      <c r="G1498" s="213"/>
      <c r="H1498" s="205">
        <f t="shared" si="46"/>
        <v>2</v>
      </c>
      <c r="J1498" s="331"/>
    </row>
    <row r="1499" spans="1:10" s="313" customFormat="1" ht="20.100000000000001" customHeight="1">
      <c r="A1499" s="244"/>
      <c r="B1499" s="218" t="s">
        <v>3940</v>
      </c>
      <c r="C1499" s="219">
        <v>1</v>
      </c>
      <c r="D1499" s="219">
        <v>1</v>
      </c>
      <c r="E1499" s="205"/>
      <c r="F1499" s="194"/>
      <c r="G1499" s="213"/>
      <c r="H1499" s="205">
        <f t="shared" si="46"/>
        <v>1</v>
      </c>
      <c r="J1499" s="331"/>
    </row>
    <row r="1500" spans="1:10" s="313" customFormat="1" ht="20.100000000000001" customHeight="1">
      <c r="A1500" s="244"/>
      <c r="B1500" s="218" t="s">
        <v>3344</v>
      </c>
      <c r="C1500" s="219">
        <v>1</v>
      </c>
      <c r="D1500" s="219">
        <v>1</v>
      </c>
      <c r="E1500" s="205"/>
      <c r="F1500" s="194"/>
      <c r="G1500" s="213"/>
      <c r="H1500" s="205">
        <f t="shared" si="46"/>
        <v>1</v>
      </c>
      <c r="J1500" s="331"/>
    </row>
    <row r="1501" spans="1:10" s="313" customFormat="1" ht="20.100000000000001" customHeight="1">
      <c r="A1501" s="244"/>
      <c r="B1501" s="218"/>
      <c r="C1501" s="219"/>
      <c r="D1501" s="219"/>
      <c r="E1501" s="205"/>
      <c r="F1501" s="194"/>
      <c r="G1501" s="213"/>
      <c r="H1501" s="205">
        <f>SUM(H1487:H1500)</f>
        <v>14</v>
      </c>
    </row>
    <row r="1502" spans="1:10" s="332" customFormat="1" ht="20.100000000000001" customHeight="1">
      <c r="A1502" s="182"/>
      <c r="B1502" s="216"/>
      <c r="C1502" s="220"/>
      <c r="D1502" s="220"/>
      <c r="E1502" s="248"/>
      <c r="F1502" s="182" t="s">
        <v>2560</v>
      </c>
      <c r="G1502" s="197">
        <f>+H1501</f>
        <v>14</v>
      </c>
      <c r="H1502" s="262" t="s">
        <v>1166</v>
      </c>
    </row>
    <row r="1503" spans="1:10" ht="20.100000000000001" customHeight="1">
      <c r="A1503" s="244">
        <v>69</v>
      </c>
      <c r="B1503" s="992" t="s">
        <v>4082</v>
      </c>
      <c r="C1503" s="993"/>
      <c r="D1503" s="993"/>
      <c r="E1503" s="993"/>
      <c r="F1503" s="993"/>
      <c r="G1503" s="994"/>
      <c r="H1503" s="205"/>
    </row>
    <row r="1504" spans="1:10" ht="20.100000000000001" customHeight="1">
      <c r="A1504" s="244"/>
      <c r="B1504" s="216" t="s">
        <v>3306</v>
      </c>
      <c r="C1504" s="219"/>
      <c r="D1504" s="219"/>
      <c r="E1504" s="205"/>
      <c r="F1504" s="194"/>
      <c r="G1504" s="213"/>
      <c r="H1504" s="253">
        <f>PRODUCT(C1504:G1504)</f>
        <v>0</v>
      </c>
    </row>
    <row r="1505" spans="1:8" ht="20.100000000000001" customHeight="1">
      <c r="A1505" s="244"/>
      <c r="B1505" s="218" t="s">
        <v>3295</v>
      </c>
      <c r="C1505" s="219">
        <v>1</v>
      </c>
      <c r="D1505" s="219">
        <v>1</v>
      </c>
      <c r="E1505" s="205"/>
      <c r="F1505" s="194"/>
      <c r="G1505" s="213"/>
      <c r="H1505" s="205">
        <f t="shared" ref="H1505:H1515" si="47">ROUND(PRODUCT(C1505:G1505),2)</f>
        <v>1</v>
      </c>
    </row>
    <row r="1506" spans="1:8" ht="20.100000000000001" customHeight="1">
      <c r="A1506" s="244"/>
      <c r="B1506" s="218" t="s">
        <v>3852</v>
      </c>
      <c r="C1506" s="219">
        <v>1</v>
      </c>
      <c r="D1506" s="219">
        <v>1</v>
      </c>
      <c r="E1506" s="205"/>
      <c r="F1506" s="194"/>
      <c r="G1506" s="213"/>
      <c r="H1506" s="205">
        <f t="shared" si="47"/>
        <v>1</v>
      </c>
    </row>
    <row r="1507" spans="1:8" ht="20.100000000000001" customHeight="1">
      <c r="A1507" s="244"/>
      <c r="B1507" s="218" t="s">
        <v>3855</v>
      </c>
      <c r="C1507" s="219">
        <v>1</v>
      </c>
      <c r="D1507" s="219">
        <v>1</v>
      </c>
      <c r="E1507" s="205"/>
      <c r="F1507" s="194"/>
      <c r="G1507" s="213"/>
      <c r="H1507" s="205">
        <f t="shared" si="47"/>
        <v>1</v>
      </c>
    </row>
    <row r="1508" spans="1:8" ht="20.100000000000001" customHeight="1">
      <c r="A1508" s="244"/>
      <c r="B1508" s="218" t="s">
        <v>3856</v>
      </c>
      <c r="C1508" s="219">
        <v>1</v>
      </c>
      <c r="D1508" s="219">
        <v>1</v>
      </c>
      <c r="E1508" s="205"/>
      <c r="F1508" s="194"/>
      <c r="G1508" s="213"/>
      <c r="H1508" s="205">
        <f t="shared" si="47"/>
        <v>1</v>
      </c>
    </row>
    <row r="1509" spans="1:8" ht="20.100000000000001" customHeight="1">
      <c r="A1509" s="244"/>
      <c r="B1509" s="216" t="s">
        <v>4043</v>
      </c>
      <c r="C1509" s="219"/>
      <c r="D1509" s="219"/>
      <c r="E1509" s="205"/>
      <c r="F1509" s="194"/>
      <c r="G1509" s="213"/>
      <c r="H1509" s="205">
        <f t="shared" si="47"/>
        <v>0</v>
      </c>
    </row>
    <row r="1510" spans="1:8" ht="20.100000000000001" customHeight="1">
      <c r="A1510" s="244"/>
      <c r="B1510" s="218" t="s">
        <v>3295</v>
      </c>
      <c r="C1510" s="219">
        <v>1</v>
      </c>
      <c r="D1510" s="219">
        <v>1</v>
      </c>
      <c r="E1510" s="205"/>
      <c r="F1510" s="194"/>
      <c r="G1510" s="213"/>
      <c r="H1510" s="205">
        <f t="shared" si="47"/>
        <v>1</v>
      </c>
    </row>
    <row r="1511" spans="1:8" ht="20.100000000000001" customHeight="1">
      <c r="A1511" s="244"/>
      <c r="B1511" s="218" t="s">
        <v>3856</v>
      </c>
      <c r="C1511" s="219">
        <v>1</v>
      </c>
      <c r="D1511" s="219">
        <v>1</v>
      </c>
      <c r="E1511" s="205"/>
      <c r="F1511" s="194"/>
      <c r="G1511" s="213"/>
      <c r="H1511" s="205">
        <f t="shared" si="47"/>
        <v>1</v>
      </c>
    </row>
    <row r="1512" spans="1:8" ht="20.100000000000001" customHeight="1">
      <c r="A1512" s="244"/>
      <c r="B1512" s="218" t="s">
        <v>3858</v>
      </c>
      <c r="C1512" s="219">
        <v>1</v>
      </c>
      <c r="D1512" s="219">
        <v>1</v>
      </c>
      <c r="E1512" s="205"/>
      <c r="F1512" s="194"/>
      <c r="G1512" s="213"/>
      <c r="H1512" s="205">
        <f t="shared" si="47"/>
        <v>1</v>
      </c>
    </row>
    <row r="1513" spans="1:8" ht="20.100000000000001" customHeight="1">
      <c r="A1513" s="244"/>
      <c r="B1513" s="218" t="s">
        <v>3939</v>
      </c>
      <c r="C1513" s="219">
        <v>1</v>
      </c>
      <c r="D1513" s="219">
        <v>1</v>
      </c>
      <c r="E1513" s="205"/>
      <c r="F1513" s="194"/>
      <c r="G1513" s="213"/>
      <c r="H1513" s="205">
        <f t="shared" si="47"/>
        <v>1</v>
      </c>
    </row>
    <row r="1514" spans="1:8" ht="20.100000000000001" customHeight="1">
      <c r="A1514" s="244"/>
      <c r="B1514" s="218" t="s">
        <v>3940</v>
      </c>
      <c r="C1514" s="219">
        <v>1</v>
      </c>
      <c r="D1514" s="219">
        <v>1</v>
      </c>
      <c r="E1514" s="205"/>
      <c r="F1514" s="194"/>
      <c r="G1514" s="213"/>
      <c r="H1514" s="205">
        <f t="shared" si="47"/>
        <v>1</v>
      </c>
    </row>
    <row r="1515" spans="1:8" ht="20.100000000000001" customHeight="1">
      <c r="A1515" s="244"/>
      <c r="B1515" s="218" t="s">
        <v>3344</v>
      </c>
      <c r="C1515" s="219">
        <v>1</v>
      </c>
      <c r="D1515" s="219">
        <v>1</v>
      </c>
      <c r="E1515" s="205"/>
      <c r="F1515" s="194"/>
      <c r="G1515" s="213"/>
      <c r="H1515" s="205">
        <f t="shared" si="47"/>
        <v>1</v>
      </c>
    </row>
    <row r="1516" spans="1:8" ht="20.100000000000001" customHeight="1">
      <c r="A1516" s="244"/>
      <c r="B1516" s="218"/>
      <c r="C1516" s="219"/>
      <c r="D1516" s="219"/>
      <c r="E1516" s="205"/>
      <c r="F1516" s="194"/>
      <c r="G1516" s="213"/>
      <c r="H1516" s="205">
        <f>SUM(H1504:H1515)</f>
        <v>10</v>
      </c>
    </row>
    <row r="1517" spans="1:8" s="316" customFormat="1" ht="20.100000000000001" customHeight="1">
      <c r="A1517" s="182"/>
      <c r="B1517" s="216"/>
      <c r="C1517" s="220"/>
      <c r="D1517" s="220"/>
      <c r="E1517" s="248"/>
      <c r="F1517" s="182" t="s">
        <v>2560</v>
      </c>
      <c r="G1517" s="197">
        <f>+H1516</f>
        <v>10</v>
      </c>
      <c r="H1517" s="262" t="s">
        <v>1166</v>
      </c>
    </row>
    <row r="1518" spans="1:8" s="313" customFormat="1" ht="20.100000000000001" hidden="1" customHeight="1">
      <c r="A1518" s="295" t="s">
        <v>4083</v>
      </c>
      <c r="B1518" s="1004" t="s">
        <v>4084</v>
      </c>
      <c r="C1518" s="1005"/>
      <c r="D1518" s="1005"/>
      <c r="E1518" s="1005"/>
      <c r="F1518" s="1005"/>
      <c r="G1518" s="1006"/>
      <c r="H1518" s="288"/>
    </row>
    <row r="1519" spans="1:8" s="313" customFormat="1" ht="20.100000000000001" hidden="1" customHeight="1">
      <c r="A1519" s="295"/>
      <c r="B1519" s="299" t="s">
        <v>4085</v>
      </c>
      <c r="C1519" s="300">
        <v>1</v>
      </c>
      <c r="D1519" s="300">
        <v>4</v>
      </c>
      <c r="E1519" s="288"/>
      <c r="F1519" s="291"/>
      <c r="G1519" s="287"/>
      <c r="H1519" s="288">
        <f>ROUND(PRODUCT(C1519:G1519),2)</f>
        <v>4</v>
      </c>
    </row>
    <row r="1520" spans="1:8" s="313" customFormat="1" ht="20.100000000000001" hidden="1" customHeight="1">
      <c r="A1520" s="295"/>
      <c r="B1520" s="299" t="s">
        <v>4086</v>
      </c>
      <c r="C1520" s="300">
        <v>1</v>
      </c>
      <c r="D1520" s="300">
        <v>2</v>
      </c>
      <c r="E1520" s="288"/>
      <c r="F1520" s="291"/>
      <c r="G1520" s="287"/>
      <c r="H1520" s="288">
        <f>ROUND(PRODUCT(C1520:G1520),2)</f>
        <v>2</v>
      </c>
    </row>
    <row r="1521" spans="1:8" s="313" customFormat="1" ht="20.100000000000001" hidden="1" customHeight="1">
      <c r="A1521" s="295"/>
      <c r="B1521" s="299"/>
      <c r="C1521" s="300"/>
      <c r="D1521" s="300"/>
      <c r="E1521" s="288"/>
      <c r="F1521" s="291"/>
      <c r="G1521" s="287"/>
      <c r="H1521" s="288">
        <f>SUM(H1519:H1520)</f>
        <v>6</v>
      </c>
    </row>
    <row r="1522" spans="1:8" s="313" customFormat="1" ht="20.100000000000001" hidden="1" customHeight="1">
      <c r="A1522" s="295"/>
      <c r="B1522" s="299"/>
      <c r="C1522" s="300"/>
      <c r="D1522" s="300"/>
      <c r="E1522" s="288"/>
      <c r="F1522" s="295" t="s">
        <v>2560</v>
      </c>
      <c r="G1522" s="290"/>
      <c r="H1522" s="296" t="s">
        <v>1166</v>
      </c>
    </row>
    <row r="1523" spans="1:8" s="297" customFormat="1" ht="20.100000000000001" hidden="1" customHeight="1">
      <c r="A1523" s="286">
        <v>70.3</v>
      </c>
      <c r="B1523" s="1019" t="s">
        <v>4087</v>
      </c>
      <c r="C1523" s="1020"/>
      <c r="D1523" s="1020"/>
      <c r="E1523" s="1020"/>
      <c r="F1523" s="1020"/>
      <c r="G1523" s="1021"/>
      <c r="H1523" s="288"/>
    </row>
    <row r="1524" spans="1:8" s="297" customFormat="1" ht="20.100000000000001" hidden="1" customHeight="1">
      <c r="A1524" s="286"/>
      <c r="B1524" s="283" t="s">
        <v>4088</v>
      </c>
      <c r="C1524" s="284"/>
      <c r="D1524" s="284"/>
      <c r="E1524" s="298"/>
      <c r="F1524" s="286"/>
      <c r="G1524" s="287"/>
      <c r="H1524" s="288"/>
    </row>
    <row r="1525" spans="1:8" s="313" customFormat="1" ht="20.100000000000001" hidden="1" customHeight="1">
      <c r="A1525" s="295"/>
      <c r="B1525" s="299" t="s">
        <v>3312</v>
      </c>
      <c r="C1525" s="300"/>
      <c r="D1525" s="300"/>
      <c r="E1525" s="288"/>
      <c r="F1525" s="291"/>
      <c r="G1525" s="287"/>
      <c r="H1525" s="288"/>
    </row>
    <row r="1526" spans="1:8" s="313" customFormat="1" ht="20.100000000000001" hidden="1" customHeight="1">
      <c r="A1526" s="295"/>
      <c r="B1526" s="299" t="s">
        <v>3810</v>
      </c>
      <c r="C1526" s="300">
        <v>1</v>
      </c>
      <c r="D1526" s="300">
        <v>2</v>
      </c>
      <c r="E1526" s="288"/>
      <c r="F1526" s="291"/>
      <c r="G1526" s="287"/>
      <c r="H1526" s="288">
        <f t="shared" ref="H1526:H1560" si="48">ROUND(PRODUCT(C1526:G1526),2)</f>
        <v>2</v>
      </c>
    </row>
    <row r="1527" spans="1:8" s="313" customFormat="1" ht="20.100000000000001" hidden="1" customHeight="1">
      <c r="A1527" s="295"/>
      <c r="B1527" s="299" t="s">
        <v>3814</v>
      </c>
      <c r="C1527" s="300">
        <v>1</v>
      </c>
      <c r="D1527" s="300">
        <v>1</v>
      </c>
      <c r="E1527" s="288"/>
      <c r="F1527" s="291"/>
      <c r="G1527" s="287"/>
      <c r="H1527" s="288">
        <f t="shared" si="48"/>
        <v>1</v>
      </c>
    </row>
    <row r="1528" spans="1:8" s="313" customFormat="1" ht="20.100000000000001" hidden="1" customHeight="1">
      <c r="A1528" s="295"/>
      <c r="B1528" s="299" t="s">
        <v>3509</v>
      </c>
      <c r="C1528" s="300">
        <v>1</v>
      </c>
      <c r="D1528" s="300">
        <v>1</v>
      </c>
      <c r="E1528" s="288"/>
      <c r="F1528" s="291"/>
      <c r="G1528" s="287"/>
      <c r="H1528" s="288">
        <f t="shared" si="48"/>
        <v>1</v>
      </c>
    </row>
    <row r="1529" spans="1:8" s="313" customFormat="1" ht="20.100000000000001" hidden="1" customHeight="1">
      <c r="A1529" s="295"/>
      <c r="B1529" s="299" t="s">
        <v>3813</v>
      </c>
      <c r="C1529" s="300">
        <v>1</v>
      </c>
      <c r="D1529" s="300">
        <v>1</v>
      </c>
      <c r="E1529" s="288"/>
      <c r="F1529" s="291"/>
      <c r="G1529" s="287"/>
      <c r="H1529" s="288">
        <f t="shared" si="48"/>
        <v>1</v>
      </c>
    </row>
    <row r="1530" spans="1:8" s="313" customFormat="1" ht="20.100000000000001" hidden="1" customHeight="1">
      <c r="A1530" s="295"/>
      <c r="B1530" s="299" t="s">
        <v>4089</v>
      </c>
      <c r="C1530" s="300">
        <v>1</v>
      </c>
      <c r="D1530" s="300">
        <v>2</v>
      </c>
      <c r="E1530" s="288"/>
      <c r="F1530" s="291"/>
      <c r="G1530" s="287"/>
      <c r="H1530" s="288">
        <f t="shared" si="48"/>
        <v>2</v>
      </c>
    </row>
    <row r="1531" spans="1:8" s="313" customFormat="1" ht="20.100000000000001" hidden="1" customHeight="1">
      <c r="A1531" s="295"/>
      <c r="B1531" s="299" t="s">
        <v>4090</v>
      </c>
      <c r="C1531" s="300">
        <v>1</v>
      </c>
      <c r="D1531" s="300">
        <v>2</v>
      </c>
      <c r="E1531" s="288"/>
      <c r="F1531" s="291"/>
      <c r="G1531" s="287"/>
      <c r="H1531" s="288">
        <f t="shared" si="48"/>
        <v>2</v>
      </c>
    </row>
    <row r="1532" spans="1:8" s="313" customFormat="1" ht="20.100000000000001" hidden="1" customHeight="1">
      <c r="A1532" s="295"/>
      <c r="B1532" s="299" t="s">
        <v>4091</v>
      </c>
      <c r="C1532" s="300">
        <v>1</v>
      </c>
      <c r="D1532" s="300">
        <v>2</v>
      </c>
      <c r="E1532" s="288"/>
      <c r="F1532" s="291"/>
      <c r="G1532" s="287"/>
      <c r="H1532" s="288">
        <f t="shared" si="48"/>
        <v>2</v>
      </c>
    </row>
    <row r="1533" spans="1:8" s="313" customFormat="1" ht="20.100000000000001" hidden="1" customHeight="1">
      <c r="A1533" s="295"/>
      <c r="B1533" s="299" t="s">
        <v>4092</v>
      </c>
      <c r="C1533" s="300">
        <v>1</v>
      </c>
      <c r="D1533" s="300">
        <v>1</v>
      </c>
      <c r="E1533" s="288"/>
      <c r="F1533" s="291"/>
      <c r="G1533" s="287"/>
      <c r="H1533" s="288">
        <f t="shared" si="48"/>
        <v>1</v>
      </c>
    </row>
    <row r="1534" spans="1:8" s="313" customFormat="1" ht="20.100000000000001" hidden="1" customHeight="1">
      <c r="A1534" s="295"/>
      <c r="B1534" s="299" t="s">
        <v>4093</v>
      </c>
      <c r="C1534" s="300">
        <v>1</v>
      </c>
      <c r="D1534" s="300">
        <v>2</v>
      </c>
      <c r="E1534" s="288"/>
      <c r="F1534" s="291"/>
      <c r="G1534" s="287"/>
      <c r="H1534" s="288">
        <f t="shared" si="48"/>
        <v>2</v>
      </c>
    </row>
    <row r="1535" spans="1:8" s="313" customFormat="1" ht="20.100000000000001" hidden="1" customHeight="1">
      <c r="A1535" s="295"/>
      <c r="B1535" s="299" t="s">
        <v>4094</v>
      </c>
      <c r="C1535" s="300">
        <v>1</v>
      </c>
      <c r="D1535" s="300">
        <v>2</v>
      </c>
      <c r="E1535" s="288"/>
      <c r="F1535" s="291"/>
      <c r="G1535" s="287"/>
      <c r="H1535" s="288">
        <f t="shared" si="48"/>
        <v>2</v>
      </c>
    </row>
    <row r="1536" spans="1:8" s="313" customFormat="1" ht="20.100000000000001" hidden="1" customHeight="1">
      <c r="A1536" s="295"/>
      <c r="B1536" s="299" t="s">
        <v>4095</v>
      </c>
      <c r="C1536" s="300">
        <v>1</v>
      </c>
      <c r="D1536" s="300">
        <v>1</v>
      </c>
      <c r="E1536" s="288"/>
      <c r="F1536" s="291"/>
      <c r="G1536" s="287"/>
      <c r="H1536" s="288">
        <f t="shared" si="48"/>
        <v>1</v>
      </c>
    </row>
    <row r="1537" spans="1:8" s="297" customFormat="1" ht="20.100000000000001" hidden="1" customHeight="1">
      <c r="A1537" s="286"/>
      <c r="B1537" s="283" t="s">
        <v>4096</v>
      </c>
      <c r="C1537" s="284"/>
      <c r="D1537" s="284"/>
      <c r="E1537" s="285"/>
      <c r="F1537" s="286"/>
      <c r="G1537" s="287"/>
      <c r="H1537" s="288">
        <f t="shared" si="48"/>
        <v>0</v>
      </c>
    </row>
    <row r="1538" spans="1:8" s="313" customFormat="1" ht="20.100000000000001" hidden="1" customHeight="1">
      <c r="A1538" s="295"/>
      <c r="B1538" s="299" t="s">
        <v>3312</v>
      </c>
      <c r="C1538" s="300"/>
      <c r="D1538" s="300"/>
      <c r="E1538" s="288"/>
      <c r="F1538" s="291"/>
      <c r="G1538" s="287"/>
      <c r="H1538" s="288">
        <f t="shared" si="48"/>
        <v>0</v>
      </c>
    </row>
    <row r="1539" spans="1:8" s="313" customFormat="1" ht="20.100000000000001" hidden="1" customHeight="1">
      <c r="A1539" s="295"/>
      <c r="B1539" s="299" t="s">
        <v>3506</v>
      </c>
      <c r="C1539" s="300">
        <v>1</v>
      </c>
      <c r="D1539" s="300">
        <v>1</v>
      </c>
      <c r="E1539" s="288"/>
      <c r="F1539" s="291"/>
      <c r="G1539" s="287"/>
      <c r="H1539" s="288">
        <f t="shared" si="48"/>
        <v>1</v>
      </c>
    </row>
    <row r="1540" spans="1:8" s="313" customFormat="1" ht="20.100000000000001" hidden="1" customHeight="1">
      <c r="A1540" s="295"/>
      <c r="B1540" s="299" t="s">
        <v>3849</v>
      </c>
      <c r="C1540" s="300">
        <v>1</v>
      </c>
      <c r="D1540" s="300">
        <v>1</v>
      </c>
      <c r="E1540" s="288"/>
      <c r="F1540" s="291"/>
      <c r="G1540" s="287"/>
      <c r="H1540" s="288">
        <f t="shared" si="48"/>
        <v>1</v>
      </c>
    </row>
    <row r="1541" spans="1:8" s="313" customFormat="1" ht="20.100000000000001" hidden="1" customHeight="1">
      <c r="A1541" s="295"/>
      <c r="B1541" s="299" t="s">
        <v>4059</v>
      </c>
      <c r="C1541" s="300">
        <v>1</v>
      </c>
      <c r="D1541" s="300">
        <v>1</v>
      </c>
      <c r="E1541" s="288"/>
      <c r="F1541" s="291"/>
      <c r="G1541" s="287"/>
      <c r="H1541" s="288">
        <f t="shared" si="48"/>
        <v>1</v>
      </c>
    </row>
    <row r="1542" spans="1:8" s="313" customFormat="1" ht="20.100000000000001" hidden="1" customHeight="1">
      <c r="A1542" s="295"/>
      <c r="B1542" s="299" t="s">
        <v>3306</v>
      </c>
      <c r="C1542" s="300"/>
      <c r="D1542" s="300"/>
      <c r="E1542" s="288"/>
      <c r="F1542" s="291"/>
      <c r="G1542" s="287"/>
      <c r="H1542" s="288">
        <f t="shared" si="48"/>
        <v>0</v>
      </c>
    </row>
    <row r="1543" spans="1:8" s="313" customFormat="1" ht="20.100000000000001" hidden="1" customHeight="1">
      <c r="A1543" s="295"/>
      <c r="B1543" s="299" t="s">
        <v>3295</v>
      </c>
      <c r="C1543" s="300">
        <v>1</v>
      </c>
      <c r="D1543" s="300">
        <v>1</v>
      </c>
      <c r="E1543" s="288"/>
      <c r="F1543" s="291"/>
      <c r="G1543" s="287"/>
      <c r="H1543" s="288">
        <f t="shared" si="48"/>
        <v>1</v>
      </c>
    </row>
    <row r="1544" spans="1:8" s="313" customFormat="1" ht="20.100000000000001" hidden="1" customHeight="1">
      <c r="A1544" s="295"/>
      <c r="B1544" s="299" t="s">
        <v>3852</v>
      </c>
      <c r="C1544" s="300">
        <v>1</v>
      </c>
      <c r="D1544" s="300">
        <v>1</v>
      </c>
      <c r="E1544" s="288"/>
      <c r="F1544" s="291"/>
      <c r="G1544" s="287"/>
      <c r="H1544" s="288">
        <f t="shared" si="48"/>
        <v>1</v>
      </c>
    </row>
    <row r="1545" spans="1:8" s="313" customFormat="1" ht="20.100000000000001" hidden="1" customHeight="1">
      <c r="A1545" s="295"/>
      <c r="B1545" s="299" t="s">
        <v>4070</v>
      </c>
      <c r="C1545" s="300">
        <v>1</v>
      </c>
      <c r="D1545" s="300">
        <v>2</v>
      </c>
      <c r="E1545" s="288"/>
      <c r="F1545" s="291"/>
      <c r="G1545" s="287"/>
      <c r="H1545" s="288">
        <f t="shared" si="48"/>
        <v>2</v>
      </c>
    </row>
    <row r="1546" spans="1:8" s="313" customFormat="1" ht="20.100000000000001" hidden="1" customHeight="1">
      <c r="A1546" s="295"/>
      <c r="B1546" s="299" t="s">
        <v>3855</v>
      </c>
      <c r="C1546" s="300">
        <v>1</v>
      </c>
      <c r="D1546" s="300">
        <v>2</v>
      </c>
      <c r="E1546" s="288"/>
      <c r="F1546" s="291"/>
      <c r="G1546" s="287"/>
      <c r="H1546" s="288">
        <f t="shared" si="48"/>
        <v>2</v>
      </c>
    </row>
    <row r="1547" spans="1:8" s="313" customFormat="1" ht="20.100000000000001" hidden="1" customHeight="1">
      <c r="A1547" s="295"/>
      <c r="B1547" s="299" t="s">
        <v>4064</v>
      </c>
      <c r="C1547" s="300">
        <v>1</v>
      </c>
      <c r="D1547" s="300">
        <v>2</v>
      </c>
      <c r="E1547" s="288"/>
      <c r="F1547" s="291"/>
      <c r="G1547" s="287"/>
      <c r="H1547" s="288">
        <f t="shared" si="48"/>
        <v>2</v>
      </c>
    </row>
    <row r="1548" spans="1:8" s="313" customFormat="1" ht="20.100000000000001" hidden="1" customHeight="1">
      <c r="A1548" s="295"/>
      <c r="B1548" s="299" t="s">
        <v>3856</v>
      </c>
      <c r="C1548" s="300">
        <v>1</v>
      </c>
      <c r="D1548" s="300">
        <v>1</v>
      </c>
      <c r="E1548" s="288"/>
      <c r="F1548" s="291"/>
      <c r="G1548" s="287"/>
      <c r="H1548" s="288">
        <f t="shared" si="48"/>
        <v>1</v>
      </c>
    </row>
    <row r="1549" spans="1:8" s="313" customFormat="1" ht="20.100000000000001" hidden="1" customHeight="1">
      <c r="A1549" s="295"/>
      <c r="B1549" s="299" t="s">
        <v>3857</v>
      </c>
      <c r="C1549" s="300">
        <v>1</v>
      </c>
      <c r="D1549" s="300">
        <v>2</v>
      </c>
      <c r="E1549" s="288"/>
      <c r="F1549" s="291"/>
      <c r="G1549" s="287"/>
      <c r="H1549" s="288">
        <f t="shared" si="48"/>
        <v>2</v>
      </c>
    </row>
    <row r="1550" spans="1:8" s="313" customFormat="1" ht="20.100000000000001" hidden="1" customHeight="1">
      <c r="A1550" s="295"/>
      <c r="B1550" s="299" t="s">
        <v>4071</v>
      </c>
      <c r="C1550" s="300">
        <v>1</v>
      </c>
      <c r="D1550" s="300">
        <v>2</v>
      </c>
      <c r="E1550" s="288"/>
      <c r="F1550" s="291"/>
      <c r="G1550" s="287"/>
      <c r="H1550" s="288">
        <f t="shared" si="48"/>
        <v>2</v>
      </c>
    </row>
    <row r="1551" spans="1:8" s="313" customFormat="1" ht="20.100000000000001" hidden="1" customHeight="1">
      <c r="A1551" s="295"/>
      <c r="B1551" s="299" t="s">
        <v>4043</v>
      </c>
      <c r="C1551" s="300"/>
      <c r="D1551" s="300"/>
      <c r="E1551" s="288"/>
      <c r="F1551" s="291"/>
      <c r="G1551" s="287"/>
      <c r="H1551" s="288">
        <f t="shared" si="48"/>
        <v>0</v>
      </c>
    </row>
    <row r="1552" spans="1:8" s="313" customFormat="1" ht="20.100000000000001" hidden="1" customHeight="1">
      <c r="A1552" s="295"/>
      <c r="B1552" s="299" t="s">
        <v>3295</v>
      </c>
      <c r="C1552" s="300">
        <v>1</v>
      </c>
      <c r="D1552" s="300">
        <v>1</v>
      </c>
      <c r="E1552" s="288"/>
      <c r="F1552" s="291"/>
      <c r="G1552" s="287"/>
      <c r="H1552" s="288">
        <f t="shared" si="48"/>
        <v>1</v>
      </c>
    </row>
    <row r="1553" spans="1:8" s="313" customFormat="1" ht="20.100000000000001" hidden="1" customHeight="1">
      <c r="A1553" s="295"/>
      <c r="B1553" s="299" t="s">
        <v>3856</v>
      </c>
      <c r="C1553" s="300">
        <v>1</v>
      </c>
      <c r="D1553" s="300">
        <v>1</v>
      </c>
      <c r="E1553" s="288"/>
      <c r="F1553" s="291"/>
      <c r="G1553" s="287"/>
      <c r="H1553" s="288">
        <f t="shared" si="48"/>
        <v>1</v>
      </c>
    </row>
    <row r="1554" spans="1:8" s="313" customFormat="1" ht="20.100000000000001" hidden="1" customHeight="1">
      <c r="A1554" s="295"/>
      <c r="B1554" s="299" t="s">
        <v>3858</v>
      </c>
      <c r="C1554" s="300">
        <v>1</v>
      </c>
      <c r="D1554" s="300">
        <v>2</v>
      </c>
      <c r="E1554" s="288"/>
      <c r="F1554" s="291"/>
      <c r="G1554" s="287"/>
      <c r="H1554" s="288">
        <f t="shared" si="48"/>
        <v>2</v>
      </c>
    </row>
    <row r="1555" spans="1:8" s="313" customFormat="1" ht="20.100000000000001" hidden="1" customHeight="1">
      <c r="A1555" s="295"/>
      <c r="B1555" s="299" t="s">
        <v>3939</v>
      </c>
      <c r="C1555" s="300">
        <v>1</v>
      </c>
      <c r="D1555" s="300">
        <v>2</v>
      </c>
      <c r="E1555" s="288"/>
      <c r="F1555" s="291"/>
      <c r="G1555" s="287"/>
      <c r="H1555" s="288">
        <f t="shared" si="48"/>
        <v>2</v>
      </c>
    </row>
    <row r="1556" spans="1:8" s="313" customFormat="1" ht="20.100000000000001" hidden="1" customHeight="1">
      <c r="A1556" s="295"/>
      <c r="B1556" s="299" t="s">
        <v>3940</v>
      </c>
      <c r="C1556" s="300">
        <v>1</v>
      </c>
      <c r="D1556" s="300">
        <v>1</v>
      </c>
      <c r="E1556" s="288"/>
      <c r="F1556" s="291"/>
      <c r="G1556" s="287"/>
      <c r="H1556" s="288">
        <f t="shared" si="48"/>
        <v>1</v>
      </c>
    </row>
    <row r="1557" spans="1:8" s="313" customFormat="1" ht="20.100000000000001" hidden="1" customHeight="1">
      <c r="A1557" s="295"/>
      <c r="B1557" s="299" t="s">
        <v>3344</v>
      </c>
      <c r="C1557" s="300">
        <v>1</v>
      </c>
      <c r="D1557" s="300">
        <v>1</v>
      </c>
      <c r="E1557" s="288"/>
      <c r="F1557" s="291"/>
      <c r="G1557" s="287"/>
      <c r="H1557" s="288">
        <f t="shared" si="48"/>
        <v>1</v>
      </c>
    </row>
    <row r="1558" spans="1:8" s="313" customFormat="1" ht="20.100000000000001" hidden="1" customHeight="1">
      <c r="A1558" s="295"/>
      <c r="B1558" s="299" t="s">
        <v>4072</v>
      </c>
      <c r="C1558" s="300">
        <v>1</v>
      </c>
      <c r="D1558" s="300">
        <v>1</v>
      </c>
      <c r="E1558" s="288"/>
      <c r="F1558" s="291"/>
      <c r="G1558" s="287"/>
      <c r="H1558" s="288">
        <f t="shared" si="48"/>
        <v>1</v>
      </c>
    </row>
    <row r="1559" spans="1:8" s="313" customFormat="1" ht="34.9" hidden="1" customHeight="1">
      <c r="A1559" s="295"/>
      <c r="B1559" s="299" t="s">
        <v>4097</v>
      </c>
      <c r="C1559" s="300">
        <v>1</v>
      </c>
      <c r="D1559" s="300">
        <v>2</v>
      </c>
      <c r="E1559" s="288"/>
      <c r="F1559" s="291"/>
      <c r="G1559" s="287"/>
      <c r="H1559" s="288">
        <f t="shared" si="48"/>
        <v>2</v>
      </c>
    </row>
    <row r="1560" spans="1:8" s="313" customFormat="1" ht="20.100000000000001" hidden="1" customHeight="1">
      <c r="A1560" s="295"/>
      <c r="B1560" s="299" t="s">
        <v>4073</v>
      </c>
      <c r="C1560" s="300">
        <v>1</v>
      </c>
      <c r="D1560" s="300">
        <v>3</v>
      </c>
      <c r="E1560" s="288"/>
      <c r="F1560" s="291"/>
      <c r="G1560" s="287"/>
      <c r="H1560" s="288">
        <f t="shared" si="48"/>
        <v>3</v>
      </c>
    </row>
    <row r="1561" spans="1:8" s="297" customFormat="1" ht="20.100000000000001" hidden="1" customHeight="1">
      <c r="A1561" s="286"/>
      <c r="B1561" s="283"/>
      <c r="C1561" s="284"/>
      <c r="D1561" s="284"/>
      <c r="E1561" s="285"/>
      <c r="F1561" s="286"/>
      <c r="G1561" s="287"/>
      <c r="H1561" s="296">
        <f>SUM(H1524:H1560)</f>
        <v>47</v>
      </c>
    </row>
    <row r="1562" spans="1:8" s="306" customFormat="1" ht="20.100000000000001" hidden="1" customHeight="1">
      <c r="A1562" s="280"/>
      <c r="B1562" s="277"/>
      <c r="C1562" s="278"/>
      <c r="D1562" s="278"/>
      <c r="E1562" s="279"/>
      <c r="F1562" s="301" t="s">
        <v>2560</v>
      </c>
      <c r="G1562" s="304"/>
      <c r="H1562" s="305" t="s">
        <v>1166</v>
      </c>
    </row>
    <row r="1563" spans="1:8" s="186" customFormat="1" ht="20.100000000000001" hidden="1" customHeight="1">
      <c r="A1563" s="187"/>
      <c r="B1563" s="192"/>
      <c r="C1563" s="190"/>
      <c r="D1563" s="190"/>
      <c r="E1563" s="250"/>
      <c r="F1563" s="187"/>
      <c r="G1563" s="213"/>
      <c r="H1563" s="205"/>
    </row>
    <row r="1564" spans="1:8" s="186" customFormat="1" ht="20.100000000000001" customHeight="1">
      <c r="A1564" s="187">
        <v>72</v>
      </c>
      <c r="B1564" s="989" t="s">
        <v>4098</v>
      </c>
      <c r="C1564" s="990"/>
      <c r="D1564" s="990"/>
      <c r="E1564" s="990"/>
      <c r="F1564" s="990"/>
      <c r="G1564" s="991"/>
      <c r="H1564" s="205"/>
    </row>
    <row r="1565" spans="1:8" s="186" customFormat="1" ht="20.100000000000001" customHeight="1">
      <c r="A1565" s="187"/>
      <c r="B1565" s="192" t="s">
        <v>4099</v>
      </c>
      <c r="C1565" s="190"/>
      <c r="D1565" s="190"/>
      <c r="E1565" s="256"/>
      <c r="F1565" s="187"/>
      <c r="G1565" s="213"/>
      <c r="H1565" s="205">
        <f>G1459</f>
        <v>19</v>
      </c>
    </row>
    <row r="1566" spans="1:8" s="199" customFormat="1" ht="20.100000000000001" customHeight="1">
      <c r="A1566" s="195"/>
      <c r="B1566" s="189"/>
      <c r="C1566" s="196"/>
      <c r="D1566" s="196"/>
      <c r="E1566" s="322"/>
      <c r="F1566" s="182" t="s">
        <v>2560</v>
      </c>
      <c r="G1566" s="197">
        <f>+H1565</f>
        <v>19</v>
      </c>
      <c r="H1566" s="262" t="s">
        <v>1166</v>
      </c>
    </row>
    <row r="1567" spans="1:8" s="186" customFormat="1" ht="19.899999999999999" customHeight="1">
      <c r="A1567" s="187">
        <v>74</v>
      </c>
      <c r="B1567" s="989" t="s">
        <v>4100</v>
      </c>
      <c r="C1567" s="990"/>
      <c r="D1567" s="990"/>
      <c r="E1567" s="990"/>
      <c r="F1567" s="990"/>
      <c r="G1567" s="991"/>
      <c r="H1567" s="205"/>
    </row>
    <row r="1568" spans="1:8" s="186" customFormat="1" ht="19.899999999999999" customHeight="1">
      <c r="A1568" s="187"/>
      <c r="B1568" s="192"/>
      <c r="C1568" s="190">
        <v>1</v>
      </c>
      <c r="D1568" s="333">
        <f>+H1565</f>
        <v>19</v>
      </c>
      <c r="E1568" s="250"/>
      <c r="F1568" s="187"/>
      <c r="G1568" s="213"/>
      <c r="H1568" s="205">
        <f>ROUND(PRODUCT(C1568:G1568),2)</f>
        <v>19</v>
      </c>
    </row>
    <row r="1569" spans="1:10" s="199" customFormat="1" ht="19.899999999999999" customHeight="1">
      <c r="A1569" s="195"/>
      <c r="B1569" s="189"/>
      <c r="C1569" s="196"/>
      <c r="D1569" s="196"/>
      <c r="E1569" s="322"/>
      <c r="F1569" s="182" t="s">
        <v>2560</v>
      </c>
      <c r="G1569" s="197">
        <f>+H1568</f>
        <v>19</v>
      </c>
      <c r="H1569" s="262" t="s">
        <v>1166</v>
      </c>
    </row>
    <row r="1570" spans="1:10" s="186" customFormat="1" ht="19.899999999999999" customHeight="1">
      <c r="A1570" s="187" t="s">
        <v>4101</v>
      </c>
      <c r="B1570" s="989" t="s">
        <v>4102</v>
      </c>
      <c r="C1570" s="990"/>
      <c r="D1570" s="990"/>
      <c r="E1570" s="990"/>
      <c r="F1570" s="990"/>
      <c r="G1570" s="991"/>
      <c r="H1570" s="205"/>
    </row>
    <row r="1571" spans="1:10" s="186" customFormat="1" ht="19.899999999999999" customHeight="1">
      <c r="A1571" s="187"/>
      <c r="B1571" s="192" t="s">
        <v>4099</v>
      </c>
      <c r="C1571" s="190"/>
      <c r="D1571" s="190"/>
      <c r="E1571" s="256"/>
      <c r="F1571" s="187"/>
      <c r="G1571" s="213"/>
      <c r="H1571" s="205">
        <f>+H1568</f>
        <v>19</v>
      </c>
    </row>
    <row r="1572" spans="1:10" s="199" customFormat="1" ht="19.899999999999999" customHeight="1">
      <c r="A1572" s="195"/>
      <c r="B1572" s="189"/>
      <c r="C1572" s="196"/>
      <c r="D1572" s="196"/>
      <c r="E1572" s="322"/>
      <c r="F1572" s="182" t="s">
        <v>2560</v>
      </c>
      <c r="G1572" s="197">
        <f>+H1571</f>
        <v>19</v>
      </c>
      <c r="H1572" s="262" t="s">
        <v>1166</v>
      </c>
    </row>
    <row r="1573" spans="1:10" s="186" customFormat="1" ht="20.100000000000001" customHeight="1">
      <c r="A1573" s="187">
        <v>76</v>
      </c>
      <c r="B1573" s="989" t="s">
        <v>4103</v>
      </c>
      <c r="C1573" s="990"/>
      <c r="D1573" s="990"/>
      <c r="E1573" s="990"/>
      <c r="F1573" s="990"/>
      <c r="G1573" s="991"/>
      <c r="H1573" s="253"/>
    </row>
    <row r="1574" spans="1:10" s="186" customFormat="1" ht="20.100000000000001" customHeight="1">
      <c r="A1574" s="187"/>
      <c r="B1574" s="192" t="s">
        <v>4104</v>
      </c>
      <c r="C1574" s="190">
        <v>1</v>
      </c>
      <c r="D1574" s="190">
        <v>1</v>
      </c>
      <c r="E1574" s="205">
        <v>10</v>
      </c>
      <c r="F1574" s="187"/>
      <c r="G1574" s="213"/>
      <c r="H1574" s="205">
        <f>ROUND(PRODUCT(C1574:G1574),2)</f>
        <v>10</v>
      </c>
    </row>
    <row r="1575" spans="1:10" s="186" customFormat="1" ht="20.100000000000001" customHeight="1">
      <c r="A1575" s="187"/>
      <c r="B1575" s="192"/>
      <c r="C1575" s="190"/>
      <c r="D1575" s="190"/>
      <c r="E1575" s="205"/>
      <c r="F1575" s="182" t="s">
        <v>2560</v>
      </c>
      <c r="G1575" s="197">
        <f>+H1574</f>
        <v>10</v>
      </c>
      <c r="H1575" s="262" t="s">
        <v>669</v>
      </c>
    </row>
    <row r="1576" spans="1:10" s="186" customFormat="1" ht="19.899999999999999" customHeight="1">
      <c r="A1576" s="187">
        <v>77.5</v>
      </c>
      <c r="B1576" s="1013" t="s">
        <v>4105</v>
      </c>
      <c r="C1576" s="1014"/>
      <c r="D1576" s="1014"/>
      <c r="E1576" s="1014"/>
      <c r="F1576" s="1014"/>
      <c r="G1576" s="1015"/>
      <c r="H1576" s="205"/>
    </row>
    <row r="1577" spans="1:10" s="329" customFormat="1" ht="20.100000000000001" customHeight="1">
      <c r="A1577" s="318"/>
      <c r="B1577" s="334" t="s">
        <v>4106</v>
      </c>
      <c r="C1577" s="320">
        <v>1</v>
      </c>
      <c r="D1577" s="206">
        <f>G1517</f>
        <v>10</v>
      </c>
      <c r="E1577" s="335">
        <v>5</v>
      </c>
      <c r="F1577" s="318"/>
      <c r="G1577" s="327"/>
      <c r="H1577" s="205">
        <f>ROUND(PRODUCT(C1577:G1577),2)</f>
        <v>50</v>
      </c>
      <c r="I1577" s="336"/>
      <c r="J1577" s="337"/>
    </row>
    <row r="1578" spans="1:10" s="186" customFormat="1" ht="20.100000000000001" customHeight="1">
      <c r="A1578" s="187"/>
      <c r="B1578" s="192"/>
      <c r="C1578" s="190"/>
      <c r="D1578" s="190"/>
      <c r="E1578" s="256"/>
      <c r="F1578" s="182" t="s">
        <v>2560</v>
      </c>
      <c r="G1578" s="197">
        <f>+H1577</f>
        <v>50</v>
      </c>
      <c r="H1578" s="262" t="s">
        <v>669</v>
      </c>
    </row>
    <row r="1579" spans="1:10" s="186" customFormat="1" ht="20.100000000000001" customHeight="1">
      <c r="A1579" s="187"/>
      <c r="B1579" s="192"/>
      <c r="C1579" s="190"/>
      <c r="D1579" s="190"/>
      <c r="E1579" s="256"/>
      <c r="F1579" s="187"/>
      <c r="G1579" s="213"/>
      <c r="H1579" s="205"/>
    </row>
    <row r="1580" spans="1:10" s="186" customFormat="1" ht="19.899999999999999" customHeight="1">
      <c r="A1580" s="187">
        <v>105</v>
      </c>
      <c r="B1580" s="989" t="s">
        <v>4107</v>
      </c>
      <c r="C1580" s="990"/>
      <c r="D1580" s="990"/>
      <c r="E1580" s="990"/>
      <c r="F1580" s="990"/>
      <c r="G1580" s="991"/>
      <c r="H1580" s="205"/>
    </row>
    <row r="1581" spans="1:10" s="186" customFormat="1" ht="20.100000000000001" customHeight="1">
      <c r="A1581" s="187"/>
      <c r="B1581" s="334" t="s">
        <v>4108</v>
      </c>
      <c r="C1581" s="320">
        <v>1</v>
      </c>
      <c r="D1581" s="320">
        <v>1</v>
      </c>
      <c r="E1581" s="335">
        <v>30</v>
      </c>
      <c r="F1581" s="187"/>
      <c r="G1581" s="213"/>
      <c r="H1581" s="205">
        <f>ROUND(PRODUCT(C1581:G1581),2)</f>
        <v>30</v>
      </c>
    </row>
    <row r="1582" spans="1:10" s="186" customFormat="1" ht="20.100000000000001" customHeight="1">
      <c r="A1582" s="187"/>
      <c r="B1582" s="192"/>
      <c r="C1582" s="190"/>
      <c r="D1582" s="190"/>
      <c r="E1582" s="205"/>
      <c r="F1582" s="195" t="s">
        <v>2560</v>
      </c>
      <c r="G1582" s="197">
        <f>+H1581</f>
        <v>30</v>
      </c>
      <c r="H1582" s="262" t="s">
        <v>669</v>
      </c>
    </row>
    <row r="1583" spans="1:10" s="186" customFormat="1" ht="20.100000000000001" customHeight="1">
      <c r="A1583" s="187">
        <v>77.3</v>
      </c>
      <c r="B1583" s="1013" t="s">
        <v>4109</v>
      </c>
      <c r="C1583" s="1014"/>
      <c r="D1583" s="1014"/>
      <c r="E1583" s="1014"/>
      <c r="F1583" s="1014"/>
      <c r="G1583" s="1015"/>
      <c r="H1583" s="253"/>
    </row>
    <row r="1584" spans="1:10" s="186" customFormat="1" ht="20.100000000000001" customHeight="1">
      <c r="A1584" s="187"/>
      <c r="B1584" s="334" t="s">
        <v>4110</v>
      </c>
      <c r="C1584" s="320">
        <v>2</v>
      </c>
      <c r="D1584" s="320">
        <v>2</v>
      </c>
      <c r="E1584" s="325" t="s">
        <v>790</v>
      </c>
      <c r="F1584" s="318"/>
      <c r="G1584" s="327"/>
      <c r="H1584" s="205">
        <f>ROUND(PRODUCT(C1584:G1584),2)</f>
        <v>4</v>
      </c>
    </row>
    <row r="1585" spans="1:8" s="186" customFormat="1" ht="20.100000000000001" customHeight="1">
      <c r="A1585" s="187"/>
      <c r="B1585" s="334" t="s">
        <v>3855</v>
      </c>
      <c r="C1585" s="320">
        <v>1</v>
      </c>
      <c r="D1585" s="320">
        <v>2</v>
      </c>
      <c r="E1585" s="325"/>
      <c r="F1585" s="318"/>
      <c r="G1585" s="327"/>
      <c r="H1585" s="205">
        <f>ROUND(PRODUCT(C1585:G1585),2)</f>
        <v>2</v>
      </c>
    </row>
    <row r="1586" spans="1:8" s="186" customFormat="1" ht="20.100000000000001" customHeight="1">
      <c r="A1586" s="187"/>
      <c r="B1586" s="334"/>
      <c r="C1586" s="320"/>
      <c r="D1586" s="320"/>
      <c r="E1586" s="325"/>
      <c r="F1586" s="318"/>
      <c r="G1586" s="327"/>
      <c r="H1586" s="325">
        <f>SUM(H1584:H1585)</f>
        <v>6</v>
      </c>
    </row>
    <row r="1587" spans="1:8" s="186" customFormat="1" ht="20.100000000000001" customHeight="1">
      <c r="A1587" s="187"/>
      <c r="B1587" s="192"/>
      <c r="C1587" s="190"/>
      <c r="D1587" s="190"/>
      <c r="E1587" s="205"/>
      <c r="F1587" s="182" t="s">
        <v>2560</v>
      </c>
      <c r="G1587" s="197">
        <f>+H1586</f>
        <v>6</v>
      </c>
      <c r="H1587" s="262" t="s">
        <v>1166</v>
      </c>
    </row>
    <row r="1588" spans="1:8" s="186" customFormat="1" ht="20.100000000000001" customHeight="1">
      <c r="A1588" s="187">
        <v>77.400000000000006</v>
      </c>
      <c r="B1588" s="989" t="s">
        <v>4111</v>
      </c>
      <c r="C1588" s="990"/>
      <c r="D1588" s="990"/>
      <c r="E1588" s="990"/>
      <c r="F1588" s="990"/>
      <c r="G1588" s="991"/>
      <c r="H1588" s="253"/>
    </row>
    <row r="1589" spans="1:8" s="186" customFormat="1" ht="20.100000000000001" customHeight="1">
      <c r="A1589" s="187"/>
      <c r="B1589" s="334" t="s">
        <v>4112</v>
      </c>
      <c r="C1589" s="320">
        <v>1</v>
      </c>
      <c r="D1589" s="320">
        <v>1</v>
      </c>
      <c r="E1589" s="325">
        <v>60</v>
      </c>
      <c r="F1589" s="187"/>
      <c r="G1589" s="213"/>
      <c r="H1589" s="205">
        <f>ROUND(PRODUCT(C1589:G1589),2)</f>
        <v>60</v>
      </c>
    </row>
    <row r="1590" spans="1:8" s="186" customFormat="1" ht="20.100000000000001" customHeight="1">
      <c r="A1590" s="187"/>
      <c r="B1590" s="192"/>
      <c r="C1590" s="190"/>
      <c r="D1590" s="190"/>
      <c r="E1590" s="205"/>
      <c r="F1590" s="182" t="s">
        <v>2560</v>
      </c>
      <c r="G1590" s="197">
        <f>+H1589</f>
        <v>60</v>
      </c>
      <c r="H1590" s="262" t="s">
        <v>669</v>
      </c>
    </row>
    <row r="1591" spans="1:8" s="186" customFormat="1" ht="20.100000000000001" customHeight="1">
      <c r="A1591" s="187">
        <v>78</v>
      </c>
      <c r="B1591" s="192" t="s">
        <v>4113</v>
      </c>
      <c r="C1591" s="190">
        <v>1</v>
      </c>
      <c r="D1591" s="190">
        <v>1</v>
      </c>
      <c r="E1591" s="205">
        <v>1</v>
      </c>
      <c r="F1591" s="187"/>
      <c r="G1591" s="213"/>
      <c r="H1591" s="205">
        <f>ROUND(PRODUCT(C1591:G1591),2)</f>
        <v>1</v>
      </c>
    </row>
    <row r="1592" spans="1:8" s="186" customFormat="1" ht="20.100000000000001" customHeight="1">
      <c r="A1592" s="187"/>
      <c r="B1592" s="192"/>
      <c r="C1592" s="190"/>
      <c r="D1592" s="190"/>
      <c r="E1592" s="205"/>
      <c r="F1592" s="182" t="s">
        <v>2560</v>
      </c>
      <c r="G1592" s="197">
        <f>+H1591</f>
        <v>1</v>
      </c>
      <c r="H1592" s="262" t="s">
        <v>1130</v>
      </c>
    </row>
    <row r="1593" spans="1:8" s="186" customFormat="1" ht="20.100000000000001" customHeight="1">
      <c r="A1593" s="187">
        <v>79.2</v>
      </c>
      <c r="B1593" s="1013" t="s">
        <v>4114</v>
      </c>
      <c r="C1593" s="1014"/>
      <c r="D1593" s="1014"/>
      <c r="E1593" s="1014"/>
      <c r="F1593" s="1014"/>
      <c r="G1593" s="1015"/>
      <c r="H1593" s="253"/>
    </row>
    <row r="1594" spans="1:8" s="186" customFormat="1" ht="20.100000000000001" customHeight="1">
      <c r="A1594" s="187"/>
      <c r="B1594" s="321" t="s">
        <v>4115</v>
      </c>
      <c r="C1594" s="190">
        <v>1</v>
      </c>
      <c r="D1594" s="190">
        <v>1</v>
      </c>
      <c r="E1594" s="205"/>
      <c r="F1594" s="187"/>
      <c r="G1594" s="213"/>
      <c r="H1594" s="205">
        <f>ROUND(PRODUCT(C1594:G1594),2)</f>
        <v>1</v>
      </c>
    </row>
    <row r="1595" spans="1:8" s="186" customFormat="1" ht="20.100000000000001" customHeight="1">
      <c r="A1595" s="187"/>
      <c r="B1595" s="192"/>
      <c r="C1595" s="190"/>
      <c r="D1595" s="190"/>
      <c r="E1595" s="205"/>
      <c r="F1595" s="182" t="s">
        <v>2560</v>
      </c>
      <c r="G1595" s="197">
        <f>+H1594</f>
        <v>1</v>
      </c>
      <c r="H1595" s="262" t="s">
        <v>1130</v>
      </c>
    </row>
    <row r="1596" spans="1:8" s="186" customFormat="1" ht="19.899999999999999" hidden="1" customHeight="1">
      <c r="A1596" s="338">
        <v>79.900000000000006</v>
      </c>
      <c r="B1596" s="1016" t="s">
        <v>4116</v>
      </c>
      <c r="C1596" s="1017"/>
      <c r="D1596" s="1017"/>
      <c r="E1596" s="1017"/>
      <c r="F1596" s="1017"/>
      <c r="G1596" s="1018"/>
      <c r="H1596" s="339"/>
    </row>
    <row r="1597" spans="1:8" s="186" customFormat="1" ht="20.100000000000001" hidden="1" customHeight="1">
      <c r="A1597" s="338"/>
      <c r="B1597" s="340" t="s">
        <v>4115</v>
      </c>
      <c r="C1597" s="341">
        <v>1</v>
      </c>
      <c r="D1597" s="341">
        <v>1</v>
      </c>
      <c r="E1597" s="342"/>
      <c r="F1597" s="343"/>
      <c r="G1597" s="344"/>
      <c r="H1597" s="342">
        <f>ROUND(PRODUCT(C1597:G1597),2)</f>
        <v>1</v>
      </c>
    </row>
    <row r="1598" spans="1:8" s="186" customFormat="1" ht="20.100000000000001" hidden="1" customHeight="1">
      <c r="A1598" s="343"/>
      <c r="B1598" s="345"/>
      <c r="C1598" s="346"/>
      <c r="D1598" s="346"/>
      <c r="E1598" s="342"/>
      <c r="F1598" s="347" t="s">
        <v>2560</v>
      </c>
      <c r="G1598" s="348"/>
      <c r="H1598" s="339" t="s">
        <v>1130</v>
      </c>
    </row>
    <row r="1599" spans="1:8" s="186" customFormat="1" ht="20.100000000000001" customHeight="1">
      <c r="A1599" s="187">
        <v>80</v>
      </c>
      <c r="B1599" s="989" t="s">
        <v>4117</v>
      </c>
      <c r="C1599" s="990"/>
      <c r="D1599" s="990"/>
      <c r="E1599" s="990"/>
      <c r="F1599" s="990"/>
      <c r="G1599" s="991"/>
      <c r="H1599" s="253"/>
    </row>
    <row r="1600" spans="1:8" s="186" customFormat="1" ht="20.100000000000001" customHeight="1">
      <c r="A1600" s="187"/>
      <c r="B1600" s="321" t="s">
        <v>4118</v>
      </c>
      <c r="C1600" s="320">
        <v>1</v>
      </c>
      <c r="D1600" s="320">
        <v>1</v>
      </c>
      <c r="E1600" s="205"/>
      <c r="F1600" s="187"/>
      <c r="G1600" s="213"/>
      <c r="H1600" s="205">
        <f>ROUND(PRODUCT(C1600:G1600),2)</f>
        <v>1</v>
      </c>
    </row>
    <row r="1601" spans="1:8" s="186" customFormat="1" ht="20.100000000000001" customHeight="1">
      <c r="A1601" s="187"/>
      <c r="B1601" s="192"/>
      <c r="C1601" s="190"/>
      <c r="D1601" s="190"/>
      <c r="E1601" s="205"/>
      <c r="F1601" s="182" t="s">
        <v>2560</v>
      </c>
      <c r="G1601" s="197">
        <f>+H1600</f>
        <v>1</v>
      </c>
      <c r="H1601" s="262" t="s">
        <v>1130</v>
      </c>
    </row>
    <row r="1602" spans="1:8" s="186" customFormat="1" ht="20.100000000000001" customHeight="1">
      <c r="A1602" s="187">
        <v>81</v>
      </c>
      <c r="B1602" s="192" t="s">
        <v>4119</v>
      </c>
      <c r="C1602" s="190">
        <v>1</v>
      </c>
      <c r="D1602" s="190">
        <v>1</v>
      </c>
      <c r="E1602" s="205">
        <v>1</v>
      </c>
      <c r="F1602" s="187"/>
      <c r="G1602" s="193">
        <v>0.8</v>
      </c>
      <c r="H1602" s="205">
        <f>ROUND(PRODUCT(C1602:G1602),2)</f>
        <v>0.8</v>
      </c>
    </row>
    <row r="1603" spans="1:8" s="186" customFormat="1" ht="20.100000000000001" customHeight="1">
      <c r="A1603" s="187"/>
      <c r="B1603" s="192"/>
      <c r="C1603" s="190"/>
      <c r="D1603" s="190"/>
      <c r="E1603" s="205"/>
      <c r="F1603" s="182" t="s">
        <v>2560</v>
      </c>
      <c r="G1603" s="197">
        <f>+H1602</f>
        <v>0.8</v>
      </c>
      <c r="H1603" s="262" t="s">
        <v>1861</v>
      </c>
    </row>
    <row r="1604" spans="1:8" s="297" customFormat="1" ht="20.100000000000001" hidden="1" customHeight="1">
      <c r="A1604" s="286">
        <v>82.1</v>
      </c>
      <c r="B1604" s="283" t="s">
        <v>4120</v>
      </c>
      <c r="C1604" s="284">
        <v>1</v>
      </c>
      <c r="D1604" s="284">
        <v>6</v>
      </c>
      <c r="E1604" s="288"/>
      <c r="F1604" s="286"/>
      <c r="G1604" s="287"/>
      <c r="H1604" s="288">
        <f>ROUND(PRODUCT(C1604:G1604),2)</f>
        <v>6</v>
      </c>
    </row>
    <row r="1605" spans="1:8" s="297" customFormat="1" ht="20.100000000000001" hidden="1" customHeight="1">
      <c r="A1605" s="286"/>
      <c r="B1605" s="283"/>
      <c r="C1605" s="284"/>
      <c r="D1605" s="284"/>
      <c r="E1605" s="288"/>
      <c r="F1605" s="295" t="s">
        <v>2560</v>
      </c>
      <c r="G1605" s="290"/>
      <c r="H1605" s="296" t="s">
        <v>1166</v>
      </c>
    </row>
    <row r="1606" spans="1:8" s="297" customFormat="1" ht="20.100000000000001" hidden="1" customHeight="1">
      <c r="A1606" s="286">
        <v>83</v>
      </c>
      <c r="B1606" s="1019" t="s">
        <v>4121</v>
      </c>
      <c r="C1606" s="1020"/>
      <c r="D1606" s="1020"/>
      <c r="E1606" s="1020"/>
      <c r="F1606" s="1020"/>
      <c r="G1606" s="1021"/>
      <c r="H1606" s="296"/>
    </row>
    <row r="1607" spans="1:8" s="297" customFormat="1" ht="20.100000000000001" hidden="1" customHeight="1">
      <c r="A1607" s="286"/>
      <c r="B1607" s="349" t="s">
        <v>4122</v>
      </c>
      <c r="C1607" s="350">
        <v>1</v>
      </c>
      <c r="D1607" s="350">
        <v>1</v>
      </c>
      <c r="E1607" s="351">
        <v>1</v>
      </c>
      <c r="F1607" s="286"/>
      <c r="G1607" s="287"/>
      <c r="H1607" s="288">
        <f>ROUND(PRODUCT(C1607:G1607),2)</f>
        <v>1</v>
      </c>
    </row>
    <row r="1608" spans="1:8" s="297" customFormat="1" ht="20.100000000000001" hidden="1" customHeight="1">
      <c r="A1608" s="286"/>
      <c r="B1608" s="283"/>
      <c r="C1608" s="284"/>
      <c r="D1608" s="284"/>
      <c r="E1608" s="298"/>
      <c r="F1608" s="295" t="s">
        <v>2560</v>
      </c>
      <c r="G1608" s="290"/>
      <c r="H1608" s="296" t="s">
        <v>453</v>
      </c>
    </row>
    <row r="1609" spans="1:8" s="186" customFormat="1" ht="20.100000000000001" customHeight="1">
      <c r="A1609" s="187">
        <v>87</v>
      </c>
      <c r="B1609" s="192" t="s">
        <v>4123</v>
      </c>
      <c r="C1609" s="190">
        <v>1</v>
      </c>
      <c r="D1609" s="233">
        <v>1</v>
      </c>
      <c r="E1609" s="205"/>
      <c r="F1609" s="187"/>
      <c r="G1609" s="213"/>
      <c r="H1609" s="205">
        <f>ROUND(PRODUCT(C1609:G1609),2)</f>
        <v>1</v>
      </c>
    </row>
    <row r="1610" spans="1:8" s="186" customFormat="1" ht="20.100000000000001" customHeight="1">
      <c r="A1610" s="187"/>
      <c r="B1610" s="192"/>
      <c r="C1610" s="190"/>
      <c r="D1610" s="190"/>
      <c r="E1610" s="205"/>
      <c r="F1610" s="182" t="s">
        <v>2560</v>
      </c>
      <c r="G1610" s="197">
        <f>+H1609</f>
        <v>1</v>
      </c>
      <c r="H1610" s="262" t="s">
        <v>1130</v>
      </c>
    </row>
    <row r="1611" spans="1:8" s="186" customFormat="1" ht="20.100000000000001" customHeight="1">
      <c r="A1611" s="187">
        <v>44.2</v>
      </c>
      <c r="B1611" s="989" t="s">
        <v>4124</v>
      </c>
      <c r="C1611" s="990"/>
      <c r="D1611" s="990"/>
      <c r="E1611" s="990"/>
      <c r="F1611" s="990"/>
      <c r="G1611" s="991"/>
      <c r="H1611" s="205"/>
    </row>
    <row r="1612" spans="1:8" s="186" customFormat="1" ht="20.100000000000001" customHeight="1">
      <c r="A1612" s="187"/>
      <c r="B1612" s="189" t="s">
        <v>4125</v>
      </c>
      <c r="C1612" s="190">
        <v>1</v>
      </c>
      <c r="D1612" s="190">
        <v>1</v>
      </c>
      <c r="E1612" s="247">
        <v>2</v>
      </c>
      <c r="F1612" s="187"/>
      <c r="G1612" s="213"/>
      <c r="H1612" s="205">
        <f>ROUND(PRODUCT(C1612:G1612),2)</f>
        <v>2</v>
      </c>
    </row>
    <row r="1613" spans="1:8" s="186" customFormat="1" ht="20.100000000000001" customHeight="1">
      <c r="A1613" s="187"/>
      <c r="B1613" s="192"/>
      <c r="C1613" s="190"/>
      <c r="D1613" s="190"/>
      <c r="E1613" s="256"/>
      <c r="F1613" s="195" t="s">
        <v>2560</v>
      </c>
      <c r="G1613" s="197">
        <f>H1612</f>
        <v>2</v>
      </c>
      <c r="H1613" s="262" t="s">
        <v>1166</v>
      </c>
    </row>
    <row r="1614" spans="1:8" s="186" customFormat="1" ht="20.100000000000001" customHeight="1">
      <c r="A1614" s="187"/>
      <c r="B1614" s="189" t="s">
        <v>4126</v>
      </c>
      <c r="C1614" s="190">
        <v>1</v>
      </c>
      <c r="D1614" s="233">
        <v>2</v>
      </c>
      <c r="E1614" s="247">
        <v>3</v>
      </c>
      <c r="F1614" s="187"/>
      <c r="G1614" s="193"/>
      <c r="H1614" s="205">
        <f>ROUND(PRODUCT(C1614:G1614),2)</f>
        <v>6</v>
      </c>
    </row>
    <row r="1615" spans="1:8" s="186" customFormat="1" ht="20.100000000000001" customHeight="1">
      <c r="A1615" s="187"/>
      <c r="B1615" s="192"/>
      <c r="C1615" s="190"/>
      <c r="D1615" s="190"/>
      <c r="E1615" s="256"/>
      <c r="F1615" s="195" t="s">
        <v>2560</v>
      </c>
      <c r="G1615" s="197">
        <f>H1614</f>
        <v>6</v>
      </c>
      <c r="H1615" s="262" t="s">
        <v>669</v>
      </c>
    </row>
    <row r="1616" spans="1:8" s="297" customFormat="1" ht="20.100000000000001" hidden="1" customHeight="1">
      <c r="A1616" s="286">
        <v>70.5</v>
      </c>
      <c r="B1616" s="1019" t="s">
        <v>4127</v>
      </c>
      <c r="C1616" s="1020"/>
      <c r="D1616" s="1020"/>
      <c r="E1616" s="1020"/>
      <c r="F1616" s="1020"/>
      <c r="G1616" s="1021"/>
      <c r="H1616" s="296"/>
    </row>
    <row r="1617" spans="1:8" s="313" customFormat="1" ht="20.100000000000001" hidden="1" customHeight="1">
      <c r="A1617" s="295"/>
      <c r="B1617" s="299" t="s">
        <v>3312</v>
      </c>
      <c r="C1617" s="300"/>
      <c r="D1617" s="300"/>
      <c r="E1617" s="288"/>
      <c r="F1617" s="291"/>
      <c r="G1617" s="287"/>
      <c r="H1617" s="288"/>
    </row>
    <row r="1618" spans="1:8" s="313" customFormat="1" ht="20.100000000000001" hidden="1" customHeight="1">
      <c r="A1618" s="295"/>
      <c r="B1618" s="299" t="s">
        <v>4057</v>
      </c>
      <c r="C1618" s="300">
        <v>1</v>
      </c>
      <c r="D1618" s="300">
        <v>8</v>
      </c>
      <c r="E1618" s="288"/>
      <c r="F1618" s="291"/>
      <c r="G1618" s="287"/>
      <c r="H1618" s="288">
        <f t="shared" ref="H1618:H1639" si="49">ROUND(PRODUCT(C1618:G1618),2)</f>
        <v>8</v>
      </c>
    </row>
    <row r="1619" spans="1:8" s="313" customFormat="1" ht="20.100000000000001" hidden="1" customHeight="1">
      <c r="A1619" s="295"/>
      <c r="B1619" s="299" t="s">
        <v>4058</v>
      </c>
      <c r="C1619" s="300">
        <v>1</v>
      </c>
      <c r="D1619" s="300">
        <v>2</v>
      </c>
      <c r="E1619" s="288"/>
      <c r="F1619" s="291"/>
      <c r="G1619" s="287"/>
      <c r="H1619" s="288">
        <f t="shared" si="49"/>
        <v>2</v>
      </c>
    </row>
    <row r="1620" spans="1:8" s="313" customFormat="1" ht="20.100000000000001" hidden="1" customHeight="1">
      <c r="A1620" s="295"/>
      <c r="B1620" s="299" t="s">
        <v>3802</v>
      </c>
      <c r="C1620" s="300">
        <v>1</v>
      </c>
      <c r="D1620" s="300">
        <v>1</v>
      </c>
      <c r="E1620" s="288"/>
      <c r="F1620" s="291"/>
      <c r="G1620" s="287"/>
      <c r="H1620" s="288">
        <f t="shared" si="49"/>
        <v>1</v>
      </c>
    </row>
    <row r="1621" spans="1:8" s="313" customFormat="1" ht="20.100000000000001" hidden="1" customHeight="1">
      <c r="A1621" s="295"/>
      <c r="B1621" s="299" t="s">
        <v>4059</v>
      </c>
      <c r="C1621" s="300">
        <v>1</v>
      </c>
      <c r="D1621" s="300">
        <v>2</v>
      </c>
      <c r="E1621" s="288"/>
      <c r="F1621" s="291"/>
      <c r="G1621" s="287"/>
      <c r="H1621" s="288">
        <f t="shared" si="49"/>
        <v>2</v>
      </c>
    </row>
    <row r="1622" spans="1:8" s="313" customFormat="1" ht="20.100000000000001" hidden="1" customHeight="1">
      <c r="A1622" s="295"/>
      <c r="B1622" s="299" t="s">
        <v>3508</v>
      </c>
      <c r="C1622" s="300">
        <v>1</v>
      </c>
      <c r="D1622" s="300">
        <v>3</v>
      </c>
      <c r="E1622" s="288"/>
      <c r="F1622" s="291"/>
      <c r="G1622" s="287"/>
      <c r="H1622" s="288">
        <f t="shared" si="49"/>
        <v>3</v>
      </c>
    </row>
    <row r="1623" spans="1:8" s="313" customFormat="1" ht="20.100000000000001" hidden="1" customHeight="1">
      <c r="A1623" s="295"/>
      <c r="B1623" s="299" t="s">
        <v>3506</v>
      </c>
      <c r="C1623" s="300">
        <v>1</v>
      </c>
      <c r="D1623" s="300">
        <v>2</v>
      </c>
      <c r="E1623" s="288"/>
      <c r="F1623" s="291"/>
      <c r="G1623" s="287"/>
      <c r="H1623" s="288">
        <f t="shared" si="49"/>
        <v>2</v>
      </c>
    </row>
    <row r="1624" spans="1:8" s="313" customFormat="1" ht="20.100000000000001" hidden="1" customHeight="1">
      <c r="A1624" s="295"/>
      <c r="B1624" s="299" t="s">
        <v>3306</v>
      </c>
      <c r="C1624" s="300"/>
      <c r="D1624" s="300"/>
      <c r="E1624" s="288"/>
      <c r="F1624" s="291"/>
      <c r="G1624" s="287"/>
      <c r="H1624" s="288">
        <f t="shared" si="49"/>
        <v>0</v>
      </c>
    </row>
    <row r="1625" spans="1:8" s="313" customFormat="1" ht="20.100000000000001" hidden="1" customHeight="1">
      <c r="A1625" s="295"/>
      <c r="B1625" s="299" t="s">
        <v>4060</v>
      </c>
      <c r="C1625" s="300">
        <v>1</v>
      </c>
      <c r="D1625" s="300">
        <v>2</v>
      </c>
      <c r="E1625" s="288"/>
      <c r="F1625" s="291"/>
      <c r="G1625" s="287"/>
      <c r="H1625" s="288">
        <f t="shared" si="49"/>
        <v>2</v>
      </c>
    </row>
    <row r="1626" spans="1:8" s="313" customFormat="1" ht="20.100000000000001" hidden="1" customHeight="1">
      <c r="A1626" s="295"/>
      <c r="B1626" s="299" t="s">
        <v>3852</v>
      </c>
      <c r="C1626" s="300">
        <v>1</v>
      </c>
      <c r="D1626" s="300">
        <v>2</v>
      </c>
      <c r="E1626" s="288"/>
      <c r="F1626" s="291"/>
      <c r="G1626" s="287"/>
      <c r="H1626" s="288">
        <f t="shared" si="49"/>
        <v>2</v>
      </c>
    </row>
    <row r="1627" spans="1:8" s="313" customFormat="1" ht="20.100000000000001" hidden="1" customHeight="1">
      <c r="A1627" s="295"/>
      <c r="B1627" s="299" t="s">
        <v>4128</v>
      </c>
      <c r="C1627" s="300">
        <v>1</v>
      </c>
      <c r="D1627" s="300">
        <v>2</v>
      </c>
      <c r="E1627" s="288"/>
      <c r="F1627" s="291"/>
      <c r="G1627" s="287"/>
      <c r="H1627" s="288">
        <f t="shared" si="49"/>
        <v>2</v>
      </c>
    </row>
    <row r="1628" spans="1:8" s="313" customFormat="1" ht="20.100000000000001" hidden="1" customHeight="1">
      <c r="A1628" s="295"/>
      <c r="B1628" s="299" t="s">
        <v>4062</v>
      </c>
      <c r="C1628" s="300">
        <v>1</v>
      </c>
      <c r="D1628" s="300">
        <v>2</v>
      </c>
      <c r="E1628" s="288"/>
      <c r="F1628" s="291"/>
      <c r="G1628" s="287"/>
      <c r="H1628" s="288">
        <f t="shared" si="49"/>
        <v>2</v>
      </c>
    </row>
    <row r="1629" spans="1:8" s="313" customFormat="1" ht="20.100000000000001" hidden="1" customHeight="1">
      <c r="A1629" s="295"/>
      <c r="B1629" s="299" t="s">
        <v>4063</v>
      </c>
      <c r="C1629" s="300">
        <v>1</v>
      </c>
      <c r="D1629" s="300">
        <v>2</v>
      </c>
      <c r="E1629" s="288"/>
      <c r="F1629" s="291"/>
      <c r="G1629" s="287"/>
      <c r="H1629" s="288">
        <f t="shared" si="49"/>
        <v>2</v>
      </c>
    </row>
    <row r="1630" spans="1:8" s="313" customFormat="1" ht="20.100000000000001" hidden="1" customHeight="1">
      <c r="A1630" s="295"/>
      <c r="B1630" s="299" t="s">
        <v>4064</v>
      </c>
      <c r="C1630" s="300">
        <v>1</v>
      </c>
      <c r="D1630" s="300">
        <v>3</v>
      </c>
      <c r="E1630" s="288"/>
      <c r="F1630" s="291"/>
      <c r="G1630" s="287"/>
      <c r="H1630" s="288">
        <f t="shared" si="49"/>
        <v>3</v>
      </c>
    </row>
    <row r="1631" spans="1:8" s="313" customFormat="1" ht="20.100000000000001" hidden="1" customHeight="1">
      <c r="A1631" s="295"/>
      <c r="B1631" s="299" t="s">
        <v>3857</v>
      </c>
      <c r="C1631" s="300">
        <v>1</v>
      </c>
      <c r="D1631" s="300">
        <v>3</v>
      </c>
      <c r="E1631" s="288"/>
      <c r="F1631" s="291"/>
      <c r="G1631" s="287"/>
      <c r="H1631" s="288">
        <f t="shared" si="49"/>
        <v>3</v>
      </c>
    </row>
    <row r="1632" spans="1:8" s="313" customFormat="1" ht="20.100000000000001" hidden="1" customHeight="1">
      <c r="A1632" s="295"/>
      <c r="B1632" s="299" t="s">
        <v>4065</v>
      </c>
      <c r="C1632" s="300"/>
      <c r="D1632" s="300"/>
      <c r="E1632" s="288"/>
      <c r="F1632" s="291"/>
      <c r="G1632" s="287"/>
      <c r="H1632" s="288">
        <f t="shared" si="49"/>
        <v>0</v>
      </c>
    </row>
    <row r="1633" spans="1:8" s="313" customFormat="1" ht="20.100000000000001" hidden="1" customHeight="1">
      <c r="A1633" s="295"/>
      <c r="B1633" s="299" t="s">
        <v>4060</v>
      </c>
      <c r="C1633" s="300">
        <v>1</v>
      </c>
      <c r="D1633" s="300">
        <v>2</v>
      </c>
      <c r="E1633" s="288"/>
      <c r="F1633" s="291"/>
      <c r="G1633" s="287"/>
      <c r="H1633" s="288">
        <f t="shared" si="49"/>
        <v>2</v>
      </c>
    </row>
    <row r="1634" spans="1:8" s="313" customFormat="1" ht="20.100000000000001" hidden="1" customHeight="1">
      <c r="A1634" s="295"/>
      <c r="B1634" s="299" t="s">
        <v>4063</v>
      </c>
      <c r="C1634" s="300">
        <v>1</v>
      </c>
      <c r="D1634" s="300">
        <v>2</v>
      </c>
      <c r="E1634" s="288"/>
      <c r="F1634" s="291"/>
      <c r="G1634" s="287"/>
      <c r="H1634" s="288">
        <f t="shared" si="49"/>
        <v>2</v>
      </c>
    </row>
    <row r="1635" spans="1:8" s="313" customFormat="1" ht="20.100000000000001" hidden="1" customHeight="1">
      <c r="A1635" s="295"/>
      <c r="B1635" s="299" t="s">
        <v>4061</v>
      </c>
      <c r="C1635" s="300">
        <v>1</v>
      </c>
      <c r="D1635" s="300">
        <v>2</v>
      </c>
      <c r="E1635" s="288"/>
      <c r="F1635" s="291"/>
      <c r="G1635" s="287"/>
      <c r="H1635" s="288">
        <f t="shared" si="49"/>
        <v>2</v>
      </c>
    </row>
    <row r="1636" spans="1:8" s="313" customFormat="1" ht="20.100000000000001" hidden="1" customHeight="1">
      <c r="A1636" s="295"/>
      <c r="B1636" s="299" t="s">
        <v>4066</v>
      </c>
      <c r="C1636" s="300">
        <v>1</v>
      </c>
      <c r="D1636" s="300">
        <v>1</v>
      </c>
      <c r="E1636" s="288"/>
      <c r="F1636" s="291"/>
      <c r="G1636" s="287"/>
      <c r="H1636" s="288">
        <f t="shared" si="49"/>
        <v>1</v>
      </c>
    </row>
    <row r="1637" spans="1:8" s="313" customFormat="1" ht="20.100000000000001" hidden="1" customHeight="1">
      <c r="A1637" s="295"/>
      <c r="B1637" s="299" t="s">
        <v>4067</v>
      </c>
      <c r="C1637" s="300">
        <v>3</v>
      </c>
      <c r="D1637" s="300">
        <v>2</v>
      </c>
      <c r="E1637" s="288"/>
      <c r="F1637" s="291"/>
      <c r="G1637" s="287"/>
      <c r="H1637" s="288">
        <f t="shared" si="49"/>
        <v>6</v>
      </c>
    </row>
    <row r="1638" spans="1:8" s="313" customFormat="1" ht="20.100000000000001" hidden="1" customHeight="1">
      <c r="A1638" s="295"/>
      <c r="B1638" s="299" t="s">
        <v>4064</v>
      </c>
      <c r="C1638" s="300">
        <v>1</v>
      </c>
      <c r="D1638" s="300">
        <v>3</v>
      </c>
      <c r="E1638" s="288"/>
      <c r="F1638" s="291"/>
      <c r="G1638" s="287"/>
      <c r="H1638" s="288">
        <f t="shared" si="49"/>
        <v>3</v>
      </c>
    </row>
    <row r="1639" spans="1:8" s="313" customFormat="1" ht="20.100000000000001" hidden="1" customHeight="1">
      <c r="A1639" s="295"/>
      <c r="B1639" s="299" t="s">
        <v>4068</v>
      </c>
      <c r="C1639" s="300">
        <v>1</v>
      </c>
      <c r="D1639" s="300">
        <v>2</v>
      </c>
      <c r="E1639" s="288"/>
      <c r="F1639" s="291"/>
      <c r="G1639" s="287"/>
      <c r="H1639" s="288">
        <f t="shared" si="49"/>
        <v>2</v>
      </c>
    </row>
    <row r="1640" spans="1:8" s="297" customFormat="1" ht="20.100000000000001" hidden="1" customHeight="1">
      <c r="A1640" s="286"/>
      <c r="B1640" s="283"/>
      <c r="C1640" s="284"/>
      <c r="D1640" s="294"/>
      <c r="E1640" s="285"/>
      <c r="F1640" s="286"/>
      <c r="G1640" s="287"/>
      <c r="H1640" s="296">
        <f>SUM(H1618:H1639)</f>
        <v>52</v>
      </c>
    </row>
    <row r="1641" spans="1:8" s="306" customFormat="1" ht="20.100000000000001" hidden="1" customHeight="1">
      <c r="A1641" s="280"/>
      <c r="B1641" s="277"/>
      <c r="C1641" s="278"/>
      <c r="D1641" s="278"/>
      <c r="E1641" s="352"/>
      <c r="F1641" s="280" t="s">
        <v>2560</v>
      </c>
      <c r="G1641" s="304"/>
      <c r="H1641" s="305" t="s">
        <v>1166</v>
      </c>
    </row>
    <row r="1642" spans="1:8" s="186" customFormat="1" ht="34.9" customHeight="1">
      <c r="A1642" s="187">
        <v>71</v>
      </c>
      <c r="B1642" s="192" t="s">
        <v>4129</v>
      </c>
      <c r="C1642" s="190">
        <v>1</v>
      </c>
      <c r="D1642" s="190">
        <v>1</v>
      </c>
      <c r="E1642" s="250"/>
      <c r="F1642" s="187"/>
      <c r="G1642" s="213"/>
      <c r="H1642" s="205">
        <f>ROUND(PRODUCT(C1642:G1642),2)</f>
        <v>1</v>
      </c>
    </row>
    <row r="1643" spans="1:8" s="186" customFormat="1" ht="20.100000000000001" customHeight="1">
      <c r="A1643" s="187"/>
      <c r="B1643" s="192"/>
      <c r="C1643" s="190"/>
      <c r="D1643" s="190"/>
      <c r="E1643" s="256"/>
      <c r="F1643" s="195" t="s">
        <v>2560</v>
      </c>
      <c r="G1643" s="197">
        <f>+H1642</f>
        <v>1</v>
      </c>
      <c r="H1643" s="262" t="s">
        <v>1130</v>
      </c>
    </row>
    <row r="1644" spans="1:8" s="186" customFormat="1" ht="25.15" customHeight="1">
      <c r="A1644" s="187">
        <v>85.1</v>
      </c>
      <c r="B1644" s="192" t="s">
        <v>4130</v>
      </c>
      <c r="C1644" s="190">
        <v>1</v>
      </c>
      <c r="D1644" s="190">
        <v>1</v>
      </c>
      <c r="E1644" s="247">
        <v>5</v>
      </c>
      <c r="F1644" s="187"/>
      <c r="G1644" s="213"/>
      <c r="H1644" s="205">
        <f>ROUND(PRODUCT(C1644:G1644),2)</f>
        <v>5</v>
      </c>
    </row>
    <row r="1645" spans="1:8" s="186" customFormat="1" ht="20.100000000000001" customHeight="1">
      <c r="A1645" s="187"/>
      <c r="B1645" s="192"/>
      <c r="C1645" s="190"/>
      <c r="D1645" s="190"/>
      <c r="E1645" s="205"/>
      <c r="F1645" s="195" t="s">
        <v>2560</v>
      </c>
      <c r="G1645" s="197">
        <f>+H1644</f>
        <v>5</v>
      </c>
      <c r="H1645" s="262" t="s">
        <v>669</v>
      </c>
    </row>
    <row r="1646" spans="1:8" s="186" customFormat="1" ht="19.899999999999999" customHeight="1">
      <c r="A1646" s="187">
        <v>344.2</v>
      </c>
      <c r="B1646" s="989" t="s">
        <v>4131</v>
      </c>
      <c r="C1646" s="990"/>
      <c r="D1646" s="990"/>
      <c r="E1646" s="990"/>
      <c r="F1646" s="990"/>
      <c r="G1646" s="991"/>
      <c r="H1646" s="253"/>
    </row>
    <row r="1647" spans="1:8" s="186" customFormat="1" ht="19.899999999999999" customHeight="1">
      <c r="A1647" s="187"/>
      <c r="B1647" s="192" t="s">
        <v>4008</v>
      </c>
      <c r="C1647" s="190">
        <v>1</v>
      </c>
      <c r="D1647" s="190">
        <v>1</v>
      </c>
      <c r="E1647" s="250"/>
      <c r="F1647" s="187"/>
      <c r="G1647" s="213"/>
      <c r="H1647" s="205">
        <f>ROUND(PRODUCT(C1647:G1647),2)</f>
        <v>1</v>
      </c>
    </row>
    <row r="1648" spans="1:8" s="186" customFormat="1" ht="19.899999999999999" customHeight="1">
      <c r="A1648" s="187"/>
      <c r="B1648" s="192" t="s">
        <v>4009</v>
      </c>
      <c r="C1648" s="190">
        <v>1</v>
      </c>
      <c r="D1648" s="190">
        <v>2</v>
      </c>
      <c r="E1648" s="250"/>
      <c r="F1648" s="187"/>
      <c r="G1648" s="213"/>
      <c r="H1648" s="205">
        <f>ROUND(PRODUCT(C1648:G1648),2)</f>
        <v>2</v>
      </c>
    </row>
    <row r="1649" spans="1:13" s="186" customFormat="1" ht="34.9" customHeight="1">
      <c r="A1649" s="187"/>
      <c r="B1649" s="192" t="s">
        <v>4010</v>
      </c>
      <c r="C1649" s="190">
        <v>1</v>
      </c>
      <c r="D1649" s="190">
        <v>4</v>
      </c>
      <c r="E1649" s="250"/>
      <c r="F1649" s="187"/>
      <c r="G1649" s="213"/>
      <c r="H1649" s="205">
        <f>ROUND(PRODUCT(C1649:G1649),2)</f>
        <v>4</v>
      </c>
    </row>
    <row r="1650" spans="1:13" s="186" customFormat="1" ht="19.899999999999999" customHeight="1">
      <c r="A1650" s="187"/>
      <c r="B1650" s="192"/>
      <c r="C1650" s="190"/>
      <c r="D1650" s="190"/>
      <c r="E1650" s="205"/>
      <c r="F1650" s="187"/>
      <c r="G1650" s="213"/>
      <c r="H1650" s="253">
        <f>SUM(H1647:H1649)</f>
        <v>7</v>
      </c>
    </row>
    <row r="1651" spans="1:13" s="186" customFormat="1" ht="19.899999999999999" customHeight="1">
      <c r="A1651" s="187"/>
      <c r="B1651" s="192"/>
      <c r="C1651" s="190"/>
      <c r="D1651" s="190"/>
      <c r="E1651" s="205"/>
      <c r="F1651" s="195" t="s">
        <v>2560</v>
      </c>
      <c r="G1651" s="197">
        <f>+H1650</f>
        <v>7</v>
      </c>
      <c r="H1651" s="262" t="s">
        <v>1166</v>
      </c>
    </row>
    <row r="1652" spans="1:13" s="186" customFormat="1" ht="19.899999999999999" customHeight="1">
      <c r="A1652" s="214">
        <v>73.099999999999994</v>
      </c>
      <c r="B1652" s="218" t="s">
        <v>4132</v>
      </c>
      <c r="C1652" s="219">
        <v>1</v>
      </c>
      <c r="D1652" s="254">
        <v>2</v>
      </c>
      <c r="E1652" s="205"/>
      <c r="F1652" s="244"/>
      <c r="G1652" s="213"/>
      <c r="H1652" s="205">
        <f>ROUND(PRODUCT(C1652:G1652),2)</f>
        <v>2</v>
      </c>
    </row>
    <row r="1653" spans="1:13" s="186" customFormat="1" ht="19.899999999999999" customHeight="1">
      <c r="A1653" s="244"/>
      <c r="B1653" s="218"/>
      <c r="C1653" s="219"/>
      <c r="D1653" s="219"/>
      <c r="E1653" s="205"/>
      <c r="F1653" s="195" t="s">
        <v>2560</v>
      </c>
      <c r="G1653" s="197">
        <f>+H1652</f>
        <v>2</v>
      </c>
      <c r="H1653" s="262" t="s">
        <v>1166</v>
      </c>
    </row>
    <row r="1654" spans="1:13" s="186" customFormat="1" ht="34.9" customHeight="1">
      <c r="A1654" s="214">
        <v>43.1</v>
      </c>
      <c r="B1654" s="1022" t="s">
        <v>4133</v>
      </c>
      <c r="C1654" s="1023"/>
      <c r="D1654" s="1023"/>
      <c r="E1654" s="1023"/>
      <c r="F1654" s="1023"/>
      <c r="G1654" s="1024"/>
      <c r="H1654" s="253"/>
    </row>
    <row r="1655" spans="1:13" s="186" customFormat="1" ht="19.899999999999999" hidden="1" customHeight="1">
      <c r="A1655" s="214"/>
      <c r="B1655" s="253" t="s">
        <v>4134</v>
      </c>
      <c r="C1655" s="253"/>
      <c r="D1655" s="253"/>
      <c r="E1655" s="253">
        <f>G434</f>
        <v>14.4</v>
      </c>
      <c r="F1655" s="253">
        <v>0.02</v>
      </c>
      <c r="G1655" s="253"/>
      <c r="H1655" s="253">
        <f>E1655*F1655</f>
        <v>0.28999999999999998</v>
      </c>
      <c r="J1655" s="186">
        <v>14.4</v>
      </c>
      <c r="K1655" s="186">
        <v>0.02</v>
      </c>
      <c r="M1655" s="186">
        <v>0.28999999999999998</v>
      </c>
    </row>
    <row r="1656" spans="1:13" s="186" customFormat="1" ht="19.899999999999999" hidden="1" customHeight="1">
      <c r="A1656" s="214"/>
      <c r="B1656" s="253" t="s">
        <v>4135</v>
      </c>
      <c r="C1656" s="253"/>
      <c r="D1656" s="253"/>
      <c r="E1656" s="253">
        <f>G442</f>
        <v>25.2</v>
      </c>
      <c r="F1656" s="253">
        <v>0.02</v>
      </c>
      <c r="G1656" s="253"/>
      <c r="H1656" s="253">
        <f>E1656*F1656</f>
        <v>0.5</v>
      </c>
      <c r="J1656" s="186">
        <v>25.2</v>
      </c>
      <c r="K1656" s="186">
        <v>0.02</v>
      </c>
      <c r="M1656" s="186">
        <v>0.5</v>
      </c>
    </row>
    <row r="1657" spans="1:13" s="186" customFormat="1" ht="19.899999999999999" hidden="1" customHeight="1">
      <c r="A1657" s="214"/>
      <c r="B1657" s="253" t="s">
        <v>4136</v>
      </c>
      <c r="C1657" s="253"/>
      <c r="D1657" s="253"/>
      <c r="E1657" s="253">
        <f>G448</f>
        <v>5.5</v>
      </c>
      <c r="F1657" s="253">
        <v>0.04</v>
      </c>
      <c r="G1657" s="253"/>
      <c r="H1657" s="253">
        <f>E1657*F1657</f>
        <v>0.22</v>
      </c>
      <c r="J1657" s="186">
        <v>5.5</v>
      </c>
      <c r="K1657" s="186">
        <v>0.04</v>
      </c>
      <c r="M1657" s="186">
        <v>0.22</v>
      </c>
    </row>
    <row r="1658" spans="1:13" s="186" customFormat="1" ht="19.899999999999999" hidden="1" customHeight="1">
      <c r="A1658" s="214"/>
      <c r="B1658" s="253" t="s">
        <v>4137</v>
      </c>
      <c r="C1658" s="253"/>
      <c r="D1658" s="253"/>
      <c r="E1658" s="253">
        <f>G456</f>
        <v>3.6</v>
      </c>
      <c r="F1658" s="253">
        <v>0.04</v>
      </c>
      <c r="G1658" s="253"/>
      <c r="H1658" s="253">
        <f>E1658*F1658</f>
        <v>0.14000000000000001</v>
      </c>
      <c r="J1658" s="186">
        <v>3.6</v>
      </c>
      <c r="K1658" s="186">
        <v>0.04</v>
      </c>
      <c r="M1658" s="186">
        <v>0.14000000000000001</v>
      </c>
    </row>
    <row r="1659" spans="1:13" s="186" customFormat="1" ht="19.899999999999999" hidden="1" customHeight="1">
      <c r="A1659" s="214"/>
      <c r="B1659" s="253" t="s">
        <v>4138</v>
      </c>
      <c r="C1659" s="253"/>
      <c r="D1659" s="253"/>
      <c r="E1659" s="253">
        <f>G464</f>
        <v>6.3</v>
      </c>
      <c r="F1659" s="253">
        <v>0.04</v>
      </c>
      <c r="G1659" s="253"/>
      <c r="H1659" s="253">
        <f>E1659*F1659</f>
        <v>0.25</v>
      </c>
      <c r="J1659" s="186">
        <v>6.3</v>
      </c>
      <c r="K1659" s="186">
        <v>0.04</v>
      </c>
      <c r="M1659" s="186">
        <v>0.25</v>
      </c>
    </row>
    <row r="1660" spans="1:13" s="186" customFormat="1" ht="19.899999999999999" hidden="1" customHeight="1">
      <c r="A1660" s="214"/>
      <c r="B1660" s="253" t="s">
        <v>4139</v>
      </c>
      <c r="C1660" s="253"/>
      <c r="D1660" s="253"/>
      <c r="E1660" s="253">
        <f>'[13]UPS Below Basement'!G132</f>
        <v>56.8</v>
      </c>
      <c r="F1660" s="253"/>
      <c r="G1660" s="253"/>
      <c r="H1660" s="253">
        <f>E1660</f>
        <v>56.8</v>
      </c>
      <c r="J1660" s="186">
        <v>57.9</v>
      </c>
      <c r="M1660" s="186">
        <v>57.9</v>
      </c>
    </row>
    <row r="1661" spans="1:13" s="186" customFormat="1" ht="19.899999999999999" hidden="1" customHeight="1">
      <c r="A1661" s="214"/>
      <c r="B1661" s="253" t="s">
        <v>4140</v>
      </c>
      <c r="C1661" s="253"/>
      <c r="D1661" s="253"/>
      <c r="E1661" s="253">
        <f>G62</f>
        <v>59.9</v>
      </c>
      <c r="F1661" s="253"/>
      <c r="G1661" s="253"/>
      <c r="H1661" s="253">
        <f>E1661</f>
        <v>59.9</v>
      </c>
      <c r="J1661" s="186">
        <v>39.9</v>
      </c>
      <c r="M1661" s="186">
        <v>39.9</v>
      </c>
    </row>
    <row r="1662" spans="1:13" s="186" customFormat="1" ht="19.899999999999999" hidden="1" customHeight="1">
      <c r="A1662" s="214"/>
      <c r="B1662" s="253" t="s">
        <v>4141</v>
      </c>
      <c r="C1662" s="253"/>
      <c r="D1662" s="253"/>
      <c r="E1662" s="253">
        <f>G113</f>
        <v>45.8</v>
      </c>
      <c r="F1662" s="253"/>
      <c r="G1662" s="253"/>
      <c r="H1662" s="253">
        <f>E1662</f>
        <v>45.8</v>
      </c>
      <c r="J1662" s="186">
        <v>42.1</v>
      </c>
      <c r="M1662" s="186">
        <v>42.1</v>
      </c>
    </row>
    <row r="1663" spans="1:13" s="186" customFormat="1" ht="19.899999999999999" hidden="1" customHeight="1">
      <c r="A1663" s="214"/>
      <c r="B1663" s="253" t="s">
        <v>4142</v>
      </c>
      <c r="C1663" s="253"/>
      <c r="D1663" s="253"/>
      <c r="E1663" s="253">
        <f>G164</f>
        <v>44.1</v>
      </c>
      <c r="F1663" s="253"/>
      <c r="G1663" s="253"/>
      <c r="H1663" s="253">
        <f>E1663</f>
        <v>44.1</v>
      </c>
      <c r="J1663" s="186">
        <v>44</v>
      </c>
      <c r="M1663" s="186">
        <v>44</v>
      </c>
    </row>
    <row r="1664" spans="1:13" s="186" customFormat="1" ht="19.899999999999999" hidden="1" customHeight="1">
      <c r="A1664" s="214"/>
      <c r="B1664" s="253" t="s">
        <v>4143</v>
      </c>
      <c r="C1664" s="253"/>
      <c r="D1664" s="253"/>
      <c r="E1664" s="253">
        <f>G184</f>
        <v>5.7</v>
      </c>
      <c r="F1664" s="253"/>
      <c r="G1664" s="253"/>
      <c r="H1664" s="253">
        <f>E1664</f>
        <v>5.7</v>
      </c>
      <c r="J1664" s="186">
        <v>5.9</v>
      </c>
      <c r="M1664" s="186">
        <v>5.9</v>
      </c>
    </row>
    <row r="1665" spans="1:13" s="186" customFormat="1" ht="19.899999999999999" hidden="1" customHeight="1">
      <c r="A1665" s="214"/>
      <c r="B1665" s="253"/>
      <c r="C1665" s="253"/>
      <c r="D1665" s="253"/>
      <c r="E1665" s="253"/>
      <c r="F1665" s="253"/>
      <c r="G1665" s="214" t="s">
        <v>1827</v>
      </c>
      <c r="H1665" s="253">
        <f>SUM(H1655:H1664)</f>
        <v>213.7</v>
      </c>
      <c r="M1665" s="186">
        <v>191.2</v>
      </c>
    </row>
    <row r="1666" spans="1:13" s="186" customFormat="1" ht="19.899999999999999" hidden="1" customHeight="1">
      <c r="A1666" s="214"/>
      <c r="B1666" s="253"/>
      <c r="C1666" s="253"/>
      <c r="D1666" s="253"/>
      <c r="E1666" s="253">
        <f>H1665</f>
        <v>213.7</v>
      </c>
      <c r="F1666" s="253">
        <v>110</v>
      </c>
      <c r="G1666" s="218" t="s">
        <v>4144</v>
      </c>
      <c r="H1666" s="253">
        <f>E1666*F1666</f>
        <v>23507</v>
      </c>
      <c r="J1666" s="186">
        <v>191.2</v>
      </c>
      <c r="K1666" s="186">
        <v>110</v>
      </c>
      <c r="M1666" s="186">
        <v>21032</v>
      </c>
    </row>
    <row r="1667" spans="1:13" s="186" customFormat="1" ht="20.100000000000001" hidden="1" customHeight="1">
      <c r="A1667" s="244"/>
      <c r="B1667" s="218"/>
      <c r="C1667" s="245"/>
      <c r="D1667" s="245"/>
      <c r="E1667" s="253"/>
      <c r="F1667" s="195" t="s">
        <v>2560</v>
      </c>
      <c r="G1667" s="255">
        <f>H1666/1000</f>
        <v>23.507000000000001</v>
      </c>
      <c r="H1667" s="262" t="s">
        <v>427</v>
      </c>
      <c r="K1667" s="186" t="s">
        <v>2560</v>
      </c>
      <c r="L1667" s="229">
        <v>21.03</v>
      </c>
      <c r="M1667" s="186" t="s">
        <v>427</v>
      </c>
    </row>
    <row r="1668" spans="1:13" s="186" customFormat="1" ht="20.100000000000001" customHeight="1">
      <c r="A1668" s="244"/>
      <c r="B1668" s="218" t="s">
        <v>4145</v>
      </c>
      <c r="C1668" s="245"/>
      <c r="D1668" s="245"/>
      <c r="E1668" s="253"/>
      <c r="F1668" s="195" t="s">
        <v>4146</v>
      </c>
      <c r="G1668" s="255">
        <v>22.733000000000001</v>
      </c>
      <c r="H1668" s="262" t="s">
        <v>427</v>
      </c>
      <c r="L1668" s="229"/>
    </row>
    <row r="1669" spans="1:13" s="186" customFormat="1" ht="19.899999999999999" customHeight="1">
      <c r="A1669" s="187">
        <v>18.100000000000001</v>
      </c>
      <c r="B1669" s="192" t="s">
        <v>4147</v>
      </c>
      <c r="C1669" s="190"/>
      <c r="D1669" s="190"/>
      <c r="E1669" s="256"/>
      <c r="F1669" s="187"/>
      <c r="G1669" s="213"/>
      <c r="H1669" s="205"/>
    </row>
    <row r="1670" spans="1:13" s="186" customFormat="1" ht="34.9" customHeight="1">
      <c r="A1670" s="186" t="s">
        <v>2016</v>
      </c>
      <c r="B1670" s="1010" t="s">
        <v>4148</v>
      </c>
      <c r="C1670" s="1011"/>
      <c r="D1670" s="1011"/>
      <c r="E1670" s="1011"/>
      <c r="F1670" s="1011"/>
      <c r="G1670" s="1012"/>
      <c r="H1670" s="205"/>
    </row>
    <row r="1671" spans="1:13" s="186" customFormat="1" ht="20.100000000000001" customHeight="1">
      <c r="A1671" s="244"/>
      <c r="B1671" s="216" t="s">
        <v>4149</v>
      </c>
      <c r="C1671" s="245"/>
      <c r="D1671" s="245"/>
      <c r="E1671" s="204"/>
      <c r="F1671" s="193"/>
      <c r="G1671" s="213"/>
      <c r="H1671" s="205"/>
    </row>
    <row r="1672" spans="1:13" s="186" customFormat="1" ht="20.100000000000001" customHeight="1">
      <c r="A1672" s="244"/>
      <c r="B1672" s="192" t="s">
        <v>4150</v>
      </c>
      <c r="C1672" s="219"/>
      <c r="D1672" s="219"/>
      <c r="E1672" s="193"/>
      <c r="F1672" s="193"/>
      <c r="G1672" s="213"/>
      <c r="H1672" s="194"/>
      <c r="I1672" s="225"/>
    </row>
    <row r="1673" spans="1:13" s="186" customFormat="1" ht="20.100000000000001" customHeight="1">
      <c r="A1673" s="244"/>
      <c r="B1673" s="218" t="s">
        <v>3642</v>
      </c>
      <c r="C1673" s="219">
        <v>1</v>
      </c>
      <c r="D1673" s="219">
        <v>2</v>
      </c>
      <c r="E1673" s="193">
        <v>1.81</v>
      </c>
      <c r="F1673" s="193"/>
      <c r="G1673" s="193">
        <v>0.05</v>
      </c>
      <c r="H1673" s="194">
        <f>PRODUCT(C1673:G1673)</f>
        <v>0.18</v>
      </c>
      <c r="I1673" s="225"/>
    </row>
    <row r="1674" spans="1:13" s="186" customFormat="1" ht="20.100000000000001" customHeight="1">
      <c r="A1674" s="187"/>
      <c r="B1674" s="218" t="s">
        <v>3606</v>
      </c>
      <c r="C1674" s="219">
        <v>2</v>
      </c>
      <c r="D1674" s="219">
        <v>1</v>
      </c>
      <c r="E1674" s="193">
        <v>2.2599999999999998</v>
      </c>
      <c r="F1674" s="193"/>
      <c r="G1674" s="193">
        <v>0.05</v>
      </c>
      <c r="H1674" s="194">
        <f t="shared" ref="H1674:H1738" si="50">PRODUCT(C1674:G1674)</f>
        <v>0.23</v>
      </c>
    </row>
    <row r="1675" spans="1:13" s="228" customFormat="1" ht="20.100000000000001" customHeight="1">
      <c r="A1675" s="187"/>
      <c r="B1675" s="218" t="s">
        <v>3605</v>
      </c>
      <c r="C1675" s="219">
        <v>2</v>
      </c>
      <c r="D1675" s="219">
        <v>2</v>
      </c>
      <c r="E1675" s="193">
        <v>1.96</v>
      </c>
      <c r="F1675" s="193"/>
      <c r="G1675" s="193">
        <v>0.05</v>
      </c>
      <c r="H1675" s="194">
        <f t="shared" si="50"/>
        <v>0.39</v>
      </c>
    </row>
    <row r="1676" spans="1:13" s="228" customFormat="1" ht="20.100000000000001" customHeight="1">
      <c r="A1676" s="187"/>
      <c r="B1676" s="218" t="s">
        <v>3607</v>
      </c>
      <c r="C1676" s="219">
        <v>2</v>
      </c>
      <c r="D1676" s="219">
        <v>1</v>
      </c>
      <c r="E1676" s="193">
        <v>1.51</v>
      </c>
      <c r="F1676" s="193"/>
      <c r="G1676" s="193">
        <v>0.05</v>
      </c>
      <c r="H1676" s="194">
        <f t="shared" si="50"/>
        <v>0.15</v>
      </c>
    </row>
    <row r="1677" spans="1:13" s="228" customFormat="1" ht="20.100000000000001" customHeight="1">
      <c r="A1677" s="187"/>
      <c r="B1677" s="216" t="s">
        <v>3608</v>
      </c>
      <c r="C1677" s="219"/>
      <c r="D1677" s="219"/>
      <c r="E1677" s="193"/>
      <c r="F1677" s="193"/>
      <c r="G1677" s="213"/>
      <c r="H1677" s="194">
        <f t="shared" si="50"/>
        <v>0</v>
      </c>
    </row>
    <row r="1678" spans="1:13" s="186" customFormat="1" ht="20.100000000000001" customHeight="1">
      <c r="A1678" s="187"/>
      <c r="B1678" s="218" t="s">
        <v>3604</v>
      </c>
      <c r="C1678" s="219">
        <v>2</v>
      </c>
      <c r="D1678" s="219">
        <v>2</v>
      </c>
      <c r="E1678" s="193">
        <v>1.81</v>
      </c>
      <c r="F1678" s="193"/>
      <c r="G1678" s="193">
        <v>0.15</v>
      </c>
      <c r="H1678" s="194">
        <f t="shared" ref="H1678:H1686" si="51">ROUND(PRODUCT(C1678:G1678),2)</f>
        <v>1.0900000000000001</v>
      </c>
    </row>
    <row r="1679" spans="1:13" s="186" customFormat="1" ht="20.100000000000001" customHeight="1">
      <c r="A1679" s="187"/>
      <c r="B1679" s="218" t="s">
        <v>3605</v>
      </c>
      <c r="C1679" s="219">
        <v>2</v>
      </c>
      <c r="D1679" s="219">
        <v>2</v>
      </c>
      <c r="E1679" s="193">
        <v>1.96</v>
      </c>
      <c r="F1679" s="193"/>
      <c r="G1679" s="193">
        <v>0.15</v>
      </c>
      <c r="H1679" s="194">
        <f t="shared" si="51"/>
        <v>1.18</v>
      </c>
    </row>
    <row r="1680" spans="1:13" s="186" customFormat="1" ht="20.100000000000001" customHeight="1">
      <c r="A1680" s="187"/>
      <c r="B1680" s="218" t="s">
        <v>3606</v>
      </c>
      <c r="C1680" s="219">
        <v>2</v>
      </c>
      <c r="D1680" s="219">
        <v>1</v>
      </c>
      <c r="E1680" s="193">
        <v>2.2599999999999998</v>
      </c>
      <c r="F1680" s="193"/>
      <c r="G1680" s="193">
        <v>0.15</v>
      </c>
      <c r="H1680" s="194">
        <f t="shared" si="51"/>
        <v>0.68</v>
      </c>
    </row>
    <row r="1681" spans="1:9" s="186" customFormat="1" ht="20.100000000000001" customHeight="1">
      <c r="A1681" s="187"/>
      <c r="B1681" s="218" t="s">
        <v>3607</v>
      </c>
      <c r="C1681" s="219">
        <v>2</v>
      </c>
      <c r="D1681" s="219">
        <v>1</v>
      </c>
      <c r="E1681" s="193">
        <v>1.51</v>
      </c>
      <c r="F1681" s="193"/>
      <c r="G1681" s="193">
        <v>0.15</v>
      </c>
      <c r="H1681" s="194">
        <f t="shared" si="51"/>
        <v>0.45</v>
      </c>
    </row>
    <row r="1682" spans="1:9" s="186" customFormat="1" ht="20.100000000000001" customHeight="1">
      <c r="A1682" s="187"/>
      <c r="B1682" s="218" t="s">
        <v>3609</v>
      </c>
      <c r="C1682" s="219">
        <v>2</v>
      </c>
      <c r="D1682" s="219">
        <v>1</v>
      </c>
      <c r="E1682" s="193">
        <v>2.1</v>
      </c>
      <c r="F1682" s="193"/>
      <c r="G1682" s="193">
        <v>0.15</v>
      </c>
      <c r="H1682" s="194">
        <f t="shared" si="51"/>
        <v>0.63</v>
      </c>
    </row>
    <row r="1683" spans="1:9" s="186" customFormat="1" ht="20.100000000000001" customHeight="1">
      <c r="A1683" s="187"/>
      <c r="B1683" s="218" t="s">
        <v>3483</v>
      </c>
      <c r="C1683" s="219">
        <v>2</v>
      </c>
      <c r="D1683" s="219">
        <v>2</v>
      </c>
      <c r="E1683" s="193">
        <v>1.46</v>
      </c>
      <c r="F1683" s="193"/>
      <c r="G1683" s="193">
        <v>0.15</v>
      </c>
      <c r="H1683" s="194">
        <f t="shared" si="51"/>
        <v>0.88</v>
      </c>
    </row>
    <row r="1684" spans="1:9" s="186" customFormat="1" ht="20.100000000000001" customHeight="1">
      <c r="A1684" s="187"/>
      <c r="B1684" s="218" t="s">
        <v>3610</v>
      </c>
      <c r="C1684" s="219">
        <v>2</v>
      </c>
      <c r="D1684" s="219">
        <v>1</v>
      </c>
      <c r="E1684" s="193">
        <v>1.21</v>
      </c>
      <c r="F1684" s="193"/>
      <c r="G1684" s="193">
        <v>0.15</v>
      </c>
      <c r="H1684" s="194">
        <f t="shared" si="51"/>
        <v>0.36</v>
      </c>
    </row>
    <row r="1685" spans="1:9" s="186" customFormat="1" ht="20.100000000000001" customHeight="1">
      <c r="A1685" s="187"/>
      <c r="B1685" s="218" t="s">
        <v>3611</v>
      </c>
      <c r="C1685" s="219">
        <v>2</v>
      </c>
      <c r="D1685" s="219">
        <v>1</v>
      </c>
      <c r="E1685" s="193">
        <v>1.21</v>
      </c>
      <c r="F1685" s="193"/>
      <c r="G1685" s="193">
        <v>0.15</v>
      </c>
      <c r="H1685" s="194">
        <f t="shared" si="51"/>
        <v>0.36</v>
      </c>
    </row>
    <row r="1686" spans="1:9" s="186" customFormat="1" ht="20.100000000000001" customHeight="1">
      <c r="A1686" s="187"/>
      <c r="B1686" s="218" t="s">
        <v>3612</v>
      </c>
      <c r="C1686" s="219">
        <v>1</v>
      </c>
      <c r="D1686" s="219">
        <v>1</v>
      </c>
      <c r="E1686" s="193">
        <v>4.3499999999999996</v>
      </c>
      <c r="F1686" s="193"/>
      <c r="G1686" s="193">
        <v>0.6</v>
      </c>
      <c r="H1686" s="194">
        <f t="shared" si="51"/>
        <v>2.61</v>
      </c>
    </row>
    <row r="1687" spans="1:9" s="228" customFormat="1" ht="20.100000000000001" customHeight="1">
      <c r="A1687" s="187"/>
      <c r="B1687" s="189" t="s">
        <v>4151</v>
      </c>
      <c r="C1687" s="190"/>
      <c r="D1687" s="190"/>
      <c r="E1687" s="187"/>
      <c r="F1687" s="187"/>
      <c r="G1687" s="213"/>
      <c r="H1687" s="194">
        <f t="shared" si="50"/>
        <v>0</v>
      </c>
    </row>
    <row r="1688" spans="1:9" s="228" customFormat="1" ht="20.100000000000001" customHeight="1">
      <c r="A1688" s="187"/>
      <c r="B1688" s="192" t="s">
        <v>3609</v>
      </c>
      <c r="C1688" s="190">
        <v>1</v>
      </c>
      <c r="D1688" s="190">
        <v>1</v>
      </c>
      <c r="E1688" s="194">
        <v>1.8</v>
      </c>
      <c r="F1688" s="194">
        <v>0.23</v>
      </c>
      <c r="G1688" s="213"/>
      <c r="H1688" s="194">
        <f t="shared" si="50"/>
        <v>0.41</v>
      </c>
    </row>
    <row r="1689" spans="1:9" s="228" customFormat="1" ht="20.100000000000001" customHeight="1">
      <c r="A1689" s="187"/>
      <c r="B1689" s="192" t="s">
        <v>3893</v>
      </c>
      <c r="C1689" s="190">
        <v>1</v>
      </c>
      <c r="D1689" s="190">
        <v>1</v>
      </c>
      <c r="E1689" s="194">
        <v>1.2</v>
      </c>
      <c r="F1689" s="194">
        <v>0.23</v>
      </c>
      <c r="G1689" s="213"/>
      <c r="H1689" s="194">
        <f t="shared" si="50"/>
        <v>0.28000000000000003</v>
      </c>
    </row>
    <row r="1690" spans="1:9" s="228" customFormat="1" ht="20.100000000000001" customHeight="1">
      <c r="A1690" s="187"/>
      <c r="B1690" s="192" t="s">
        <v>3611</v>
      </c>
      <c r="C1690" s="190">
        <v>1</v>
      </c>
      <c r="D1690" s="190">
        <v>2</v>
      </c>
      <c r="E1690" s="194">
        <v>0.75</v>
      </c>
      <c r="F1690" s="264">
        <v>0.115</v>
      </c>
      <c r="G1690" s="213"/>
      <c r="H1690" s="194">
        <f t="shared" si="50"/>
        <v>0.17</v>
      </c>
    </row>
    <row r="1691" spans="1:9" s="228" customFormat="1" ht="20.100000000000001" customHeight="1">
      <c r="A1691" s="187"/>
      <c r="B1691" s="192" t="s">
        <v>3483</v>
      </c>
      <c r="C1691" s="190">
        <v>1</v>
      </c>
      <c r="D1691" s="190">
        <v>2</v>
      </c>
      <c r="E1691" s="194">
        <v>1</v>
      </c>
      <c r="F1691" s="194">
        <v>0.23</v>
      </c>
      <c r="G1691" s="213"/>
      <c r="H1691" s="194">
        <f t="shared" si="50"/>
        <v>0.46</v>
      </c>
    </row>
    <row r="1692" spans="1:9" s="228" customFormat="1" ht="20.100000000000001" customHeight="1">
      <c r="A1692" s="187"/>
      <c r="B1692" s="192" t="s">
        <v>3610</v>
      </c>
      <c r="C1692" s="190">
        <v>1</v>
      </c>
      <c r="D1692" s="190">
        <v>1</v>
      </c>
      <c r="E1692" s="194">
        <v>0.75</v>
      </c>
      <c r="F1692" s="264">
        <v>0.115</v>
      </c>
      <c r="G1692" s="213"/>
      <c r="H1692" s="194">
        <f t="shared" si="50"/>
        <v>0.09</v>
      </c>
    </row>
    <row r="1693" spans="1:9" s="228" customFormat="1" ht="20.100000000000001" customHeight="1">
      <c r="A1693" s="187"/>
      <c r="B1693" s="192" t="s">
        <v>3642</v>
      </c>
      <c r="C1693" s="190">
        <v>1</v>
      </c>
      <c r="D1693" s="190">
        <v>2</v>
      </c>
      <c r="E1693" s="194">
        <v>1.35</v>
      </c>
      <c r="F1693" s="194">
        <v>0.23</v>
      </c>
      <c r="G1693" s="213"/>
      <c r="H1693" s="194">
        <f t="shared" si="50"/>
        <v>0.62</v>
      </c>
    </row>
    <row r="1694" spans="1:9" s="186" customFormat="1" ht="20.100000000000001" customHeight="1">
      <c r="A1694" s="244"/>
      <c r="B1694" s="192" t="s">
        <v>3606</v>
      </c>
      <c r="C1694" s="190">
        <v>1</v>
      </c>
      <c r="D1694" s="190">
        <v>1</v>
      </c>
      <c r="E1694" s="194">
        <v>1.8</v>
      </c>
      <c r="F1694" s="194">
        <v>0.23</v>
      </c>
      <c r="G1694" s="213"/>
      <c r="H1694" s="194">
        <f t="shared" si="50"/>
        <v>0.41</v>
      </c>
      <c r="I1694" s="225"/>
    </row>
    <row r="1695" spans="1:9" s="186" customFormat="1" ht="20.100000000000001" customHeight="1">
      <c r="A1695" s="244"/>
      <c r="B1695" s="192" t="s">
        <v>3605</v>
      </c>
      <c r="C1695" s="190">
        <v>1</v>
      </c>
      <c r="D1695" s="190">
        <v>2</v>
      </c>
      <c r="E1695" s="194">
        <v>1.5</v>
      </c>
      <c r="F1695" s="194">
        <v>0.23</v>
      </c>
      <c r="G1695" s="213"/>
      <c r="H1695" s="194">
        <f t="shared" si="50"/>
        <v>0.69</v>
      </c>
      <c r="I1695" s="225"/>
    </row>
    <row r="1696" spans="1:9" s="186" customFormat="1" ht="20.100000000000001" customHeight="1">
      <c r="A1696" s="244"/>
      <c r="B1696" s="192" t="s">
        <v>3607</v>
      </c>
      <c r="C1696" s="190">
        <v>1</v>
      </c>
      <c r="D1696" s="190">
        <v>1</v>
      </c>
      <c r="E1696" s="194">
        <v>1.05</v>
      </c>
      <c r="F1696" s="194">
        <v>0.23</v>
      </c>
      <c r="G1696" s="213"/>
      <c r="H1696" s="194">
        <f t="shared" si="50"/>
        <v>0.24</v>
      </c>
      <c r="I1696" s="225"/>
    </row>
    <row r="1697" spans="1:9" s="186" customFormat="1" ht="20.100000000000001" customHeight="1">
      <c r="A1697" s="244"/>
      <c r="B1697" s="192" t="s">
        <v>3894</v>
      </c>
      <c r="C1697" s="190">
        <v>1</v>
      </c>
      <c r="D1697" s="190">
        <v>3</v>
      </c>
      <c r="E1697" s="194">
        <v>0.9</v>
      </c>
      <c r="F1697" s="194">
        <v>0.23</v>
      </c>
      <c r="G1697" s="213"/>
      <c r="H1697" s="194">
        <f t="shared" si="50"/>
        <v>0.62</v>
      </c>
      <c r="I1697" s="225"/>
    </row>
    <row r="1698" spans="1:9" s="186" customFormat="1" ht="20.100000000000001" customHeight="1">
      <c r="A1698" s="244"/>
      <c r="B1698" s="189" t="s">
        <v>3296</v>
      </c>
      <c r="C1698" s="219"/>
      <c r="D1698" s="219"/>
      <c r="E1698" s="193"/>
      <c r="F1698" s="193"/>
      <c r="G1698" s="213"/>
      <c r="H1698" s="194">
        <f t="shared" si="50"/>
        <v>0</v>
      </c>
      <c r="I1698" s="225"/>
    </row>
    <row r="1699" spans="1:9" s="186" customFormat="1" ht="20.100000000000001" customHeight="1">
      <c r="A1699" s="244"/>
      <c r="B1699" s="192" t="s">
        <v>4152</v>
      </c>
      <c r="C1699" s="190">
        <v>1</v>
      </c>
      <c r="D1699" s="190">
        <v>1</v>
      </c>
      <c r="E1699" s="187">
        <v>3.8460000000000001</v>
      </c>
      <c r="F1699" s="194">
        <v>1.2</v>
      </c>
      <c r="G1699" s="213"/>
      <c r="H1699" s="194">
        <f t="shared" si="50"/>
        <v>4.62</v>
      </c>
      <c r="I1699" s="225"/>
    </row>
    <row r="1700" spans="1:9" s="186" customFormat="1" ht="20.100000000000001" customHeight="1">
      <c r="A1700" s="244"/>
      <c r="B1700" s="192" t="s">
        <v>4153</v>
      </c>
      <c r="C1700" s="190">
        <v>1</v>
      </c>
      <c r="D1700" s="190">
        <v>1</v>
      </c>
      <c r="E1700" s="187">
        <v>3.8460000000000001</v>
      </c>
      <c r="F1700" s="194"/>
      <c r="G1700" s="193">
        <v>0.15</v>
      </c>
      <c r="H1700" s="194">
        <f t="shared" si="50"/>
        <v>0.57999999999999996</v>
      </c>
      <c r="I1700" s="225"/>
    </row>
    <row r="1701" spans="1:9" s="186" customFormat="1" ht="20.100000000000001" customHeight="1">
      <c r="A1701" s="244"/>
      <c r="B1701" s="192" t="s">
        <v>4154</v>
      </c>
      <c r="C1701" s="190">
        <v>1</v>
      </c>
      <c r="D1701" s="190">
        <v>1</v>
      </c>
      <c r="E1701" s="194">
        <v>2.46</v>
      </c>
      <c r="F1701" s="194">
        <v>1.71</v>
      </c>
      <c r="G1701" s="213"/>
      <c r="H1701" s="194">
        <f t="shared" si="50"/>
        <v>4.21</v>
      </c>
      <c r="I1701" s="225"/>
    </row>
    <row r="1702" spans="1:9" s="186" customFormat="1" ht="20.100000000000001" customHeight="1">
      <c r="A1702" s="244"/>
      <c r="B1702" s="192" t="s">
        <v>4155</v>
      </c>
      <c r="C1702" s="190">
        <v>1</v>
      </c>
      <c r="D1702" s="190">
        <v>1</v>
      </c>
      <c r="E1702" s="194">
        <v>2.46</v>
      </c>
      <c r="F1702" s="194"/>
      <c r="G1702" s="193">
        <v>0.3</v>
      </c>
      <c r="H1702" s="194">
        <f t="shared" si="50"/>
        <v>0.74</v>
      </c>
      <c r="I1702" s="225"/>
    </row>
    <row r="1703" spans="1:9" s="186" customFormat="1" ht="20.100000000000001" customHeight="1">
      <c r="A1703" s="244"/>
      <c r="B1703" s="192" t="s">
        <v>4156</v>
      </c>
      <c r="C1703" s="190">
        <v>1</v>
      </c>
      <c r="D1703" s="190">
        <v>1</v>
      </c>
      <c r="E1703" s="194">
        <v>2.4</v>
      </c>
      <c r="F1703" s="194"/>
      <c r="G1703" s="193">
        <f>0.3-0.15</f>
        <v>0.15</v>
      </c>
      <c r="H1703" s="194">
        <f t="shared" si="50"/>
        <v>0.36</v>
      </c>
      <c r="I1703" s="225"/>
    </row>
    <row r="1704" spans="1:9" s="186" customFormat="1" ht="20.100000000000001" customHeight="1">
      <c r="A1704" s="244"/>
      <c r="B1704" s="192" t="s">
        <v>4157</v>
      </c>
      <c r="C1704" s="190">
        <v>0.5</v>
      </c>
      <c r="D1704" s="190">
        <v>11</v>
      </c>
      <c r="E1704" s="194"/>
      <c r="F1704" s="194">
        <v>0.3</v>
      </c>
      <c r="G1704" s="213">
        <v>0.157</v>
      </c>
      <c r="H1704" s="194">
        <f t="shared" si="50"/>
        <v>0.26</v>
      </c>
      <c r="I1704" s="225"/>
    </row>
    <row r="1705" spans="1:9" s="186" customFormat="1" ht="20.100000000000001" customHeight="1">
      <c r="A1705" s="244"/>
      <c r="B1705" s="192" t="s">
        <v>4158</v>
      </c>
      <c r="C1705" s="190">
        <v>1</v>
      </c>
      <c r="D1705" s="190">
        <v>11</v>
      </c>
      <c r="E1705" s="194">
        <v>1.2</v>
      </c>
      <c r="F1705" s="194"/>
      <c r="G1705" s="213">
        <v>0.157</v>
      </c>
      <c r="H1705" s="194">
        <f t="shared" si="50"/>
        <v>2.0699999999999998</v>
      </c>
      <c r="I1705" s="225"/>
    </row>
    <row r="1706" spans="1:9" s="186" customFormat="1" ht="20.100000000000001" customHeight="1">
      <c r="A1706" s="244"/>
      <c r="B1706" s="189" t="s">
        <v>4159</v>
      </c>
      <c r="C1706" s="190">
        <v>1</v>
      </c>
      <c r="D1706" s="190">
        <v>1</v>
      </c>
      <c r="E1706" s="187">
        <v>3.048</v>
      </c>
      <c r="F1706" s="194">
        <v>1.2</v>
      </c>
      <c r="G1706" s="213">
        <f>+G1699</f>
        <v>0</v>
      </c>
      <c r="H1706" s="194">
        <f t="shared" si="50"/>
        <v>0</v>
      </c>
      <c r="I1706" s="225"/>
    </row>
    <row r="1707" spans="1:9" s="186" customFormat="1" ht="20.100000000000001" customHeight="1">
      <c r="A1707" s="244"/>
      <c r="B1707" s="192" t="s">
        <v>4160</v>
      </c>
      <c r="C1707" s="190">
        <v>1</v>
      </c>
      <c r="D1707" s="190">
        <v>1</v>
      </c>
      <c r="E1707" s="187">
        <v>3.048</v>
      </c>
      <c r="F1707" s="194"/>
      <c r="G1707" s="193">
        <f>+G1700</f>
        <v>0.15</v>
      </c>
      <c r="H1707" s="194">
        <f t="shared" si="50"/>
        <v>0.46</v>
      </c>
      <c r="I1707" s="225"/>
    </row>
    <row r="1708" spans="1:9" s="186" customFormat="1" ht="20.100000000000001" customHeight="1">
      <c r="A1708" s="244"/>
      <c r="B1708" s="192" t="s">
        <v>4157</v>
      </c>
      <c r="C1708" s="190">
        <v>0.5</v>
      </c>
      <c r="D1708" s="190">
        <v>9</v>
      </c>
      <c r="E1708" s="194"/>
      <c r="F1708" s="194">
        <v>0.3</v>
      </c>
      <c r="G1708" s="213">
        <v>0.157</v>
      </c>
      <c r="H1708" s="194">
        <f t="shared" si="50"/>
        <v>0.21</v>
      </c>
      <c r="I1708" s="225"/>
    </row>
    <row r="1709" spans="1:9" s="186" customFormat="1" ht="20.100000000000001" customHeight="1">
      <c r="A1709" s="244"/>
      <c r="B1709" s="192" t="s">
        <v>4158</v>
      </c>
      <c r="C1709" s="190">
        <v>1</v>
      </c>
      <c r="D1709" s="190">
        <v>9</v>
      </c>
      <c r="E1709" s="194">
        <v>1.2</v>
      </c>
      <c r="F1709" s="194"/>
      <c r="G1709" s="213">
        <v>0.157</v>
      </c>
      <c r="H1709" s="194">
        <f t="shared" si="50"/>
        <v>1.7</v>
      </c>
      <c r="I1709" s="225"/>
    </row>
    <row r="1710" spans="1:9" s="186" customFormat="1" ht="20.100000000000001" customHeight="1">
      <c r="A1710" s="244"/>
      <c r="B1710" s="192" t="s">
        <v>4956</v>
      </c>
      <c r="C1710" s="190">
        <v>1</v>
      </c>
      <c r="D1710" s="190">
        <v>1</v>
      </c>
      <c r="E1710" s="194">
        <v>53.8</v>
      </c>
      <c r="F1710" s="194"/>
      <c r="G1710" s="213">
        <v>0.1</v>
      </c>
      <c r="H1710" s="194">
        <f t="shared" si="50"/>
        <v>5.38</v>
      </c>
      <c r="I1710" s="225"/>
    </row>
    <row r="1711" spans="1:9" s="228" customFormat="1" ht="20.100000000000001" customHeight="1">
      <c r="A1711" s="187"/>
      <c r="B1711" s="216" t="s">
        <v>3620</v>
      </c>
      <c r="C1711" s="219"/>
      <c r="D1711" s="219"/>
      <c r="E1711" s="193"/>
      <c r="F1711" s="193"/>
      <c r="G1711" s="213"/>
      <c r="H1711" s="194">
        <f t="shared" si="50"/>
        <v>0</v>
      </c>
    </row>
    <row r="1712" spans="1:9" s="228" customFormat="1" ht="20.100000000000001" customHeight="1">
      <c r="A1712" s="187"/>
      <c r="B1712" s="218" t="s">
        <v>4161</v>
      </c>
      <c r="C1712" s="219">
        <v>1</v>
      </c>
      <c r="D1712" s="219">
        <v>1</v>
      </c>
      <c r="E1712" s="193">
        <v>53.8</v>
      </c>
      <c r="F1712" s="193"/>
      <c r="G1712" s="193">
        <v>0.38</v>
      </c>
      <c r="H1712" s="194">
        <f t="shared" si="50"/>
        <v>20.440000000000001</v>
      </c>
    </row>
    <row r="1713" spans="1:9" s="228" customFormat="1" ht="20.100000000000001" customHeight="1">
      <c r="A1713" s="187"/>
      <c r="B1713" s="218" t="s">
        <v>4162</v>
      </c>
      <c r="C1713" s="219">
        <v>1</v>
      </c>
      <c r="D1713" s="219">
        <v>1</v>
      </c>
      <c r="E1713" s="193">
        <v>14.95</v>
      </c>
      <c r="F1713" s="193"/>
      <c r="G1713" s="193">
        <v>7.0000000000000007E-2</v>
      </c>
      <c r="H1713" s="194">
        <f t="shared" si="50"/>
        <v>1.05</v>
      </c>
    </row>
    <row r="1714" spans="1:9" s="228" customFormat="1" ht="20.100000000000001" customHeight="1">
      <c r="A1714" s="187"/>
      <c r="B1714" s="218" t="s">
        <v>3532</v>
      </c>
      <c r="C1714" s="219">
        <v>1</v>
      </c>
      <c r="D1714" s="219">
        <v>1</v>
      </c>
      <c r="E1714" s="193">
        <v>14.95</v>
      </c>
      <c r="F1714" s="193"/>
      <c r="G1714" s="193">
        <v>0.22</v>
      </c>
      <c r="H1714" s="194">
        <f t="shared" si="50"/>
        <v>3.29</v>
      </c>
    </row>
    <row r="1715" spans="1:9" s="228" customFormat="1" ht="20.100000000000001" customHeight="1">
      <c r="A1715" s="187"/>
      <c r="B1715" s="192" t="s">
        <v>4163</v>
      </c>
      <c r="C1715" s="190">
        <v>1</v>
      </c>
      <c r="D1715" s="190">
        <v>1</v>
      </c>
      <c r="E1715" s="194">
        <v>10.199999999999999</v>
      </c>
      <c r="F1715" s="187"/>
      <c r="G1715" s="213">
        <v>0.255</v>
      </c>
      <c r="H1715" s="194">
        <f t="shared" si="50"/>
        <v>2.6</v>
      </c>
    </row>
    <row r="1716" spans="1:9" s="228" customFormat="1" ht="20.100000000000001" customHeight="1">
      <c r="A1716" s="187"/>
      <c r="B1716" s="192" t="s">
        <v>3532</v>
      </c>
      <c r="C1716" s="190">
        <v>1</v>
      </c>
      <c r="D1716" s="190">
        <v>2</v>
      </c>
      <c r="E1716" s="194">
        <v>3</v>
      </c>
      <c r="F1716" s="187"/>
      <c r="G1716" s="193">
        <v>7.0000000000000007E-2</v>
      </c>
      <c r="H1716" s="194">
        <f t="shared" si="50"/>
        <v>0.42</v>
      </c>
    </row>
    <row r="1717" spans="1:9" s="228" customFormat="1" ht="20.100000000000001" customHeight="1">
      <c r="A1717" s="187"/>
      <c r="B1717" s="192" t="s">
        <v>3821</v>
      </c>
      <c r="C1717" s="190">
        <v>1</v>
      </c>
      <c r="D1717" s="190">
        <v>1</v>
      </c>
      <c r="E1717" s="194">
        <v>20.6</v>
      </c>
      <c r="F1717" s="187"/>
      <c r="G1717" s="213">
        <v>0.32500000000000001</v>
      </c>
      <c r="H1717" s="194">
        <f t="shared" si="50"/>
        <v>6.7</v>
      </c>
    </row>
    <row r="1718" spans="1:9" s="228" customFormat="1" ht="19.899999999999999" customHeight="1">
      <c r="A1718" s="187"/>
      <c r="B1718" s="192" t="s">
        <v>3822</v>
      </c>
      <c r="C1718" s="190">
        <v>1</v>
      </c>
      <c r="D1718" s="190">
        <v>1</v>
      </c>
      <c r="E1718" s="194">
        <v>14.7</v>
      </c>
      <c r="F1718" s="187"/>
      <c r="G1718" s="213">
        <v>0.255</v>
      </c>
      <c r="H1718" s="194">
        <f t="shared" si="50"/>
        <v>3.75</v>
      </c>
    </row>
    <row r="1719" spans="1:9" s="228" customFormat="1" ht="19.899999999999999" customHeight="1">
      <c r="A1719" s="187"/>
      <c r="B1719" s="192" t="s">
        <v>3532</v>
      </c>
      <c r="C1719" s="190">
        <v>1</v>
      </c>
      <c r="D1719" s="190">
        <v>2</v>
      </c>
      <c r="E1719" s="194">
        <v>3</v>
      </c>
      <c r="F1719" s="187"/>
      <c r="G1719" s="193">
        <v>7.0000000000000007E-2</v>
      </c>
      <c r="H1719" s="194">
        <f t="shared" si="50"/>
        <v>0.42</v>
      </c>
    </row>
    <row r="1720" spans="1:9" s="228" customFormat="1" ht="19.899999999999999" customHeight="1">
      <c r="A1720" s="187"/>
      <c r="B1720" s="192" t="s">
        <v>3823</v>
      </c>
      <c r="C1720" s="190">
        <v>1</v>
      </c>
      <c r="D1720" s="190">
        <v>1</v>
      </c>
      <c r="E1720" s="194">
        <f>(1.5+2.4)*2</f>
        <v>7.8</v>
      </c>
      <c r="F1720" s="187"/>
      <c r="G1720" s="213">
        <v>0.32500000000000001</v>
      </c>
      <c r="H1720" s="194">
        <f t="shared" si="50"/>
        <v>2.54</v>
      </c>
    </row>
    <row r="1721" spans="1:9" s="186" customFormat="1" ht="19.899999999999999" customHeight="1">
      <c r="A1721" s="244"/>
      <c r="B1721" s="192" t="s">
        <v>3532</v>
      </c>
      <c r="C1721" s="190">
        <v>1</v>
      </c>
      <c r="D1721" s="190">
        <v>1</v>
      </c>
      <c r="E1721" s="194">
        <v>9.15</v>
      </c>
      <c r="F1721" s="187"/>
      <c r="G1721" s="193">
        <v>7.0000000000000007E-2</v>
      </c>
      <c r="H1721" s="194">
        <f t="shared" si="50"/>
        <v>0.64</v>
      </c>
      <c r="I1721" s="225"/>
    </row>
    <row r="1722" spans="1:9" s="186" customFormat="1" ht="19.899999999999999" customHeight="1">
      <c r="A1722" s="244"/>
      <c r="B1722" s="192" t="s">
        <v>3824</v>
      </c>
      <c r="C1722" s="190">
        <v>1</v>
      </c>
      <c r="D1722" s="190">
        <v>1</v>
      </c>
      <c r="E1722" s="194">
        <f>(4.35+3.9)*2</f>
        <v>16.5</v>
      </c>
      <c r="F1722" s="187"/>
      <c r="G1722" s="193">
        <v>0.3</v>
      </c>
      <c r="H1722" s="194">
        <f t="shared" si="50"/>
        <v>4.95</v>
      </c>
      <c r="I1722" s="225"/>
    </row>
    <row r="1723" spans="1:9" s="186" customFormat="1" ht="19.899999999999999" customHeight="1">
      <c r="A1723" s="244"/>
      <c r="B1723" s="192" t="s">
        <v>4164</v>
      </c>
      <c r="C1723" s="190">
        <v>1</v>
      </c>
      <c r="D1723" s="190">
        <v>1</v>
      </c>
      <c r="E1723" s="194">
        <v>11.47</v>
      </c>
      <c r="F1723" s="187"/>
      <c r="G1723" s="213">
        <v>0.32500000000000001</v>
      </c>
      <c r="H1723" s="194">
        <f t="shared" si="50"/>
        <v>3.73</v>
      </c>
      <c r="I1723" s="225"/>
    </row>
    <row r="1724" spans="1:9" s="186" customFormat="1" ht="19.899999999999999" customHeight="1">
      <c r="A1724" s="244"/>
      <c r="B1724" s="192" t="s">
        <v>3532</v>
      </c>
      <c r="C1724" s="190">
        <v>1</v>
      </c>
      <c r="D1724" s="190">
        <v>1</v>
      </c>
      <c r="E1724" s="194">
        <v>4.3499999999999996</v>
      </c>
      <c r="F1724" s="187"/>
      <c r="G1724" s="193">
        <v>0.15</v>
      </c>
      <c r="H1724" s="194">
        <f t="shared" si="50"/>
        <v>0.65</v>
      </c>
      <c r="I1724" s="225"/>
    </row>
    <row r="1725" spans="1:9" s="186" customFormat="1" ht="19.899999999999999" customHeight="1">
      <c r="A1725" s="244"/>
      <c r="B1725" s="218" t="s">
        <v>4165</v>
      </c>
      <c r="C1725" s="219">
        <v>1</v>
      </c>
      <c r="D1725" s="219">
        <v>2</v>
      </c>
      <c r="E1725" s="193">
        <v>12</v>
      </c>
      <c r="F1725" s="193"/>
      <c r="G1725" s="193">
        <v>0.26</v>
      </c>
      <c r="H1725" s="194">
        <f t="shared" si="50"/>
        <v>6.24</v>
      </c>
      <c r="I1725" s="225"/>
    </row>
    <row r="1726" spans="1:9" s="186" customFormat="1" ht="19.899999999999999" customHeight="1">
      <c r="A1726" s="244"/>
      <c r="B1726" s="218" t="s">
        <v>3532</v>
      </c>
      <c r="C1726" s="219">
        <v>1</v>
      </c>
      <c r="D1726" s="219">
        <v>1</v>
      </c>
      <c r="E1726" s="193">
        <v>3</v>
      </c>
      <c r="F1726" s="193"/>
      <c r="G1726" s="193">
        <v>0.15</v>
      </c>
      <c r="H1726" s="194">
        <f t="shared" si="50"/>
        <v>0.45</v>
      </c>
      <c r="I1726" s="225"/>
    </row>
    <row r="1727" spans="1:9" s="186" customFormat="1" ht="19.899999999999999" customHeight="1">
      <c r="A1727" s="244"/>
      <c r="B1727" s="218" t="s">
        <v>3532</v>
      </c>
      <c r="C1727" s="219">
        <v>1</v>
      </c>
      <c r="D1727" s="219">
        <v>1</v>
      </c>
      <c r="E1727" s="193">
        <v>3</v>
      </c>
      <c r="F1727" s="193"/>
      <c r="G1727" s="193">
        <v>7.0000000000000007E-2</v>
      </c>
      <c r="H1727" s="194">
        <f t="shared" si="50"/>
        <v>0.21</v>
      </c>
      <c r="I1727" s="225"/>
    </row>
    <row r="1728" spans="1:9" s="186" customFormat="1" ht="19.899999999999999" customHeight="1">
      <c r="A1728" s="244"/>
      <c r="B1728" s="218" t="s">
        <v>3532</v>
      </c>
      <c r="C1728" s="219">
        <v>1</v>
      </c>
      <c r="D1728" s="219">
        <v>1</v>
      </c>
      <c r="E1728" s="193">
        <v>6</v>
      </c>
      <c r="F1728" s="193"/>
      <c r="G1728" s="193">
        <v>0.15</v>
      </c>
      <c r="H1728" s="194">
        <f t="shared" si="50"/>
        <v>0.9</v>
      </c>
      <c r="I1728" s="225"/>
    </row>
    <row r="1729" spans="1:9" s="186" customFormat="1" ht="19.899999999999999" customHeight="1">
      <c r="A1729" s="244"/>
      <c r="B1729" s="218" t="s">
        <v>3511</v>
      </c>
      <c r="C1729" s="219">
        <v>1</v>
      </c>
      <c r="D1729" s="219">
        <v>1</v>
      </c>
      <c r="E1729" s="193">
        <v>7</v>
      </c>
      <c r="F1729" s="193"/>
      <c r="G1729" s="213">
        <v>0.17499999999999999</v>
      </c>
      <c r="H1729" s="194">
        <f t="shared" si="50"/>
        <v>1.23</v>
      </c>
      <c r="I1729" s="225"/>
    </row>
    <row r="1730" spans="1:9" s="186" customFormat="1" ht="19.899999999999999" customHeight="1">
      <c r="A1730" s="244"/>
      <c r="B1730" s="218" t="s">
        <v>3532</v>
      </c>
      <c r="C1730" s="219">
        <v>1</v>
      </c>
      <c r="D1730" s="219">
        <v>1</v>
      </c>
      <c r="E1730" s="193">
        <v>3.5</v>
      </c>
      <c r="F1730" s="193"/>
      <c r="G1730" s="193">
        <v>0.15</v>
      </c>
      <c r="H1730" s="194">
        <f t="shared" si="50"/>
        <v>0.53</v>
      </c>
      <c r="I1730" s="225"/>
    </row>
    <row r="1731" spans="1:9" s="186" customFormat="1" ht="19.899999999999999" customHeight="1">
      <c r="A1731" s="244"/>
      <c r="B1731" s="218" t="s">
        <v>3532</v>
      </c>
      <c r="C1731" s="219">
        <v>1</v>
      </c>
      <c r="D1731" s="219">
        <v>1</v>
      </c>
      <c r="E1731" s="193">
        <v>2</v>
      </c>
      <c r="F1731" s="193"/>
      <c r="G1731" s="193">
        <v>0.3</v>
      </c>
      <c r="H1731" s="194">
        <f t="shared" si="50"/>
        <v>0.6</v>
      </c>
      <c r="I1731" s="225"/>
    </row>
    <row r="1732" spans="1:9" s="186" customFormat="1" ht="20.100000000000001" customHeight="1">
      <c r="A1732" s="244"/>
      <c r="B1732" s="218" t="s">
        <v>3511</v>
      </c>
      <c r="C1732" s="219">
        <v>1</v>
      </c>
      <c r="D1732" s="219">
        <v>1</v>
      </c>
      <c r="E1732" s="193">
        <v>11.47</v>
      </c>
      <c r="F1732" s="193"/>
      <c r="G1732" s="213">
        <v>0.32500000000000001</v>
      </c>
      <c r="H1732" s="194">
        <f t="shared" si="50"/>
        <v>3.73</v>
      </c>
      <c r="I1732" s="225"/>
    </row>
    <row r="1733" spans="1:9" s="186" customFormat="1" ht="20.100000000000001" customHeight="1">
      <c r="A1733" s="244"/>
      <c r="B1733" s="218" t="s">
        <v>3532</v>
      </c>
      <c r="C1733" s="219">
        <v>1</v>
      </c>
      <c r="D1733" s="219">
        <v>1</v>
      </c>
      <c r="E1733" s="193">
        <v>1.39</v>
      </c>
      <c r="F1733" s="193"/>
      <c r="G1733" s="193">
        <v>0.15</v>
      </c>
      <c r="H1733" s="194">
        <f t="shared" si="50"/>
        <v>0.21</v>
      </c>
      <c r="I1733" s="225"/>
    </row>
    <row r="1734" spans="1:9" s="186" customFormat="1" ht="20.100000000000001" customHeight="1">
      <c r="A1734" s="244"/>
      <c r="B1734" s="218" t="s">
        <v>3511</v>
      </c>
      <c r="C1734" s="219">
        <v>1</v>
      </c>
      <c r="D1734" s="219">
        <v>1</v>
      </c>
      <c r="E1734" s="193">
        <v>13.5</v>
      </c>
      <c r="F1734" s="193"/>
      <c r="G1734" s="213">
        <v>0.32500000000000001</v>
      </c>
      <c r="H1734" s="194">
        <f t="shared" si="50"/>
        <v>4.3899999999999997</v>
      </c>
      <c r="I1734" s="225"/>
    </row>
    <row r="1735" spans="1:9" s="186" customFormat="1" ht="20.100000000000001" customHeight="1">
      <c r="A1735" s="244"/>
      <c r="B1735" s="218" t="s">
        <v>3532</v>
      </c>
      <c r="C1735" s="219">
        <v>1</v>
      </c>
      <c r="D1735" s="219">
        <v>1</v>
      </c>
      <c r="E1735" s="193">
        <v>2.4</v>
      </c>
      <c r="F1735" s="193"/>
      <c r="G1735" s="193">
        <v>0.15</v>
      </c>
      <c r="H1735" s="194">
        <f t="shared" si="50"/>
        <v>0.36</v>
      </c>
      <c r="I1735" s="225"/>
    </row>
    <row r="1736" spans="1:9" s="186" customFormat="1" ht="20.100000000000001" customHeight="1">
      <c r="A1736" s="187"/>
      <c r="B1736" s="218" t="s">
        <v>3511</v>
      </c>
      <c r="C1736" s="219">
        <v>1</v>
      </c>
      <c r="D1736" s="219">
        <v>1</v>
      </c>
      <c r="E1736" s="193">
        <v>11.7</v>
      </c>
      <c r="F1736" s="193"/>
      <c r="G1736" s="213">
        <v>0.32500000000000001</v>
      </c>
      <c r="H1736" s="194">
        <f t="shared" si="50"/>
        <v>3.8</v>
      </c>
    </row>
    <row r="1737" spans="1:9" s="186" customFormat="1" ht="20.100000000000001" customHeight="1">
      <c r="A1737" s="187"/>
      <c r="B1737" s="218" t="s">
        <v>3532</v>
      </c>
      <c r="C1737" s="219">
        <v>1</v>
      </c>
      <c r="D1737" s="219">
        <v>1</v>
      </c>
      <c r="E1737" s="193">
        <v>1.5</v>
      </c>
      <c r="F1737" s="193"/>
      <c r="G1737" s="193">
        <v>0.15</v>
      </c>
      <c r="H1737" s="194">
        <f t="shared" si="50"/>
        <v>0.23</v>
      </c>
    </row>
    <row r="1738" spans="1:9" s="186" customFormat="1" ht="20.100000000000001" customHeight="1">
      <c r="A1738" s="244"/>
      <c r="B1738" s="218" t="s">
        <v>3511</v>
      </c>
      <c r="C1738" s="219">
        <v>1</v>
      </c>
      <c r="D1738" s="219">
        <v>1</v>
      </c>
      <c r="E1738" s="193">
        <v>16.73</v>
      </c>
      <c r="F1738" s="193"/>
      <c r="G1738" s="213">
        <v>0.32500000000000001</v>
      </c>
      <c r="H1738" s="194">
        <f t="shared" si="50"/>
        <v>5.44</v>
      </c>
    </row>
    <row r="1739" spans="1:9" s="186" customFormat="1" ht="20.100000000000001" customHeight="1">
      <c r="A1739" s="244"/>
      <c r="B1739" s="218" t="s">
        <v>3532</v>
      </c>
      <c r="C1739" s="219">
        <v>1</v>
      </c>
      <c r="D1739" s="219">
        <v>1</v>
      </c>
      <c r="E1739" s="193">
        <v>4.0199999999999996</v>
      </c>
      <c r="F1739" s="193"/>
      <c r="G1739" s="193">
        <v>0.15</v>
      </c>
      <c r="H1739" s="194">
        <f t="shared" ref="H1739:H1802" si="52">PRODUCT(C1739:G1739)</f>
        <v>0.6</v>
      </c>
    </row>
    <row r="1740" spans="1:9" s="186" customFormat="1" ht="20.100000000000001" customHeight="1">
      <c r="A1740" s="244"/>
      <c r="B1740" s="218" t="s">
        <v>4166</v>
      </c>
      <c r="C1740" s="190">
        <f>C1730</f>
        <v>1</v>
      </c>
      <c r="D1740" s="190">
        <v>1</v>
      </c>
      <c r="E1740" s="187">
        <v>15.18</v>
      </c>
      <c r="F1740" s="187">
        <v>11.72</v>
      </c>
      <c r="G1740" s="213"/>
      <c r="H1740" s="194">
        <f t="shared" si="52"/>
        <v>177.91</v>
      </c>
    </row>
    <row r="1741" spans="1:9" s="186" customFormat="1" ht="20.100000000000001" customHeight="1">
      <c r="A1741" s="244"/>
      <c r="B1741" s="189" t="s">
        <v>3498</v>
      </c>
      <c r="C1741" s="190"/>
      <c r="D1741" s="190"/>
      <c r="E1741" s="193"/>
      <c r="F1741" s="193"/>
      <c r="G1741" s="213"/>
      <c r="H1741" s="194">
        <f t="shared" si="52"/>
        <v>0</v>
      </c>
    </row>
    <row r="1742" spans="1:9" s="186" customFormat="1" ht="20.100000000000001" customHeight="1">
      <c r="A1742" s="244"/>
      <c r="B1742" s="192" t="s">
        <v>3499</v>
      </c>
      <c r="C1742" s="190">
        <v>-1</v>
      </c>
      <c r="D1742" s="190">
        <v>8</v>
      </c>
      <c r="E1742" s="193">
        <v>0.23</v>
      </c>
      <c r="F1742" s="193">
        <v>0.38</v>
      </c>
      <c r="G1742" s="213"/>
      <c r="H1742" s="194">
        <f t="shared" si="52"/>
        <v>-0.7</v>
      </c>
    </row>
    <row r="1743" spans="1:9" s="186" customFormat="1" ht="20.100000000000001" customHeight="1">
      <c r="A1743" s="244"/>
      <c r="B1743" s="192" t="s">
        <v>3500</v>
      </c>
      <c r="C1743" s="190">
        <v>-1</v>
      </c>
      <c r="D1743" s="190">
        <v>1</v>
      </c>
      <c r="E1743" s="193">
        <v>0.23</v>
      </c>
      <c r="F1743" s="193">
        <v>0.45</v>
      </c>
      <c r="G1743" s="213"/>
      <c r="H1743" s="194">
        <f t="shared" si="52"/>
        <v>-0.1</v>
      </c>
    </row>
    <row r="1744" spans="1:9" s="186" customFormat="1" ht="20.100000000000001" customHeight="1">
      <c r="A1744" s="244"/>
      <c r="B1744" s="192" t="s">
        <v>3501</v>
      </c>
      <c r="C1744" s="190">
        <v>-1</v>
      </c>
      <c r="D1744" s="190">
        <v>8</v>
      </c>
      <c r="E1744" s="193">
        <v>0.23</v>
      </c>
      <c r="F1744" s="193">
        <v>0.45</v>
      </c>
      <c r="G1744" s="213"/>
      <c r="H1744" s="194">
        <f t="shared" si="52"/>
        <v>-0.83</v>
      </c>
    </row>
    <row r="1745" spans="1:9" s="186" customFormat="1" ht="20.100000000000001" customHeight="1">
      <c r="A1745" s="244"/>
      <c r="B1745" s="192" t="s">
        <v>3502</v>
      </c>
      <c r="C1745" s="190">
        <v>-1</v>
      </c>
      <c r="D1745" s="233">
        <v>2</v>
      </c>
      <c r="E1745" s="193">
        <v>0.23</v>
      </c>
      <c r="F1745" s="193">
        <v>0.45</v>
      </c>
      <c r="G1745" s="213"/>
      <c r="H1745" s="194">
        <f t="shared" si="52"/>
        <v>-0.21</v>
      </c>
      <c r="I1745" s="225" t="e">
        <f>SUM(#REF!)</f>
        <v>#REF!</v>
      </c>
    </row>
    <row r="1746" spans="1:9" s="237" customFormat="1" ht="20.100000000000001" customHeight="1">
      <c r="A1746" s="246"/>
      <c r="B1746" s="232" t="s">
        <v>3599</v>
      </c>
      <c r="C1746" s="233">
        <v>-1</v>
      </c>
      <c r="D1746" s="233">
        <v>1</v>
      </c>
      <c r="E1746" s="235">
        <v>0.23</v>
      </c>
      <c r="F1746" s="235">
        <v>0.6</v>
      </c>
      <c r="G1746" s="249"/>
      <c r="H1746" s="236">
        <f>PRODUCT(C1746:G1746)</f>
        <v>-0.14000000000000001</v>
      </c>
      <c r="I1746" s="353" t="e">
        <f>SUM(#REF!)</f>
        <v>#REF!</v>
      </c>
    </row>
    <row r="1747" spans="1:9" s="186" customFormat="1" ht="20.100000000000001" customHeight="1">
      <c r="A1747" s="244"/>
      <c r="B1747" s="216" t="s">
        <v>3631</v>
      </c>
      <c r="C1747" s="245"/>
      <c r="D1747" s="245"/>
      <c r="E1747" s="193"/>
      <c r="F1747" s="193"/>
      <c r="G1747" s="213"/>
      <c r="H1747" s="194">
        <f t="shared" si="52"/>
        <v>0</v>
      </c>
      <c r="I1747" s="225"/>
    </row>
    <row r="1748" spans="1:9" s="186" customFormat="1" ht="20.100000000000001" customHeight="1">
      <c r="A1748" s="244"/>
      <c r="B1748" s="189" t="s">
        <v>4150</v>
      </c>
      <c r="C1748" s="219"/>
      <c r="D1748" s="219"/>
      <c r="E1748" s="193"/>
      <c r="F1748" s="193"/>
      <c r="G1748" s="213"/>
      <c r="H1748" s="194">
        <f t="shared" si="52"/>
        <v>0</v>
      </c>
      <c r="I1748" s="225"/>
    </row>
    <row r="1749" spans="1:9" s="186" customFormat="1" ht="20.100000000000001" customHeight="1">
      <c r="A1749" s="244"/>
      <c r="B1749" s="218" t="s">
        <v>3606</v>
      </c>
      <c r="C1749" s="219">
        <v>2</v>
      </c>
      <c r="D1749" s="219">
        <v>2</v>
      </c>
      <c r="E1749" s="193">
        <f>1.8+0.46</f>
        <v>2.2599999999999998</v>
      </c>
      <c r="F1749" s="193"/>
      <c r="G1749" s="193">
        <v>0.05</v>
      </c>
      <c r="H1749" s="194">
        <f t="shared" si="52"/>
        <v>0.45</v>
      </c>
      <c r="I1749" s="225"/>
    </row>
    <row r="1750" spans="1:9" s="186" customFormat="1" ht="20.100000000000001" customHeight="1">
      <c r="A1750" s="187"/>
      <c r="B1750" s="218" t="s">
        <v>3642</v>
      </c>
      <c r="C1750" s="219">
        <v>2</v>
      </c>
      <c r="D1750" s="219">
        <v>3</v>
      </c>
      <c r="E1750" s="193">
        <f>1.35+0.46</f>
        <v>1.81</v>
      </c>
      <c r="F1750" s="193"/>
      <c r="G1750" s="193">
        <v>0.05</v>
      </c>
      <c r="H1750" s="194">
        <f t="shared" si="52"/>
        <v>0.54</v>
      </c>
    </row>
    <row r="1751" spans="1:9" s="228" customFormat="1" ht="20.100000000000001" customHeight="1">
      <c r="A1751" s="187"/>
      <c r="B1751" s="218" t="s">
        <v>3605</v>
      </c>
      <c r="C1751" s="219">
        <v>2</v>
      </c>
      <c r="D1751" s="219">
        <v>4</v>
      </c>
      <c r="E1751" s="193">
        <f>1.5+0.46</f>
        <v>1.96</v>
      </c>
      <c r="F1751" s="193"/>
      <c r="G1751" s="193">
        <v>0.05</v>
      </c>
      <c r="H1751" s="194">
        <f t="shared" si="52"/>
        <v>0.78</v>
      </c>
    </row>
    <row r="1752" spans="1:9" s="228" customFormat="1" ht="20.100000000000001" customHeight="1">
      <c r="A1752" s="187"/>
      <c r="B1752" s="218" t="s">
        <v>3632</v>
      </c>
      <c r="C1752" s="219">
        <v>2</v>
      </c>
      <c r="D1752" s="219">
        <v>1</v>
      </c>
      <c r="E1752" s="193">
        <f>1.8+0.46</f>
        <v>2.2599999999999998</v>
      </c>
      <c r="F1752" s="193"/>
      <c r="G1752" s="193">
        <v>0.05</v>
      </c>
      <c r="H1752" s="194">
        <f t="shared" si="52"/>
        <v>0.23</v>
      </c>
    </row>
    <row r="1753" spans="1:9" s="228" customFormat="1" ht="20.100000000000001" customHeight="1">
      <c r="A1753" s="187"/>
      <c r="B1753" s="216" t="s">
        <v>3608</v>
      </c>
      <c r="C1753" s="219"/>
      <c r="D1753" s="219"/>
      <c r="E1753" s="193"/>
      <c r="F1753" s="193"/>
      <c r="G1753" s="213"/>
      <c r="H1753" s="194">
        <f t="shared" si="52"/>
        <v>0</v>
      </c>
    </row>
    <row r="1754" spans="1:9" s="186" customFormat="1" ht="20.100000000000001" customHeight="1">
      <c r="A1754" s="244"/>
      <c r="B1754" s="192" t="s">
        <v>3605</v>
      </c>
      <c r="C1754" s="190">
        <v>2</v>
      </c>
      <c r="D1754" s="190">
        <v>4</v>
      </c>
      <c r="E1754" s="194">
        <v>1.96</v>
      </c>
      <c r="F1754" s="194"/>
      <c r="G1754" s="193">
        <v>0.15</v>
      </c>
      <c r="H1754" s="194">
        <f t="shared" si="52"/>
        <v>2.35</v>
      </c>
    </row>
    <row r="1755" spans="1:9" s="186" customFormat="1" ht="20.100000000000001" customHeight="1">
      <c r="A1755" s="244"/>
      <c r="B1755" s="192" t="s">
        <v>3632</v>
      </c>
      <c r="C1755" s="190">
        <v>2</v>
      </c>
      <c r="D1755" s="190">
        <v>1</v>
      </c>
      <c r="E1755" s="194">
        <v>2.2599999999999998</v>
      </c>
      <c r="F1755" s="194"/>
      <c r="G1755" s="193">
        <v>0.15</v>
      </c>
      <c r="H1755" s="194">
        <f t="shared" si="52"/>
        <v>0.68</v>
      </c>
    </row>
    <row r="1756" spans="1:9" s="186" customFormat="1" ht="20.100000000000001" customHeight="1">
      <c r="A1756" s="244"/>
      <c r="B1756" s="192" t="s">
        <v>3606</v>
      </c>
      <c r="C1756" s="190">
        <v>2</v>
      </c>
      <c r="D1756" s="190">
        <v>2</v>
      </c>
      <c r="E1756" s="194">
        <v>2.2599999999999998</v>
      </c>
      <c r="F1756" s="194"/>
      <c r="G1756" s="193">
        <v>0.15</v>
      </c>
      <c r="H1756" s="194">
        <f t="shared" si="52"/>
        <v>1.36</v>
      </c>
    </row>
    <row r="1757" spans="1:9" s="186" customFormat="1" ht="20.100000000000001" customHeight="1">
      <c r="A1757" s="244"/>
      <c r="B1757" s="192" t="s">
        <v>3483</v>
      </c>
      <c r="C1757" s="190">
        <v>2</v>
      </c>
      <c r="D1757" s="190">
        <v>5</v>
      </c>
      <c r="E1757" s="194">
        <v>1.46</v>
      </c>
      <c r="F1757" s="194"/>
      <c r="G1757" s="193">
        <v>0.15</v>
      </c>
      <c r="H1757" s="194">
        <f t="shared" si="52"/>
        <v>2.19</v>
      </c>
    </row>
    <row r="1758" spans="1:9" s="186" customFormat="1" ht="20.100000000000001" customHeight="1">
      <c r="A1758" s="244"/>
      <c r="B1758" s="192" t="s">
        <v>3633</v>
      </c>
      <c r="C1758" s="190">
        <v>2</v>
      </c>
      <c r="D1758" s="190">
        <v>2</v>
      </c>
      <c r="E1758" s="194">
        <v>1.46</v>
      </c>
      <c r="F1758" s="194"/>
      <c r="G1758" s="193">
        <v>0.15</v>
      </c>
      <c r="H1758" s="194">
        <f t="shared" si="52"/>
        <v>0.88</v>
      </c>
    </row>
    <row r="1759" spans="1:9" s="186" customFormat="1" ht="20.100000000000001" customHeight="1">
      <c r="A1759" s="244"/>
      <c r="B1759" s="192" t="s">
        <v>3611</v>
      </c>
      <c r="C1759" s="190">
        <v>2</v>
      </c>
      <c r="D1759" s="190">
        <v>2</v>
      </c>
      <c r="E1759" s="194">
        <v>1.21</v>
      </c>
      <c r="F1759" s="194"/>
      <c r="G1759" s="193">
        <v>0.15</v>
      </c>
      <c r="H1759" s="194">
        <f t="shared" si="52"/>
        <v>0.73</v>
      </c>
    </row>
    <row r="1760" spans="1:9" s="186" customFormat="1" ht="20.100000000000001" customHeight="1">
      <c r="A1760" s="244"/>
      <c r="B1760" s="192" t="s">
        <v>3634</v>
      </c>
      <c r="C1760" s="190">
        <v>2</v>
      </c>
      <c r="D1760" s="190">
        <v>2</v>
      </c>
      <c r="E1760" s="194">
        <v>1.21</v>
      </c>
      <c r="F1760" s="194"/>
      <c r="G1760" s="193">
        <v>0.15</v>
      </c>
      <c r="H1760" s="194">
        <f t="shared" si="52"/>
        <v>0.73</v>
      </c>
    </row>
    <row r="1761" spans="1:9" s="228" customFormat="1" ht="20.100000000000001" customHeight="1">
      <c r="A1761" s="187"/>
      <c r="B1761" s="192" t="s">
        <v>3483</v>
      </c>
      <c r="C1761" s="190">
        <v>1</v>
      </c>
      <c r="D1761" s="190">
        <v>5</v>
      </c>
      <c r="E1761" s="194">
        <v>1</v>
      </c>
      <c r="F1761" s="194">
        <v>0.23</v>
      </c>
      <c r="G1761" s="213"/>
      <c r="H1761" s="194">
        <f t="shared" si="52"/>
        <v>1.1499999999999999</v>
      </c>
    </row>
    <row r="1762" spans="1:9" s="228" customFormat="1" ht="20.100000000000001" customHeight="1">
      <c r="A1762" s="187"/>
      <c r="B1762" s="192" t="s">
        <v>3633</v>
      </c>
      <c r="C1762" s="190">
        <v>1</v>
      </c>
      <c r="D1762" s="190">
        <v>2</v>
      </c>
      <c r="E1762" s="194">
        <v>1</v>
      </c>
      <c r="F1762" s="194">
        <v>0.23</v>
      </c>
      <c r="G1762" s="213"/>
      <c r="H1762" s="194">
        <f t="shared" si="52"/>
        <v>0.46</v>
      </c>
    </row>
    <row r="1763" spans="1:9" s="186" customFormat="1" ht="20.100000000000001" customHeight="1">
      <c r="A1763" s="244"/>
      <c r="B1763" s="192" t="s">
        <v>3611</v>
      </c>
      <c r="C1763" s="190">
        <v>1</v>
      </c>
      <c r="D1763" s="190">
        <v>2</v>
      </c>
      <c r="E1763" s="194">
        <v>0.75</v>
      </c>
      <c r="F1763" s="264">
        <v>0.115</v>
      </c>
      <c r="G1763" s="213"/>
      <c r="H1763" s="194">
        <f t="shared" si="52"/>
        <v>0.17</v>
      </c>
    </row>
    <row r="1764" spans="1:9" s="186" customFormat="1" ht="20.100000000000001" customHeight="1">
      <c r="A1764" s="244"/>
      <c r="B1764" s="192" t="s">
        <v>3606</v>
      </c>
      <c r="C1764" s="190">
        <v>1</v>
      </c>
      <c r="D1764" s="190">
        <v>2</v>
      </c>
      <c r="E1764" s="194">
        <v>1.8</v>
      </c>
      <c r="F1764" s="194">
        <v>0.23</v>
      </c>
      <c r="G1764" s="213"/>
      <c r="H1764" s="194">
        <f t="shared" si="52"/>
        <v>0.83</v>
      </c>
    </row>
    <row r="1765" spans="1:9" s="186" customFormat="1" ht="20.100000000000001" customHeight="1">
      <c r="A1765" s="244"/>
      <c r="B1765" s="192" t="s">
        <v>3642</v>
      </c>
      <c r="C1765" s="190">
        <v>1</v>
      </c>
      <c r="D1765" s="190">
        <v>3</v>
      </c>
      <c r="E1765" s="194">
        <v>1.35</v>
      </c>
      <c r="F1765" s="194">
        <v>0.23</v>
      </c>
      <c r="G1765" s="213"/>
      <c r="H1765" s="194">
        <f t="shared" si="52"/>
        <v>0.93</v>
      </c>
    </row>
    <row r="1766" spans="1:9" s="186" customFormat="1" ht="20.100000000000001" customHeight="1">
      <c r="A1766" s="244"/>
      <c r="B1766" s="192" t="s">
        <v>3605</v>
      </c>
      <c r="C1766" s="190">
        <v>1</v>
      </c>
      <c r="D1766" s="190">
        <v>4</v>
      </c>
      <c r="E1766" s="194">
        <v>1.5</v>
      </c>
      <c r="F1766" s="194">
        <v>0.23</v>
      </c>
      <c r="G1766" s="213"/>
      <c r="H1766" s="194">
        <f t="shared" si="52"/>
        <v>1.38</v>
      </c>
    </row>
    <row r="1767" spans="1:9" s="186" customFormat="1" ht="20.100000000000001" customHeight="1">
      <c r="A1767" s="187"/>
      <c r="B1767" s="218" t="s">
        <v>3632</v>
      </c>
      <c r="C1767" s="190">
        <v>1</v>
      </c>
      <c r="D1767" s="219">
        <v>1</v>
      </c>
      <c r="E1767" s="194">
        <v>1.8</v>
      </c>
      <c r="F1767" s="194">
        <v>0.23</v>
      </c>
      <c r="G1767" s="213"/>
      <c r="H1767" s="194">
        <f t="shared" si="52"/>
        <v>0.41</v>
      </c>
    </row>
    <row r="1768" spans="1:9" s="186" customFormat="1" ht="20.100000000000001" customHeight="1">
      <c r="A1768" s="187"/>
      <c r="B1768" s="218" t="s">
        <v>3896</v>
      </c>
      <c r="C1768" s="190">
        <v>1</v>
      </c>
      <c r="D1768" s="219">
        <v>2</v>
      </c>
      <c r="E1768" s="194">
        <v>1.35</v>
      </c>
      <c r="F1768" s="194">
        <v>0.23</v>
      </c>
      <c r="G1768" s="213"/>
      <c r="H1768" s="194">
        <f t="shared" si="52"/>
        <v>0.62</v>
      </c>
    </row>
    <row r="1769" spans="1:9" s="186" customFormat="1" ht="20.100000000000001" customHeight="1">
      <c r="A1769" s="187"/>
      <c r="B1769" s="218" t="s">
        <v>3897</v>
      </c>
      <c r="C1769" s="190">
        <v>1</v>
      </c>
      <c r="D1769" s="219">
        <v>2</v>
      </c>
      <c r="E1769" s="194">
        <v>0.75</v>
      </c>
      <c r="F1769" s="194">
        <v>0.23</v>
      </c>
      <c r="G1769" s="213"/>
      <c r="H1769" s="194">
        <f t="shared" si="52"/>
        <v>0.35</v>
      </c>
    </row>
    <row r="1770" spans="1:9" s="186" customFormat="1" ht="20.100000000000001" customHeight="1">
      <c r="A1770" s="187"/>
      <c r="B1770" s="218" t="s">
        <v>3898</v>
      </c>
      <c r="C1770" s="190">
        <v>1</v>
      </c>
      <c r="D1770" s="219">
        <v>1</v>
      </c>
      <c r="E1770" s="194">
        <v>1.35</v>
      </c>
      <c r="F1770" s="194">
        <v>0.23</v>
      </c>
      <c r="G1770" s="213"/>
      <c r="H1770" s="194">
        <f t="shared" si="52"/>
        <v>0.31</v>
      </c>
    </row>
    <row r="1771" spans="1:9" s="186" customFormat="1" ht="20.100000000000001" customHeight="1">
      <c r="A1771" s="187"/>
      <c r="B1771" s="189" t="s">
        <v>3943</v>
      </c>
      <c r="C1771" s="190"/>
      <c r="D1771" s="190"/>
      <c r="E1771" s="264"/>
      <c r="F1771" s="264"/>
      <c r="G1771" s="213"/>
      <c r="H1771" s="194">
        <f t="shared" si="52"/>
        <v>0</v>
      </c>
    </row>
    <row r="1772" spans="1:9" s="186" customFormat="1" ht="20.100000000000001" customHeight="1">
      <c r="A1772" s="187"/>
      <c r="B1772" s="192" t="s">
        <v>3945</v>
      </c>
      <c r="C1772" s="190">
        <v>1</v>
      </c>
      <c r="D1772" s="190">
        <v>1</v>
      </c>
      <c r="E1772" s="264">
        <v>4.0149999999999997</v>
      </c>
      <c r="F1772" s="194">
        <v>0.6</v>
      </c>
      <c r="G1772" s="213"/>
      <c r="H1772" s="194">
        <f t="shared" si="52"/>
        <v>2.41</v>
      </c>
    </row>
    <row r="1773" spans="1:9" s="186" customFormat="1" ht="20.100000000000001" customHeight="1">
      <c r="A1773" s="244"/>
      <c r="B1773" s="192" t="s">
        <v>3946</v>
      </c>
      <c r="C1773" s="190">
        <v>1</v>
      </c>
      <c r="D1773" s="190">
        <v>1</v>
      </c>
      <c r="E1773" s="264">
        <v>4.0149999999999997</v>
      </c>
      <c r="F1773" s="194">
        <v>0.6</v>
      </c>
      <c r="G1773" s="213"/>
      <c r="H1773" s="194">
        <f t="shared" si="52"/>
        <v>2.41</v>
      </c>
      <c r="I1773" s="225"/>
    </row>
    <row r="1774" spans="1:9" s="186" customFormat="1" ht="20.100000000000001" customHeight="1">
      <c r="A1774" s="244"/>
      <c r="B1774" s="192" t="s">
        <v>3855</v>
      </c>
      <c r="C1774" s="190">
        <v>1</v>
      </c>
      <c r="D1774" s="190">
        <v>2</v>
      </c>
      <c r="E1774" s="194">
        <v>3</v>
      </c>
      <c r="F1774" s="194">
        <v>0.6</v>
      </c>
      <c r="G1774" s="213"/>
      <c r="H1774" s="194">
        <f t="shared" si="52"/>
        <v>3.6</v>
      </c>
      <c r="I1774" s="225"/>
    </row>
    <row r="1775" spans="1:9" s="186" customFormat="1" ht="20.100000000000001" customHeight="1">
      <c r="A1775" s="244"/>
      <c r="B1775" s="192" t="s">
        <v>3852</v>
      </c>
      <c r="C1775" s="190">
        <v>1</v>
      </c>
      <c r="D1775" s="190">
        <v>1</v>
      </c>
      <c r="E1775" s="194">
        <v>2.4</v>
      </c>
      <c r="F1775" s="194">
        <v>0.6</v>
      </c>
      <c r="G1775" s="213"/>
      <c r="H1775" s="194">
        <f t="shared" si="52"/>
        <v>1.44</v>
      </c>
      <c r="I1775" s="225"/>
    </row>
    <row r="1776" spans="1:9" s="186" customFormat="1" ht="20.100000000000001" customHeight="1">
      <c r="A1776" s="244"/>
      <c r="B1776" s="192" t="s">
        <v>3853</v>
      </c>
      <c r="C1776" s="190">
        <v>1</v>
      </c>
      <c r="D1776" s="190">
        <v>1</v>
      </c>
      <c r="E1776" s="194">
        <v>4.3499999999999996</v>
      </c>
      <c r="F1776" s="194">
        <v>0.6</v>
      </c>
      <c r="G1776" s="213"/>
      <c r="H1776" s="194">
        <f t="shared" si="52"/>
        <v>2.61</v>
      </c>
      <c r="I1776" s="225"/>
    </row>
    <row r="1777" spans="1:11" s="186" customFormat="1" ht="20.100000000000001" customHeight="1">
      <c r="A1777" s="244"/>
      <c r="B1777" s="189" t="s">
        <v>3296</v>
      </c>
      <c r="C1777" s="219"/>
      <c r="D1777" s="219"/>
      <c r="E1777" s="193"/>
      <c r="F1777" s="193"/>
      <c r="G1777" s="213"/>
      <c r="H1777" s="194">
        <f t="shared" si="52"/>
        <v>0</v>
      </c>
      <c r="I1777" s="225"/>
    </row>
    <row r="1778" spans="1:11" s="186" customFormat="1" ht="20.100000000000001" customHeight="1">
      <c r="A1778" s="244"/>
      <c r="B1778" s="192" t="s">
        <v>4152</v>
      </c>
      <c r="C1778" s="190">
        <v>1</v>
      </c>
      <c r="D1778" s="190">
        <v>1</v>
      </c>
      <c r="E1778" s="187">
        <v>3.8460000000000001</v>
      </c>
      <c r="F1778" s="194">
        <v>1.2</v>
      </c>
      <c r="G1778" s="213"/>
      <c r="H1778" s="194">
        <f t="shared" si="52"/>
        <v>4.62</v>
      </c>
      <c r="I1778" s="225"/>
    </row>
    <row r="1779" spans="1:11" s="186" customFormat="1" ht="20.100000000000001" customHeight="1">
      <c r="A1779" s="244"/>
      <c r="B1779" s="192" t="s">
        <v>4153</v>
      </c>
      <c r="C1779" s="190">
        <v>1</v>
      </c>
      <c r="D1779" s="190">
        <v>1</v>
      </c>
      <c r="E1779" s="187">
        <v>3.8460000000000001</v>
      </c>
      <c r="F1779" s="194"/>
      <c r="G1779" s="193">
        <v>0.15</v>
      </c>
      <c r="H1779" s="194">
        <f t="shared" si="52"/>
        <v>0.57999999999999996</v>
      </c>
      <c r="I1779" s="225"/>
    </row>
    <row r="1780" spans="1:11" s="186" customFormat="1" ht="20.100000000000001" customHeight="1">
      <c r="A1780" s="244"/>
      <c r="B1780" s="192" t="s">
        <v>4154</v>
      </c>
      <c r="C1780" s="190">
        <v>1</v>
      </c>
      <c r="D1780" s="190">
        <v>1</v>
      </c>
      <c r="E1780" s="194">
        <v>2.46</v>
      </c>
      <c r="F1780" s="194">
        <v>1.71</v>
      </c>
      <c r="G1780" s="193"/>
      <c r="H1780" s="194">
        <f t="shared" si="52"/>
        <v>4.21</v>
      </c>
      <c r="I1780" s="225"/>
    </row>
    <row r="1781" spans="1:11" s="186" customFormat="1" ht="20.100000000000001" customHeight="1">
      <c r="A1781" s="244"/>
      <c r="B1781" s="192" t="s">
        <v>4155</v>
      </c>
      <c r="C1781" s="190">
        <v>1</v>
      </c>
      <c r="D1781" s="190">
        <v>1</v>
      </c>
      <c r="E1781" s="194">
        <v>2.46</v>
      </c>
      <c r="F1781" s="194"/>
      <c r="G1781" s="193">
        <v>0.3</v>
      </c>
      <c r="H1781" s="194">
        <f t="shared" si="52"/>
        <v>0.74</v>
      </c>
      <c r="I1781" s="225"/>
    </row>
    <row r="1782" spans="1:11" s="186" customFormat="1" ht="20.100000000000001" customHeight="1">
      <c r="A1782" s="244"/>
      <c r="B1782" s="192" t="s">
        <v>4156</v>
      </c>
      <c r="C1782" s="190">
        <v>1</v>
      </c>
      <c r="D1782" s="190">
        <v>1</v>
      </c>
      <c r="E1782" s="194">
        <v>2</v>
      </c>
      <c r="F1782" s="194"/>
      <c r="G1782" s="193">
        <f>0.3-0.15</f>
        <v>0.15</v>
      </c>
      <c r="H1782" s="194">
        <f t="shared" si="52"/>
        <v>0.3</v>
      </c>
      <c r="I1782" s="225"/>
    </row>
    <row r="1783" spans="1:11" s="186" customFormat="1" ht="20.100000000000001" customHeight="1">
      <c r="A1783" s="244"/>
      <c r="B1783" s="192" t="s">
        <v>4157</v>
      </c>
      <c r="C1783" s="190">
        <v>0.5</v>
      </c>
      <c r="D1783" s="190">
        <v>11</v>
      </c>
      <c r="E1783" s="194"/>
      <c r="F1783" s="194">
        <v>0.3</v>
      </c>
      <c r="G1783" s="213">
        <v>0.157</v>
      </c>
      <c r="H1783" s="194">
        <f t="shared" si="52"/>
        <v>0.26</v>
      </c>
      <c r="I1783" s="225"/>
    </row>
    <row r="1784" spans="1:11" s="186" customFormat="1" ht="20.100000000000001" customHeight="1">
      <c r="A1784" s="244"/>
      <c r="B1784" s="192" t="s">
        <v>4158</v>
      </c>
      <c r="C1784" s="190">
        <v>1</v>
      </c>
      <c r="D1784" s="190">
        <v>11</v>
      </c>
      <c r="E1784" s="194">
        <v>1.2</v>
      </c>
      <c r="F1784" s="194"/>
      <c r="G1784" s="213">
        <v>0.157</v>
      </c>
      <c r="H1784" s="194">
        <f t="shared" si="52"/>
        <v>2.0699999999999998</v>
      </c>
      <c r="I1784" s="225"/>
    </row>
    <row r="1785" spans="1:11" s="237" customFormat="1" ht="20.100000000000001" customHeight="1">
      <c r="A1785" s="246"/>
      <c r="B1785" s="232" t="s">
        <v>4159</v>
      </c>
      <c r="C1785" s="233">
        <v>1</v>
      </c>
      <c r="D1785" s="233">
        <v>1</v>
      </c>
      <c r="E1785" s="354">
        <v>3.048</v>
      </c>
      <c r="F1785" s="236">
        <v>1.2</v>
      </c>
      <c r="G1785" s="249"/>
      <c r="H1785" s="236">
        <f>PRODUCT(C1785:G1785)</f>
        <v>3.66</v>
      </c>
      <c r="I1785" s="353"/>
      <c r="J1785" s="234"/>
      <c r="K1785" s="236"/>
    </row>
    <row r="1786" spans="1:11" s="186" customFormat="1" ht="20.100000000000001" customHeight="1">
      <c r="A1786" s="244"/>
      <c r="B1786" s="192" t="s">
        <v>4160</v>
      </c>
      <c r="C1786" s="190">
        <v>1</v>
      </c>
      <c r="D1786" s="190">
        <v>1</v>
      </c>
      <c r="E1786" s="187">
        <v>3.048</v>
      </c>
      <c r="F1786" s="194"/>
      <c r="G1786" s="193">
        <f>+G1779</f>
        <v>0.15</v>
      </c>
      <c r="H1786" s="194">
        <f t="shared" si="52"/>
        <v>0.46</v>
      </c>
      <c r="I1786" s="225"/>
    </row>
    <row r="1787" spans="1:11" s="228" customFormat="1" ht="20.100000000000001" customHeight="1">
      <c r="A1787" s="187"/>
      <c r="B1787" s="192" t="s">
        <v>4157</v>
      </c>
      <c r="C1787" s="190">
        <v>0.5</v>
      </c>
      <c r="D1787" s="190">
        <v>9</v>
      </c>
      <c r="E1787" s="194"/>
      <c r="F1787" s="194">
        <v>0.3</v>
      </c>
      <c r="G1787" s="213">
        <v>0.157</v>
      </c>
      <c r="H1787" s="194">
        <f t="shared" si="52"/>
        <v>0.21</v>
      </c>
    </row>
    <row r="1788" spans="1:11" s="228" customFormat="1" ht="20.100000000000001" customHeight="1">
      <c r="A1788" s="187"/>
      <c r="B1788" s="192" t="s">
        <v>4158</v>
      </c>
      <c r="C1788" s="190">
        <v>1</v>
      </c>
      <c r="D1788" s="190">
        <v>9</v>
      </c>
      <c r="E1788" s="194">
        <v>1.2</v>
      </c>
      <c r="F1788" s="194"/>
      <c r="G1788" s="213">
        <v>0.157</v>
      </c>
      <c r="H1788" s="194">
        <f t="shared" si="52"/>
        <v>1.7</v>
      </c>
    </row>
    <row r="1789" spans="1:11" s="228" customFormat="1" ht="20.100000000000001" customHeight="1">
      <c r="A1789" s="187"/>
      <c r="B1789" s="216" t="s">
        <v>3620</v>
      </c>
      <c r="C1789" s="219"/>
      <c r="D1789" s="219"/>
      <c r="E1789" s="193"/>
      <c r="F1789" s="193"/>
      <c r="G1789" s="213"/>
      <c r="H1789" s="194">
        <f t="shared" si="52"/>
        <v>0</v>
      </c>
    </row>
    <row r="1790" spans="1:11" s="228" customFormat="1" ht="20.100000000000001" customHeight="1">
      <c r="A1790" s="187"/>
      <c r="B1790" s="218" t="s">
        <v>4161</v>
      </c>
      <c r="C1790" s="219">
        <v>1</v>
      </c>
      <c r="D1790" s="219">
        <v>1</v>
      </c>
      <c r="E1790" s="193">
        <v>53.8</v>
      </c>
      <c r="F1790" s="193"/>
      <c r="G1790" s="193">
        <v>0.38</v>
      </c>
      <c r="H1790" s="194">
        <f t="shared" si="52"/>
        <v>20.440000000000001</v>
      </c>
    </row>
    <row r="1791" spans="1:11" s="228" customFormat="1" ht="20.100000000000001" customHeight="1">
      <c r="A1791" s="187"/>
      <c r="B1791" s="192" t="s">
        <v>3830</v>
      </c>
      <c r="C1791" s="190">
        <v>1</v>
      </c>
      <c r="D1791" s="190">
        <v>1</v>
      </c>
      <c r="E1791" s="194">
        <f>(4.35+4.015)*2</f>
        <v>16.73</v>
      </c>
      <c r="F1791" s="194"/>
      <c r="G1791" s="213">
        <v>0.255</v>
      </c>
      <c r="H1791" s="194">
        <f t="shared" si="52"/>
        <v>4.2699999999999996</v>
      </c>
    </row>
    <row r="1792" spans="1:11" s="228" customFormat="1" ht="20.100000000000001" customHeight="1">
      <c r="A1792" s="187"/>
      <c r="B1792" s="192" t="s">
        <v>3532</v>
      </c>
      <c r="C1792" s="190">
        <v>1</v>
      </c>
      <c r="D1792" s="190">
        <v>1</v>
      </c>
      <c r="E1792" s="194">
        <v>4.0199999999999996</v>
      </c>
      <c r="F1792" s="194"/>
      <c r="G1792" s="193">
        <v>0.15</v>
      </c>
      <c r="H1792" s="194">
        <f t="shared" si="52"/>
        <v>0.6</v>
      </c>
    </row>
    <row r="1793" spans="1:8" s="228" customFormat="1" ht="20.100000000000001" customHeight="1">
      <c r="A1793" s="187"/>
      <c r="B1793" s="192" t="s">
        <v>3532</v>
      </c>
      <c r="C1793" s="190">
        <v>1</v>
      </c>
      <c r="D1793" s="190">
        <v>1</v>
      </c>
      <c r="E1793" s="194">
        <v>8.3699999999999992</v>
      </c>
      <c r="F1793" s="194"/>
      <c r="G1793" s="193">
        <v>7.0000000000000007E-2</v>
      </c>
      <c r="H1793" s="194">
        <f t="shared" si="52"/>
        <v>0.59</v>
      </c>
    </row>
    <row r="1794" spans="1:8" s="228" customFormat="1" ht="20.100000000000001" customHeight="1">
      <c r="A1794" s="187"/>
      <c r="B1794" s="192" t="s">
        <v>4167</v>
      </c>
      <c r="C1794" s="190">
        <v>1</v>
      </c>
      <c r="D1794" s="190">
        <v>1</v>
      </c>
      <c r="E1794" s="194">
        <v>11.7</v>
      </c>
      <c r="F1794" s="194"/>
      <c r="G1794" s="213">
        <v>0.32500000000000001</v>
      </c>
      <c r="H1794" s="194">
        <f t="shared" si="52"/>
        <v>3.8</v>
      </c>
    </row>
    <row r="1795" spans="1:8" s="228" customFormat="1" ht="20.100000000000001" customHeight="1">
      <c r="A1795" s="187"/>
      <c r="B1795" s="192" t="s">
        <v>3532</v>
      </c>
      <c r="C1795" s="190">
        <v>1</v>
      </c>
      <c r="D1795" s="190">
        <v>1</v>
      </c>
      <c r="E1795" s="194">
        <v>1.5</v>
      </c>
      <c r="F1795" s="194"/>
      <c r="G1795" s="193">
        <v>0.15</v>
      </c>
      <c r="H1795" s="194">
        <f t="shared" si="52"/>
        <v>0.23</v>
      </c>
    </row>
    <row r="1796" spans="1:8" s="228" customFormat="1" ht="33" customHeight="1">
      <c r="A1796" s="187"/>
      <c r="B1796" s="192" t="s">
        <v>4168</v>
      </c>
      <c r="C1796" s="190">
        <v>1</v>
      </c>
      <c r="D1796" s="190">
        <v>1</v>
      </c>
      <c r="E1796" s="194">
        <v>16.73</v>
      </c>
      <c r="F1796" s="194"/>
      <c r="G1796" s="213">
        <v>0.32500000000000001</v>
      </c>
      <c r="H1796" s="194">
        <f t="shared" si="52"/>
        <v>5.44</v>
      </c>
    </row>
    <row r="1797" spans="1:8" s="228" customFormat="1" ht="20.100000000000001" customHeight="1">
      <c r="A1797" s="187"/>
      <c r="B1797" s="192" t="s">
        <v>3532</v>
      </c>
      <c r="C1797" s="190">
        <v>1</v>
      </c>
      <c r="D1797" s="190">
        <v>1</v>
      </c>
      <c r="E1797" s="194">
        <v>4.0199999999999996</v>
      </c>
      <c r="F1797" s="194"/>
      <c r="G1797" s="193">
        <v>0.15</v>
      </c>
      <c r="H1797" s="194">
        <f t="shared" si="52"/>
        <v>0.6</v>
      </c>
    </row>
    <row r="1798" spans="1:8" s="228" customFormat="1" ht="20.100000000000001" customHeight="1">
      <c r="A1798" s="187"/>
      <c r="B1798" s="192" t="s">
        <v>3880</v>
      </c>
      <c r="C1798" s="190">
        <v>1</v>
      </c>
      <c r="D1798" s="190">
        <v>1</v>
      </c>
      <c r="E1798" s="194">
        <v>12.46</v>
      </c>
      <c r="F1798" s="194"/>
      <c r="G1798" s="213">
        <v>0.32500000000000001</v>
      </c>
      <c r="H1798" s="194">
        <f t="shared" si="52"/>
        <v>4.05</v>
      </c>
    </row>
    <row r="1799" spans="1:8" s="228" customFormat="1" ht="20.100000000000001" customHeight="1">
      <c r="A1799" s="187"/>
      <c r="B1799" s="192" t="s">
        <v>4162</v>
      </c>
      <c r="C1799" s="190">
        <v>1</v>
      </c>
      <c r="D1799" s="190">
        <v>1</v>
      </c>
      <c r="E1799" s="264">
        <v>4.6150000000000002</v>
      </c>
      <c r="F1799" s="194"/>
      <c r="G1799" s="193">
        <v>0.15</v>
      </c>
      <c r="H1799" s="194">
        <f t="shared" si="52"/>
        <v>0.69</v>
      </c>
    </row>
    <row r="1800" spans="1:8" s="228" customFormat="1" ht="20.100000000000001" customHeight="1">
      <c r="A1800" s="187"/>
      <c r="B1800" s="192" t="s">
        <v>3880</v>
      </c>
      <c r="C1800" s="190">
        <v>1</v>
      </c>
      <c r="D1800" s="190">
        <v>1</v>
      </c>
      <c r="E1800" s="264">
        <v>19.059999999999999</v>
      </c>
      <c r="F1800" s="194"/>
      <c r="G1800" s="213">
        <v>0.32500000000000001</v>
      </c>
      <c r="H1800" s="194">
        <f t="shared" si="52"/>
        <v>6.19</v>
      </c>
    </row>
    <row r="1801" spans="1:8" s="228" customFormat="1" ht="20.100000000000001" customHeight="1">
      <c r="A1801" s="187"/>
      <c r="B1801" s="192" t="s">
        <v>4162</v>
      </c>
      <c r="C1801" s="190">
        <v>1</v>
      </c>
      <c r="D1801" s="190">
        <v>1</v>
      </c>
      <c r="E1801" s="264">
        <v>4.6150000000000002</v>
      </c>
      <c r="F1801" s="194"/>
      <c r="G1801" s="193">
        <v>0.15</v>
      </c>
      <c r="H1801" s="194">
        <f t="shared" si="52"/>
        <v>0.69</v>
      </c>
    </row>
    <row r="1802" spans="1:8" s="228" customFormat="1" ht="20.100000000000001" customHeight="1">
      <c r="A1802" s="187"/>
      <c r="B1802" s="192" t="s">
        <v>3885</v>
      </c>
      <c r="C1802" s="190">
        <v>1</v>
      </c>
      <c r="D1802" s="190">
        <v>1</v>
      </c>
      <c r="E1802" s="194">
        <v>15</v>
      </c>
      <c r="F1802" s="194"/>
      <c r="G1802" s="213">
        <v>0.32500000000000001</v>
      </c>
      <c r="H1802" s="194">
        <f t="shared" si="52"/>
        <v>4.88</v>
      </c>
    </row>
    <row r="1803" spans="1:8" s="228" customFormat="1" ht="20.100000000000001" customHeight="1">
      <c r="A1803" s="187"/>
      <c r="B1803" s="192" t="s">
        <v>3532</v>
      </c>
      <c r="C1803" s="190">
        <v>1</v>
      </c>
      <c r="D1803" s="190">
        <v>1</v>
      </c>
      <c r="E1803" s="194">
        <v>3.15</v>
      </c>
      <c r="F1803" s="194"/>
      <c r="G1803" s="193">
        <v>0.15</v>
      </c>
      <c r="H1803" s="194">
        <f t="shared" ref="H1803:H1866" si="53">PRODUCT(C1803:G1803)</f>
        <v>0.47</v>
      </c>
    </row>
    <row r="1804" spans="1:8" s="228" customFormat="1" ht="20.100000000000001" customHeight="1">
      <c r="A1804" s="187"/>
      <c r="B1804" s="192" t="s">
        <v>3831</v>
      </c>
      <c r="C1804" s="190">
        <v>1</v>
      </c>
      <c r="D1804" s="190">
        <v>1</v>
      </c>
      <c r="E1804" s="194">
        <v>11.4</v>
      </c>
      <c r="F1804" s="194"/>
      <c r="G1804" s="213">
        <v>0.32500000000000001</v>
      </c>
      <c r="H1804" s="194">
        <f t="shared" si="53"/>
        <v>3.71</v>
      </c>
    </row>
    <row r="1805" spans="1:8" s="228" customFormat="1" ht="20.100000000000001" customHeight="1">
      <c r="A1805" s="187"/>
      <c r="B1805" s="192" t="s">
        <v>3532</v>
      </c>
      <c r="C1805" s="190">
        <v>1</v>
      </c>
      <c r="D1805" s="190">
        <v>1</v>
      </c>
      <c r="E1805" s="194">
        <v>1.35</v>
      </c>
      <c r="F1805" s="194"/>
      <c r="G1805" s="193">
        <v>0.15</v>
      </c>
      <c r="H1805" s="194">
        <f t="shared" si="53"/>
        <v>0.2</v>
      </c>
    </row>
    <row r="1806" spans="1:8" s="228" customFormat="1" ht="20.100000000000001" customHeight="1">
      <c r="A1806" s="187"/>
      <c r="B1806" s="192" t="s">
        <v>4169</v>
      </c>
      <c r="C1806" s="190">
        <v>1</v>
      </c>
      <c r="D1806" s="190">
        <v>1</v>
      </c>
      <c r="E1806" s="194">
        <v>16.73</v>
      </c>
      <c r="F1806" s="194"/>
      <c r="G1806" s="213">
        <v>0.32500000000000001</v>
      </c>
      <c r="H1806" s="194">
        <f t="shared" si="53"/>
        <v>5.44</v>
      </c>
    </row>
    <row r="1807" spans="1:8" s="228" customFormat="1" ht="20.100000000000001" customHeight="1">
      <c r="A1807" s="187"/>
      <c r="B1807" s="192" t="s">
        <v>3532</v>
      </c>
      <c r="C1807" s="190">
        <v>1</v>
      </c>
      <c r="D1807" s="190">
        <v>1</v>
      </c>
      <c r="E1807" s="194">
        <v>4.0199999999999996</v>
      </c>
      <c r="F1807" s="194"/>
      <c r="G1807" s="193">
        <v>0.15</v>
      </c>
      <c r="H1807" s="194">
        <f t="shared" si="53"/>
        <v>0.6</v>
      </c>
    </row>
    <row r="1808" spans="1:8" s="228" customFormat="1" ht="20.100000000000001" customHeight="1">
      <c r="A1808" s="187"/>
      <c r="B1808" s="192" t="s">
        <v>3887</v>
      </c>
      <c r="C1808" s="190">
        <v>1</v>
      </c>
      <c r="D1808" s="190">
        <v>1</v>
      </c>
      <c r="E1808" s="194">
        <f>4.35+2.4+4.35+0.46</f>
        <v>11.56</v>
      </c>
      <c r="F1808" s="194"/>
      <c r="G1808" s="213">
        <v>0.255</v>
      </c>
      <c r="H1808" s="194">
        <f t="shared" si="53"/>
        <v>2.95</v>
      </c>
    </row>
    <row r="1809" spans="1:9" s="228" customFormat="1" ht="20.100000000000001" customHeight="1">
      <c r="A1809" s="187"/>
      <c r="B1809" s="192" t="s">
        <v>3532</v>
      </c>
      <c r="C1809" s="190">
        <v>1</v>
      </c>
      <c r="D1809" s="190">
        <v>1</v>
      </c>
      <c r="E1809" s="194">
        <v>6.75</v>
      </c>
      <c r="F1809" s="194"/>
      <c r="G1809" s="193">
        <v>7.0000000000000007E-2</v>
      </c>
      <c r="H1809" s="194">
        <f t="shared" si="53"/>
        <v>0.47</v>
      </c>
    </row>
    <row r="1810" spans="1:9" s="228" customFormat="1" ht="20.100000000000001" customHeight="1">
      <c r="A1810" s="187"/>
      <c r="B1810" s="192" t="s">
        <v>3532</v>
      </c>
      <c r="C1810" s="190">
        <v>1</v>
      </c>
      <c r="D1810" s="190">
        <v>1</v>
      </c>
      <c r="E1810" s="194">
        <v>2.4</v>
      </c>
      <c r="F1810" s="194"/>
      <c r="G1810" s="193">
        <v>0.15</v>
      </c>
      <c r="H1810" s="194">
        <f t="shared" si="53"/>
        <v>0.36</v>
      </c>
    </row>
    <row r="1811" spans="1:9" s="228" customFormat="1" ht="20.100000000000001" customHeight="1">
      <c r="A1811" s="187"/>
      <c r="B1811" s="192" t="s">
        <v>4170</v>
      </c>
      <c r="C1811" s="190">
        <v>1</v>
      </c>
      <c r="D1811" s="190">
        <v>1</v>
      </c>
      <c r="E1811" s="194">
        <v>14.7</v>
      </c>
      <c r="F1811" s="194"/>
      <c r="G1811" s="213">
        <v>0.255</v>
      </c>
      <c r="H1811" s="194">
        <f t="shared" si="53"/>
        <v>3.75</v>
      </c>
    </row>
    <row r="1812" spans="1:9" s="228" customFormat="1" ht="20.100000000000001" customHeight="1">
      <c r="A1812" s="187"/>
      <c r="B1812" s="192" t="s">
        <v>3532</v>
      </c>
      <c r="C1812" s="190">
        <v>1</v>
      </c>
      <c r="D1812" s="190">
        <v>1</v>
      </c>
      <c r="E1812" s="194">
        <v>3</v>
      </c>
      <c r="F1812" s="194"/>
      <c r="G1812" s="193">
        <v>0.15</v>
      </c>
      <c r="H1812" s="194">
        <f t="shared" si="53"/>
        <v>0.45</v>
      </c>
    </row>
    <row r="1813" spans="1:9" s="228" customFormat="1" ht="20.100000000000001" customHeight="1">
      <c r="A1813" s="187"/>
      <c r="B1813" s="192" t="s">
        <v>3532</v>
      </c>
      <c r="C1813" s="190">
        <v>1</v>
      </c>
      <c r="D1813" s="190">
        <v>1</v>
      </c>
      <c r="E1813" s="194">
        <v>3</v>
      </c>
      <c r="F1813" s="194"/>
      <c r="G1813" s="193">
        <v>7.0000000000000007E-2</v>
      </c>
      <c r="H1813" s="194">
        <f t="shared" si="53"/>
        <v>0.21</v>
      </c>
    </row>
    <row r="1814" spans="1:9" s="228" customFormat="1" ht="20.100000000000001" customHeight="1">
      <c r="A1814" s="187"/>
      <c r="B1814" s="192" t="s">
        <v>4064</v>
      </c>
      <c r="C1814" s="190">
        <v>1</v>
      </c>
      <c r="D1814" s="190">
        <v>1</v>
      </c>
      <c r="E1814" s="194">
        <v>15.46</v>
      </c>
      <c r="F1814" s="194"/>
      <c r="G1814" s="213">
        <v>0.255</v>
      </c>
      <c r="H1814" s="194">
        <f t="shared" si="53"/>
        <v>3.94</v>
      </c>
    </row>
    <row r="1815" spans="1:9" s="186" customFormat="1" ht="20.100000000000001" customHeight="1">
      <c r="A1815" s="187"/>
      <c r="B1815" s="192" t="s">
        <v>3532</v>
      </c>
      <c r="C1815" s="190">
        <v>1</v>
      </c>
      <c r="D1815" s="190">
        <v>1</v>
      </c>
      <c r="E1815" s="194">
        <v>7.73</v>
      </c>
      <c r="F1815" s="194"/>
      <c r="G1815" s="193">
        <v>7.0000000000000007E-2</v>
      </c>
      <c r="H1815" s="194">
        <f t="shared" si="53"/>
        <v>0.54</v>
      </c>
    </row>
    <row r="1816" spans="1:9" s="186" customFormat="1" ht="20.100000000000001" customHeight="1">
      <c r="A1816" s="187"/>
      <c r="B1816" s="192" t="s">
        <v>3532</v>
      </c>
      <c r="C1816" s="190">
        <v>1</v>
      </c>
      <c r="D1816" s="190">
        <v>1</v>
      </c>
      <c r="E1816" s="194">
        <v>5.63</v>
      </c>
      <c r="F1816" s="194"/>
      <c r="G1816" s="193">
        <v>0.15</v>
      </c>
      <c r="H1816" s="194">
        <f t="shared" si="53"/>
        <v>0.84</v>
      </c>
    </row>
    <row r="1817" spans="1:9" s="186" customFormat="1" ht="20.100000000000001" customHeight="1">
      <c r="A1817" s="244"/>
      <c r="B1817" s="192" t="s">
        <v>4064</v>
      </c>
      <c r="C1817" s="190">
        <v>1</v>
      </c>
      <c r="D1817" s="190">
        <v>1</v>
      </c>
      <c r="E1817" s="194">
        <v>16.73</v>
      </c>
      <c r="F1817" s="194"/>
      <c r="G1817" s="213">
        <v>0.32500000000000001</v>
      </c>
      <c r="H1817" s="194">
        <f t="shared" si="53"/>
        <v>5.44</v>
      </c>
    </row>
    <row r="1818" spans="1:9" s="186" customFormat="1" ht="20.100000000000001" customHeight="1">
      <c r="A1818" s="244"/>
      <c r="B1818" s="192" t="s">
        <v>3532</v>
      </c>
      <c r="C1818" s="190">
        <v>1</v>
      </c>
      <c r="D1818" s="190">
        <v>1</v>
      </c>
      <c r="E1818" s="194">
        <v>4.0199999999999996</v>
      </c>
      <c r="F1818" s="194"/>
      <c r="G1818" s="193">
        <v>0.15</v>
      </c>
      <c r="H1818" s="194">
        <f t="shared" si="53"/>
        <v>0.6</v>
      </c>
    </row>
    <row r="1819" spans="1:9" s="186" customFormat="1" ht="20.100000000000001" customHeight="1">
      <c r="A1819" s="244"/>
      <c r="B1819" s="218" t="s">
        <v>4166</v>
      </c>
      <c r="C1819" s="190">
        <f>C1809</f>
        <v>1</v>
      </c>
      <c r="D1819" s="190">
        <v>1</v>
      </c>
      <c r="E1819" s="187">
        <v>15.18</v>
      </c>
      <c r="F1819" s="187">
        <v>11.72</v>
      </c>
      <c r="G1819" s="213"/>
      <c r="H1819" s="194">
        <f t="shared" si="53"/>
        <v>177.91</v>
      </c>
    </row>
    <row r="1820" spans="1:9" s="186" customFormat="1" ht="20.100000000000001" customHeight="1">
      <c r="A1820" s="244"/>
      <c r="B1820" s="189" t="s">
        <v>3498</v>
      </c>
      <c r="C1820" s="190"/>
      <c r="D1820" s="190"/>
      <c r="E1820" s="193"/>
      <c r="F1820" s="193"/>
      <c r="G1820" s="213"/>
      <c r="H1820" s="194">
        <f t="shared" si="53"/>
        <v>0</v>
      </c>
    </row>
    <row r="1821" spans="1:9" s="186" customFormat="1" ht="20.100000000000001" customHeight="1">
      <c r="A1821" s="244"/>
      <c r="B1821" s="192" t="s">
        <v>3499</v>
      </c>
      <c r="C1821" s="190">
        <v>-1</v>
      </c>
      <c r="D1821" s="190">
        <v>8</v>
      </c>
      <c r="E1821" s="193">
        <v>0.23</v>
      </c>
      <c r="F1821" s="193">
        <v>0.38</v>
      </c>
      <c r="G1821" s="213"/>
      <c r="H1821" s="194">
        <f t="shared" si="53"/>
        <v>-0.7</v>
      </c>
    </row>
    <row r="1822" spans="1:9" s="186" customFormat="1" ht="20.100000000000001" customHeight="1">
      <c r="A1822" s="244"/>
      <c r="B1822" s="192" t="s">
        <v>3500</v>
      </c>
      <c r="C1822" s="190">
        <v>-1</v>
      </c>
      <c r="D1822" s="190">
        <v>1</v>
      </c>
      <c r="E1822" s="193">
        <v>0.23</v>
      </c>
      <c r="F1822" s="193">
        <v>0.45</v>
      </c>
      <c r="G1822" s="213"/>
      <c r="H1822" s="194">
        <f t="shared" si="53"/>
        <v>-0.1</v>
      </c>
    </row>
    <row r="1823" spans="1:9" s="186" customFormat="1" ht="20.100000000000001" customHeight="1">
      <c r="A1823" s="244"/>
      <c r="B1823" s="192" t="s">
        <v>3501</v>
      </c>
      <c r="C1823" s="190">
        <v>-1</v>
      </c>
      <c r="D1823" s="190">
        <v>8</v>
      </c>
      <c r="E1823" s="193">
        <v>0.23</v>
      </c>
      <c r="F1823" s="193">
        <v>0.45</v>
      </c>
      <c r="G1823" s="213"/>
      <c r="H1823" s="194">
        <f t="shared" si="53"/>
        <v>-0.83</v>
      </c>
    </row>
    <row r="1824" spans="1:9" s="186" customFormat="1" ht="20.100000000000001" customHeight="1">
      <c r="A1824" s="244"/>
      <c r="B1824" s="192" t="s">
        <v>3502</v>
      </c>
      <c r="C1824" s="190">
        <v>-1</v>
      </c>
      <c r="D1824" s="233">
        <v>2</v>
      </c>
      <c r="E1824" s="193">
        <v>0.23</v>
      </c>
      <c r="F1824" s="193">
        <v>0.45</v>
      </c>
      <c r="G1824" s="213"/>
      <c r="H1824" s="194">
        <f t="shared" si="53"/>
        <v>-0.21</v>
      </c>
      <c r="I1824" s="225" t="e">
        <f>SUM(#REF!)</f>
        <v>#REF!</v>
      </c>
    </row>
    <row r="1825" spans="1:9" s="237" customFormat="1" ht="20.100000000000001" customHeight="1">
      <c r="A1825" s="246"/>
      <c r="B1825" s="232" t="s">
        <v>3599</v>
      </c>
      <c r="C1825" s="233">
        <v>-1</v>
      </c>
      <c r="D1825" s="233">
        <v>1</v>
      </c>
      <c r="E1825" s="235">
        <v>0.23</v>
      </c>
      <c r="F1825" s="235">
        <v>0.6</v>
      </c>
      <c r="G1825" s="249"/>
      <c r="H1825" s="236">
        <f>PRODUCT(C1825:G1825)</f>
        <v>-0.14000000000000001</v>
      </c>
      <c r="I1825" s="353" t="e">
        <f>SUM(#REF!)</f>
        <v>#REF!</v>
      </c>
    </row>
    <row r="1826" spans="1:9" s="186" customFormat="1" ht="20.100000000000001" customHeight="1">
      <c r="A1826" s="244"/>
      <c r="B1826" s="216" t="s">
        <v>3640</v>
      </c>
      <c r="C1826" s="219"/>
      <c r="D1826" s="219"/>
      <c r="E1826" s="193"/>
      <c r="F1826" s="193"/>
      <c r="G1826" s="213"/>
      <c r="H1826" s="194">
        <f t="shared" si="53"/>
        <v>0</v>
      </c>
      <c r="I1826" s="225"/>
    </row>
    <row r="1827" spans="1:9" s="186" customFormat="1" ht="20.100000000000001" customHeight="1">
      <c r="A1827" s="244"/>
      <c r="B1827" s="189" t="s">
        <v>4150</v>
      </c>
      <c r="C1827" s="219"/>
      <c r="D1827" s="219"/>
      <c r="E1827" s="193"/>
      <c r="F1827" s="193"/>
      <c r="G1827" s="213"/>
      <c r="H1827" s="194">
        <f t="shared" si="53"/>
        <v>0</v>
      </c>
      <c r="I1827" s="225"/>
    </row>
    <row r="1828" spans="1:9" s="186" customFormat="1" ht="20.100000000000001" customHeight="1">
      <c r="A1828" s="244"/>
      <c r="B1828" s="218" t="s">
        <v>3606</v>
      </c>
      <c r="C1828" s="219">
        <v>2</v>
      </c>
      <c r="D1828" s="219">
        <v>1</v>
      </c>
      <c r="E1828" s="193">
        <f>1.8+0.46</f>
        <v>2.2599999999999998</v>
      </c>
      <c r="F1828" s="193"/>
      <c r="G1828" s="193">
        <v>0.05</v>
      </c>
      <c r="H1828" s="194">
        <f t="shared" si="53"/>
        <v>0.23</v>
      </c>
      <c r="I1828" s="225"/>
    </row>
    <row r="1829" spans="1:9" s="186" customFormat="1" ht="20.100000000000001" customHeight="1">
      <c r="A1829" s="187"/>
      <c r="B1829" s="218" t="s">
        <v>3642</v>
      </c>
      <c r="C1829" s="219">
        <v>2</v>
      </c>
      <c r="D1829" s="219">
        <v>7</v>
      </c>
      <c r="E1829" s="193">
        <f>1.35+0.46</f>
        <v>1.81</v>
      </c>
      <c r="F1829" s="193"/>
      <c r="G1829" s="193">
        <v>0.05</v>
      </c>
      <c r="H1829" s="194">
        <f t="shared" si="53"/>
        <v>1.27</v>
      </c>
    </row>
    <row r="1830" spans="1:9" s="228" customFormat="1" ht="20.100000000000001" customHeight="1">
      <c r="A1830" s="187"/>
      <c r="B1830" s="218" t="s">
        <v>3605</v>
      </c>
      <c r="C1830" s="219">
        <v>2</v>
      </c>
      <c r="D1830" s="219">
        <v>4</v>
      </c>
      <c r="E1830" s="193">
        <f>1.5+0.46</f>
        <v>1.96</v>
      </c>
      <c r="F1830" s="193"/>
      <c r="G1830" s="193">
        <v>0.05</v>
      </c>
      <c r="H1830" s="194">
        <f t="shared" si="53"/>
        <v>0.78</v>
      </c>
    </row>
    <row r="1831" spans="1:9" s="228" customFormat="1" ht="20.100000000000001" customHeight="1">
      <c r="A1831" s="187"/>
      <c r="B1831" s="218" t="s">
        <v>3632</v>
      </c>
      <c r="C1831" s="219">
        <v>2</v>
      </c>
      <c r="D1831" s="219">
        <v>1</v>
      </c>
      <c r="E1831" s="193">
        <f>1.8+0.46</f>
        <v>2.2599999999999998</v>
      </c>
      <c r="F1831" s="193"/>
      <c r="G1831" s="193">
        <v>0.05</v>
      </c>
      <c r="H1831" s="194">
        <f t="shared" si="53"/>
        <v>0.23</v>
      </c>
    </row>
    <row r="1832" spans="1:9" s="228" customFormat="1" ht="20.100000000000001" customHeight="1">
      <c r="A1832" s="187"/>
      <c r="B1832" s="216" t="s">
        <v>3608</v>
      </c>
      <c r="C1832" s="219"/>
      <c r="D1832" s="219"/>
      <c r="E1832" s="193"/>
      <c r="F1832" s="193"/>
      <c r="G1832" s="213"/>
      <c r="H1832" s="194">
        <f t="shared" si="53"/>
        <v>0</v>
      </c>
    </row>
    <row r="1833" spans="1:9" s="186" customFormat="1" ht="20.100000000000001" customHeight="1">
      <c r="A1833" s="244"/>
      <c r="B1833" s="192" t="s">
        <v>3605</v>
      </c>
      <c r="C1833" s="190">
        <v>2</v>
      </c>
      <c r="D1833" s="190">
        <v>4</v>
      </c>
      <c r="E1833" s="194">
        <v>1.96</v>
      </c>
      <c r="F1833" s="194">
        <v>0.23</v>
      </c>
      <c r="G1833" s="193">
        <v>0.15</v>
      </c>
      <c r="H1833" s="194">
        <f>G1833*F1833*E1833*D1833*C1833</f>
        <v>0.54</v>
      </c>
    </row>
    <row r="1834" spans="1:9" s="186" customFormat="1" ht="20.100000000000001" customHeight="1">
      <c r="A1834" s="244"/>
      <c r="B1834" s="192" t="s">
        <v>3632</v>
      </c>
      <c r="C1834" s="190">
        <v>2</v>
      </c>
      <c r="D1834" s="190">
        <v>1</v>
      </c>
      <c r="E1834" s="194">
        <v>2.2599999999999998</v>
      </c>
      <c r="F1834" s="194">
        <v>0.23</v>
      </c>
      <c r="G1834" s="193">
        <v>0.15</v>
      </c>
      <c r="H1834" s="194">
        <f>G1834*F1834*E1834*D1834*C1834</f>
        <v>0.16</v>
      </c>
    </row>
    <row r="1835" spans="1:9" s="186" customFormat="1" ht="20.100000000000001" customHeight="1">
      <c r="A1835" s="244"/>
      <c r="B1835" s="192" t="s">
        <v>3606</v>
      </c>
      <c r="C1835" s="190">
        <v>2</v>
      </c>
      <c r="D1835" s="190">
        <v>1</v>
      </c>
      <c r="E1835" s="194">
        <v>2.2599999999999998</v>
      </c>
      <c r="F1835" s="194">
        <v>0.23</v>
      </c>
      <c r="G1835" s="193">
        <v>0.15</v>
      </c>
      <c r="H1835" s="194">
        <f>G1835*F1835*E1835*D1835*C1835</f>
        <v>0.16</v>
      </c>
    </row>
    <row r="1836" spans="1:9" s="186" customFormat="1" ht="20.100000000000001" customHeight="1">
      <c r="A1836" s="244"/>
      <c r="B1836" s="192" t="s">
        <v>3483</v>
      </c>
      <c r="C1836" s="190">
        <v>2</v>
      </c>
      <c r="D1836" s="190">
        <v>6</v>
      </c>
      <c r="E1836" s="194">
        <v>1.46</v>
      </c>
      <c r="F1836" s="194">
        <v>0.23</v>
      </c>
      <c r="G1836" s="193">
        <v>0.15</v>
      </c>
      <c r="H1836" s="194">
        <f>G1836*F1836*E1836*D1836*C1836</f>
        <v>0.6</v>
      </c>
    </row>
    <row r="1837" spans="1:9" s="186" customFormat="1" ht="20.100000000000001" customHeight="1">
      <c r="A1837" s="244"/>
      <c r="B1837" s="192" t="s">
        <v>3611</v>
      </c>
      <c r="C1837" s="190">
        <v>2</v>
      </c>
      <c r="D1837" s="190">
        <v>6</v>
      </c>
      <c r="E1837" s="194">
        <v>1.21</v>
      </c>
      <c r="F1837" s="194">
        <v>0.23</v>
      </c>
      <c r="G1837" s="193">
        <v>0.15</v>
      </c>
      <c r="H1837" s="194">
        <f>G1837*F1837*E1837*D1837*C1837</f>
        <v>0.5</v>
      </c>
    </row>
    <row r="1838" spans="1:9" s="228" customFormat="1" ht="20.100000000000001" customHeight="1">
      <c r="A1838" s="187"/>
      <c r="B1838" s="189" t="s">
        <v>4171</v>
      </c>
      <c r="C1838" s="190"/>
      <c r="D1838" s="190"/>
      <c r="E1838" s="324"/>
      <c r="F1838" s="324"/>
      <c r="G1838" s="213"/>
      <c r="H1838" s="194">
        <f t="shared" si="53"/>
        <v>0</v>
      </c>
    </row>
    <row r="1839" spans="1:9" s="228" customFormat="1" ht="20.100000000000001" customHeight="1">
      <c r="A1839" s="187"/>
      <c r="B1839" s="192" t="s">
        <v>3483</v>
      </c>
      <c r="C1839" s="190">
        <v>1</v>
      </c>
      <c r="D1839" s="190">
        <v>6</v>
      </c>
      <c r="E1839" s="194">
        <v>1</v>
      </c>
      <c r="F1839" s="194">
        <v>0.23</v>
      </c>
      <c r="G1839" s="213"/>
      <c r="H1839" s="194">
        <f t="shared" si="53"/>
        <v>1.38</v>
      </c>
    </row>
    <row r="1840" spans="1:9" s="186" customFormat="1" ht="20.100000000000001" customHeight="1">
      <c r="A1840" s="244"/>
      <c r="B1840" s="192" t="s">
        <v>3611</v>
      </c>
      <c r="C1840" s="190">
        <v>1</v>
      </c>
      <c r="D1840" s="190">
        <v>6</v>
      </c>
      <c r="E1840" s="194">
        <v>0.75</v>
      </c>
      <c r="F1840" s="213">
        <v>0.115</v>
      </c>
      <c r="G1840" s="213"/>
      <c r="H1840" s="194">
        <f t="shared" si="53"/>
        <v>0.52</v>
      </c>
    </row>
    <row r="1841" spans="1:9" s="186" customFormat="1" ht="20.100000000000001" customHeight="1">
      <c r="A1841" s="244"/>
      <c r="B1841" s="192" t="s">
        <v>3606</v>
      </c>
      <c r="C1841" s="190">
        <v>1</v>
      </c>
      <c r="D1841" s="190">
        <v>1</v>
      </c>
      <c r="E1841" s="194">
        <v>1.8</v>
      </c>
      <c r="F1841" s="194">
        <v>0.23</v>
      </c>
      <c r="G1841" s="213"/>
      <c r="H1841" s="194">
        <f t="shared" si="53"/>
        <v>0.41</v>
      </c>
    </row>
    <row r="1842" spans="1:9" s="186" customFormat="1" ht="20.100000000000001" customHeight="1">
      <c r="A1842" s="187"/>
      <c r="B1842" s="192" t="s">
        <v>3642</v>
      </c>
      <c r="C1842" s="190">
        <v>1</v>
      </c>
      <c r="D1842" s="190">
        <v>7</v>
      </c>
      <c r="E1842" s="194">
        <v>1.35</v>
      </c>
      <c r="F1842" s="194">
        <v>0.23</v>
      </c>
      <c r="G1842" s="213"/>
      <c r="H1842" s="194">
        <f t="shared" si="53"/>
        <v>2.17</v>
      </c>
    </row>
    <row r="1843" spans="1:9" s="186" customFormat="1" ht="20.100000000000001" customHeight="1">
      <c r="A1843" s="187"/>
      <c r="B1843" s="192" t="s">
        <v>3605</v>
      </c>
      <c r="C1843" s="190">
        <v>1</v>
      </c>
      <c r="D1843" s="190">
        <v>4</v>
      </c>
      <c r="E1843" s="194">
        <v>1.5</v>
      </c>
      <c r="F1843" s="194">
        <v>0.23</v>
      </c>
      <c r="G1843" s="213"/>
      <c r="H1843" s="194">
        <f t="shared" si="53"/>
        <v>1.38</v>
      </c>
    </row>
    <row r="1844" spans="1:9" s="186" customFormat="1" ht="20.100000000000001" customHeight="1">
      <c r="A1844" s="187"/>
      <c r="B1844" s="218" t="s">
        <v>3632</v>
      </c>
      <c r="C1844" s="190">
        <v>1</v>
      </c>
      <c r="D1844" s="219">
        <v>1</v>
      </c>
      <c r="E1844" s="194">
        <v>1.8</v>
      </c>
      <c r="F1844" s="194">
        <v>0.23</v>
      </c>
      <c r="G1844" s="213"/>
      <c r="H1844" s="194">
        <f t="shared" si="53"/>
        <v>0.41</v>
      </c>
    </row>
    <row r="1845" spans="1:9" s="186" customFormat="1" ht="20.100000000000001" customHeight="1">
      <c r="A1845" s="187"/>
      <c r="B1845" s="218" t="s">
        <v>3897</v>
      </c>
      <c r="C1845" s="190">
        <v>1</v>
      </c>
      <c r="D1845" s="219">
        <v>7</v>
      </c>
      <c r="E1845" s="194">
        <v>0.75</v>
      </c>
      <c r="F1845" s="194">
        <v>0.23</v>
      </c>
      <c r="G1845" s="213"/>
      <c r="H1845" s="194">
        <f t="shared" si="53"/>
        <v>1.21</v>
      </c>
    </row>
    <row r="1846" spans="1:9" s="186" customFormat="1" ht="20.100000000000001" customHeight="1">
      <c r="A1846" s="187"/>
      <c r="B1846" s="189" t="s">
        <v>3613</v>
      </c>
      <c r="C1846" s="190"/>
      <c r="D1846" s="190"/>
      <c r="E1846" s="264"/>
      <c r="F1846" s="264"/>
      <c r="G1846" s="213"/>
      <c r="H1846" s="194">
        <f t="shared" si="53"/>
        <v>0</v>
      </c>
    </row>
    <row r="1847" spans="1:9" s="186" customFormat="1" ht="20.100000000000001" customHeight="1">
      <c r="A1847" s="187"/>
      <c r="B1847" s="192" t="s">
        <v>3945</v>
      </c>
      <c r="C1847" s="190">
        <v>1</v>
      </c>
      <c r="D1847" s="190">
        <v>1</v>
      </c>
      <c r="E1847" s="264">
        <v>4.0149999999999997</v>
      </c>
      <c r="F1847" s="194">
        <v>0.6</v>
      </c>
      <c r="G1847" s="213"/>
      <c r="H1847" s="194">
        <f t="shared" si="53"/>
        <v>2.41</v>
      </c>
    </row>
    <row r="1848" spans="1:9" s="186" customFormat="1" ht="20.100000000000001" customHeight="1">
      <c r="A1848" s="244"/>
      <c r="B1848" s="192" t="s">
        <v>3946</v>
      </c>
      <c r="C1848" s="190">
        <v>1</v>
      </c>
      <c r="D1848" s="190">
        <v>1</v>
      </c>
      <c r="E1848" s="264">
        <v>4.0149999999999997</v>
      </c>
      <c r="F1848" s="194">
        <v>0.6</v>
      </c>
      <c r="G1848" s="213"/>
      <c r="H1848" s="194">
        <f t="shared" si="53"/>
        <v>2.41</v>
      </c>
      <c r="I1848" s="225"/>
    </row>
    <row r="1849" spans="1:9" s="186" customFormat="1" ht="20.100000000000001" customHeight="1">
      <c r="A1849" s="244"/>
      <c r="B1849" s="192" t="s">
        <v>3855</v>
      </c>
      <c r="C1849" s="190">
        <v>1</v>
      </c>
      <c r="D1849" s="190">
        <v>1</v>
      </c>
      <c r="E1849" s="194">
        <v>3</v>
      </c>
      <c r="F1849" s="194">
        <v>0.6</v>
      </c>
      <c r="G1849" s="213"/>
      <c r="H1849" s="194">
        <f t="shared" si="53"/>
        <v>1.8</v>
      </c>
      <c r="I1849" s="225"/>
    </row>
    <row r="1850" spans="1:9" s="186" customFormat="1" ht="20.100000000000001" customHeight="1">
      <c r="A1850" s="244"/>
      <c r="B1850" s="192" t="s">
        <v>3858</v>
      </c>
      <c r="C1850" s="190">
        <v>1</v>
      </c>
      <c r="D1850" s="190">
        <v>1</v>
      </c>
      <c r="E1850" s="264">
        <v>4.915</v>
      </c>
      <c r="F1850" s="194">
        <v>0.6</v>
      </c>
      <c r="G1850" s="213"/>
      <c r="H1850" s="194">
        <f t="shared" si="53"/>
        <v>2.95</v>
      </c>
      <c r="I1850" s="225"/>
    </row>
    <row r="1851" spans="1:9" s="186" customFormat="1" ht="20.100000000000001" customHeight="1">
      <c r="A1851" s="244"/>
      <c r="B1851" s="192" t="s">
        <v>3739</v>
      </c>
      <c r="C1851" s="190">
        <v>1</v>
      </c>
      <c r="D1851" s="190">
        <v>1</v>
      </c>
      <c r="E1851" s="194">
        <v>4.3499999999999996</v>
      </c>
      <c r="F1851" s="194">
        <v>0.6</v>
      </c>
      <c r="G1851" s="213"/>
      <c r="H1851" s="194">
        <f t="shared" si="53"/>
        <v>2.61</v>
      </c>
      <c r="I1851" s="225"/>
    </row>
    <row r="1852" spans="1:9" s="186" customFormat="1" ht="20.100000000000001" customHeight="1">
      <c r="A1852" s="244"/>
      <c r="B1852" s="189" t="s">
        <v>3296</v>
      </c>
      <c r="C1852" s="219"/>
      <c r="D1852" s="219"/>
      <c r="E1852" s="193"/>
      <c r="F1852" s="193"/>
      <c r="G1852" s="213"/>
      <c r="H1852" s="194">
        <f t="shared" si="53"/>
        <v>0</v>
      </c>
      <c r="I1852" s="225"/>
    </row>
    <row r="1853" spans="1:9" s="186" customFormat="1" ht="20.100000000000001" customHeight="1">
      <c r="A1853" s="244"/>
      <c r="B1853" s="192" t="s">
        <v>4152</v>
      </c>
      <c r="C1853" s="190">
        <v>1</v>
      </c>
      <c r="D1853" s="190">
        <v>1</v>
      </c>
      <c r="E1853" s="187">
        <v>3.8460000000000001</v>
      </c>
      <c r="F1853" s="194">
        <v>1.2</v>
      </c>
      <c r="G1853" s="213"/>
      <c r="H1853" s="194">
        <f t="shared" si="53"/>
        <v>4.62</v>
      </c>
      <c r="I1853" s="225"/>
    </row>
    <row r="1854" spans="1:9" s="186" customFormat="1" ht="20.100000000000001" customHeight="1">
      <c r="A1854" s="244"/>
      <c r="B1854" s="192" t="s">
        <v>4153</v>
      </c>
      <c r="C1854" s="190">
        <v>1</v>
      </c>
      <c r="D1854" s="190">
        <v>1</v>
      </c>
      <c r="E1854" s="187">
        <v>3.8460000000000001</v>
      </c>
      <c r="F1854" s="194"/>
      <c r="G1854" s="193">
        <v>0.15</v>
      </c>
      <c r="H1854" s="194">
        <f t="shared" si="53"/>
        <v>0.57999999999999996</v>
      </c>
      <c r="I1854" s="225"/>
    </row>
    <row r="1855" spans="1:9" s="186" customFormat="1" ht="20.100000000000001" customHeight="1">
      <c r="A1855" s="244"/>
      <c r="B1855" s="192" t="s">
        <v>4154</v>
      </c>
      <c r="C1855" s="190">
        <v>1</v>
      </c>
      <c r="D1855" s="190">
        <v>1</v>
      </c>
      <c r="E1855" s="194">
        <v>2.46</v>
      </c>
      <c r="F1855" s="194">
        <v>1.71</v>
      </c>
      <c r="G1855" s="193"/>
      <c r="H1855" s="194">
        <f t="shared" si="53"/>
        <v>4.21</v>
      </c>
      <c r="I1855" s="225"/>
    </row>
    <row r="1856" spans="1:9" s="186" customFormat="1" ht="20.100000000000001" customHeight="1">
      <c r="A1856" s="244"/>
      <c r="B1856" s="192" t="s">
        <v>4155</v>
      </c>
      <c r="C1856" s="190">
        <v>1</v>
      </c>
      <c r="D1856" s="190">
        <v>1</v>
      </c>
      <c r="E1856" s="194">
        <v>2.46</v>
      </c>
      <c r="F1856" s="194"/>
      <c r="G1856" s="193">
        <v>0.3</v>
      </c>
      <c r="H1856" s="194">
        <f t="shared" si="53"/>
        <v>0.74</v>
      </c>
      <c r="I1856" s="225"/>
    </row>
    <row r="1857" spans="1:9" s="186" customFormat="1" ht="20.100000000000001" customHeight="1">
      <c r="A1857" s="244"/>
      <c r="B1857" s="192" t="s">
        <v>4156</v>
      </c>
      <c r="C1857" s="190">
        <v>1</v>
      </c>
      <c r="D1857" s="190">
        <v>1</v>
      </c>
      <c r="E1857" s="194">
        <v>2</v>
      </c>
      <c r="F1857" s="194"/>
      <c r="G1857" s="193">
        <f>0.3-0.15</f>
        <v>0.15</v>
      </c>
      <c r="H1857" s="194">
        <f t="shared" si="53"/>
        <v>0.3</v>
      </c>
      <c r="I1857" s="225"/>
    </row>
    <row r="1858" spans="1:9" s="186" customFormat="1" ht="20.100000000000001" customHeight="1">
      <c r="A1858" s="244"/>
      <c r="B1858" s="192" t="s">
        <v>4157</v>
      </c>
      <c r="C1858" s="190">
        <v>0.5</v>
      </c>
      <c r="D1858" s="190">
        <v>11</v>
      </c>
      <c r="E1858" s="194"/>
      <c r="F1858" s="194">
        <v>0.3</v>
      </c>
      <c r="G1858" s="213">
        <v>0.157</v>
      </c>
      <c r="H1858" s="194">
        <f t="shared" si="53"/>
        <v>0.26</v>
      </c>
      <c r="I1858" s="225"/>
    </row>
    <row r="1859" spans="1:9" s="186" customFormat="1" ht="20.100000000000001" customHeight="1">
      <c r="A1859" s="244"/>
      <c r="B1859" s="192" t="s">
        <v>4158</v>
      </c>
      <c r="C1859" s="190">
        <v>1</v>
      </c>
      <c r="D1859" s="190">
        <v>11</v>
      </c>
      <c r="E1859" s="194">
        <v>1.2</v>
      </c>
      <c r="F1859" s="194"/>
      <c r="G1859" s="213">
        <v>0.157</v>
      </c>
      <c r="H1859" s="194">
        <f t="shared" si="53"/>
        <v>2.0699999999999998</v>
      </c>
      <c r="I1859" s="225"/>
    </row>
    <row r="1860" spans="1:9" s="237" customFormat="1" ht="19.149999999999999" customHeight="1">
      <c r="A1860" s="246"/>
      <c r="B1860" s="232" t="s">
        <v>4159</v>
      </c>
      <c r="C1860" s="233">
        <v>1</v>
      </c>
      <c r="D1860" s="233">
        <v>1</v>
      </c>
      <c r="E1860" s="354">
        <v>3.048</v>
      </c>
      <c r="F1860" s="236">
        <v>1.2</v>
      </c>
      <c r="G1860" s="249"/>
      <c r="H1860" s="236">
        <f t="shared" si="53"/>
        <v>3.66</v>
      </c>
      <c r="I1860" s="353"/>
    </row>
    <row r="1861" spans="1:9" s="186" customFormat="1" ht="20.100000000000001" customHeight="1">
      <c r="A1861" s="244"/>
      <c r="B1861" s="192" t="s">
        <v>4160</v>
      </c>
      <c r="C1861" s="190">
        <v>1</v>
      </c>
      <c r="D1861" s="190">
        <v>1</v>
      </c>
      <c r="E1861" s="187">
        <v>3.048</v>
      </c>
      <c r="F1861" s="194"/>
      <c r="G1861" s="193">
        <f>+G1854</f>
        <v>0.15</v>
      </c>
      <c r="H1861" s="194">
        <f t="shared" si="53"/>
        <v>0.46</v>
      </c>
      <c r="I1861" s="225"/>
    </row>
    <row r="1862" spans="1:9" s="228" customFormat="1" ht="20.100000000000001" customHeight="1">
      <c r="A1862" s="187"/>
      <c r="B1862" s="192" t="s">
        <v>4157</v>
      </c>
      <c r="C1862" s="190">
        <v>0.5</v>
      </c>
      <c r="D1862" s="190">
        <v>9</v>
      </c>
      <c r="E1862" s="194"/>
      <c r="F1862" s="194">
        <v>0.3</v>
      </c>
      <c r="G1862" s="213">
        <v>0.157</v>
      </c>
      <c r="H1862" s="194">
        <f t="shared" si="53"/>
        <v>0.21</v>
      </c>
    </row>
    <row r="1863" spans="1:9" s="228" customFormat="1" ht="20.100000000000001" customHeight="1">
      <c r="A1863" s="187"/>
      <c r="B1863" s="192" t="s">
        <v>4158</v>
      </c>
      <c r="C1863" s="190">
        <v>1</v>
      </c>
      <c r="D1863" s="190">
        <v>9</v>
      </c>
      <c r="E1863" s="194">
        <v>1.2</v>
      </c>
      <c r="F1863" s="194"/>
      <c r="G1863" s="213">
        <v>0.157</v>
      </c>
      <c r="H1863" s="194">
        <f t="shared" si="53"/>
        <v>1.7</v>
      </c>
    </row>
    <row r="1864" spans="1:9" s="228" customFormat="1" ht="20.100000000000001" customHeight="1">
      <c r="A1864" s="187"/>
      <c r="B1864" s="216" t="s">
        <v>3620</v>
      </c>
      <c r="C1864" s="219"/>
      <c r="D1864" s="219"/>
      <c r="E1864" s="193"/>
      <c r="F1864" s="193"/>
      <c r="G1864" s="213"/>
      <c r="H1864" s="194">
        <f t="shared" si="53"/>
        <v>0</v>
      </c>
    </row>
    <row r="1865" spans="1:9" s="228" customFormat="1" ht="20.100000000000001" customHeight="1">
      <c r="A1865" s="187"/>
      <c r="B1865" s="218" t="s">
        <v>4161</v>
      </c>
      <c r="C1865" s="219">
        <v>1</v>
      </c>
      <c r="D1865" s="219">
        <v>1</v>
      </c>
      <c r="E1865" s="193">
        <v>53.8</v>
      </c>
      <c r="F1865" s="193"/>
      <c r="G1865" s="193">
        <v>0.38</v>
      </c>
      <c r="H1865" s="194">
        <f t="shared" si="53"/>
        <v>20.440000000000001</v>
      </c>
    </row>
    <row r="1866" spans="1:9" s="228" customFormat="1" ht="20.100000000000001" customHeight="1">
      <c r="A1866" s="187"/>
      <c r="B1866" s="192" t="s">
        <v>3830</v>
      </c>
      <c r="C1866" s="190">
        <v>1</v>
      </c>
      <c r="D1866" s="190">
        <v>1</v>
      </c>
      <c r="E1866" s="194">
        <f>(4.35+4.015)*2</f>
        <v>16.73</v>
      </c>
      <c r="F1866" s="194"/>
      <c r="G1866" s="213">
        <v>0.255</v>
      </c>
      <c r="H1866" s="194">
        <f t="shared" si="53"/>
        <v>4.2699999999999996</v>
      </c>
    </row>
    <row r="1867" spans="1:9" s="228" customFormat="1" ht="20.100000000000001" customHeight="1">
      <c r="A1867" s="187"/>
      <c r="B1867" s="192" t="s">
        <v>3532</v>
      </c>
      <c r="C1867" s="190">
        <v>1</v>
      </c>
      <c r="D1867" s="190">
        <v>1</v>
      </c>
      <c r="E1867" s="194">
        <v>4.0199999999999996</v>
      </c>
      <c r="F1867" s="194"/>
      <c r="G1867" s="193">
        <v>0.15</v>
      </c>
      <c r="H1867" s="194">
        <f t="shared" ref="H1867:H1909" si="54">PRODUCT(C1867:G1867)</f>
        <v>0.6</v>
      </c>
    </row>
    <row r="1868" spans="1:9" s="228" customFormat="1" ht="20.100000000000001" customHeight="1">
      <c r="A1868" s="187"/>
      <c r="B1868" s="192" t="s">
        <v>3532</v>
      </c>
      <c r="C1868" s="190">
        <v>1</v>
      </c>
      <c r="D1868" s="190">
        <v>1</v>
      </c>
      <c r="E1868" s="194">
        <v>8.3699999999999992</v>
      </c>
      <c r="F1868" s="194"/>
      <c r="G1868" s="193">
        <v>7.0000000000000007E-2</v>
      </c>
      <c r="H1868" s="194">
        <f t="shared" si="54"/>
        <v>0.59</v>
      </c>
    </row>
    <row r="1869" spans="1:9" s="228" customFormat="1" ht="20.100000000000001" customHeight="1">
      <c r="A1869" s="187"/>
      <c r="B1869" s="192" t="s">
        <v>4167</v>
      </c>
      <c r="C1869" s="190">
        <v>1</v>
      </c>
      <c r="D1869" s="190">
        <v>1</v>
      </c>
      <c r="E1869" s="194">
        <v>11.7</v>
      </c>
      <c r="F1869" s="194"/>
      <c r="G1869" s="213">
        <v>0.32500000000000001</v>
      </c>
      <c r="H1869" s="194">
        <f t="shared" si="54"/>
        <v>3.8</v>
      </c>
    </row>
    <row r="1870" spans="1:9" s="228" customFormat="1" ht="20.100000000000001" customHeight="1">
      <c r="A1870" s="187"/>
      <c r="B1870" s="192" t="s">
        <v>3532</v>
      </c>
      <c r="C1870" s="190">
        <v>1</v>
      </c>
      <c r="D1870" s="190">
        <v>1</v>
      </c>
      <c r="E1870" s="194">
        <v>1.5</v>
      </c>
      <c r="F1870" s="194"/>
      <c r="G1870" s="193">
        <v>0.15</v>
      </c>
      <c r="H1870" s="194">
        <f t="shared" si="54"/>
        <v>0.23</v>
      </c>
    </row>
    <row r="1871" spans="1:9" s="228" customFormat="1" ht="33" customHeight="1">
      <c r="A1871" s="187"/>
      <c r="B1871" s="192" t="s">
        <v>4168</v>
      </c>
      <c r="C1871" s="190">
        <v>1</v>
      </c>
      <c r="D1871" s="190">
        <v>1</v>
      </c>
      <c r="E1871" s="194">
        <v>16.73</v>
      </c>
      <c r="F1871" s="194"/>
      <c r="G1871" s="213">
        <v>0.32500000000000001</v>
      </c>
      <c r="H1871" s="194">
        <f t="shared" si="54"/>
        <v>5.44</v>
      </c>
    </row>
    <row r="1872" spans="1:9" s="228" customFormat="1" ht="20.100000000000001" customHeight="1">
      <c r="A1872" s="187"/>
      <c r="B1872" s="192" t="s">
        <v>3532</v>
      </c>
      <c r="C1872" s="190">
        <v>1</v>
      </c>
      <c r="D1872" s="190">
        <v>1</v>
      </c>
      <c r="E1872" s="194">
        <v>4.0199999999999996</v>
      </c>
      <c r="F1872" s="194"/>
      <c r="G1872" s="193">
        <v>0.15</v>
      </c>
      <c r="H1872" s="194">
        <f t="shared" si="54"/>
        <v>0.6</v>
      </c>
    </row>
    <row r="1873" spans="1:8" s="228" customFormat="1" ht="20.100000000000001" customHeight="1">
      <c r="A1873" s="187"/>
      <c r="B1873" s="192" t="s">
        <v>4172</v>
      </c>
      <c r="C1873" s="190">
        <v>1</v>
      </c>
      <c r="D1873" s="190">
        <v>1</v>
      </c>
      <c r="E1873" s="194">
        <v>12.46</v>
      </c>
      <c r="F1873" s="194"/>
      <c r="G1873" s="213">
        <v>0.32500000000000001</v>
      </c>
      <c r="H1873" s="194">
        <f t="shared" si="54"/>
        <v>4.05</v>
      </c>
    </row>
    <row r="1874" spans="1:8" s="228" customFormat="1" ht="20.100000000000001" customHeight="1">
      <c r="A1874" s="187"/>
      <c r="B1874" s="192" t="s">
        <v>4162</v>
      </c>
      <c r="C1874" s="190">
        <v>1</v>
      </c>
      <c r="D1874" s="190">
        <v>1</v>
      </c>
      <c r="E1874" s="264">
        <v>4.6150000000000002</v>
      </c>
      <c r="F1874" s="194"/>
      <c r="G1874" s="193">
        <v>0.15</v>
      </c>
      <c r="H1874" s="194">
        <f t="shared" si="54"/>
        <v>0.69</v>
      </c>
    </row>
    <row r="1875" spans="1:8" s="228" customFormat="1" ht="20.100000000000001" customHeight="1">
      <c r="A1875" s="187"/>
      <c r="B1875" s="192" t="s">
        <v>4173</v>
      </c>
      <c r="C1875" s="190">
        <v>1</v>
      </c>
      <c r="D1875" s="190">
        <v>1</v>
      </c>
      <c r="E1875" s="264">
        <v>19.059999999999999</v>
      </c>
      <c r="F1875" s="194"/>
      <c r="G1875" s="213">
        <v>0.32500000000000001</v>
      </c>
      <c r="H1875" s="194">
        <f t="shared" si="54"/>
        <v>6.19</v>
      </c>
    </row>
    <row r="1876" spans="1:8" s="228" customFormat="1" ht="20.100000000000001" customHeight="1">
      <c r="A1876" s="187"/>
      <c r="B1876" s="192" t="s">
        <v>4162</v>
      </c>
      <c r="C1876" s="190">
        <v>1</v>
      </c>
      <c r="D1876" s="190">
        <v>1</v>
      </c>
      <c r="E1876" s="264">
        <v>4.6150000000000002</v>
      </c>
      <c r="F1876" s="194"/>
      <c r="G1876" s="193">
        <v>0.15</v>
      </c>
      <c r="H1876" s="194">
        <f t="shared" si="54"/>
        <v>0.69</v>
      </c>
    </row>
    <row r="1877" spans="1:8" s="228" customFormat="1" ht="20.100000000000001" customHeight="1">
      <c r="A1877" s="187"/>
      <c r="B1877" s="192" t="s">
        <v>4174</v>
      </c>
      <c r="C1877" s="190">
        <v>1</v>
      </c>
      <c r="D1877" s="190">
        <v>1</v>
      </c>
      <c r="E1877" s="194">
        <v>15</v>
      </c>
      <c r="F1877" s="194"/>
      <c r="G1877" s="213">
        <v>0.32500000000000001</v>
      </c>
      <c r="H1877" s="194">
        <f t="shared" si="54"/>
        <v>4.88</v>
      </c>
    </row>
    <row r="1878" spans="1:8" s="228" customFormat="1" ht="20.100000000000001" customHeight="1">
      <c r="A1878" s="187"/>
      <c r="B1878" s="192" t="s">
        <v>3532</v>
      </c>
      <c r="C1878" s="190">
        <v>1</v>
      </c>
      <c r="D1878" s="190">
        <v>1</v>
      </c>
      <c r="E1878" s="194">
        <v>3.15</v>
      </c>
      <c r="F1878" s="194"/>
      <c r="G1878" s="193">
        <v>0.15</v>
      </c>
      <c r="H1878" s="194">
        <f t="shared" si="54"/>
        <v>0.47</v>
      </c>
    </row>
    <row r="1879" spans="1:8" s="228" customFormat="1" ht="20.100000000000001" customHeight="1">
      <c r="A1879" s="187"/>
      <c r="B1879" s="192" t="s">
        <v>4175</v>
      </c>
      <c r="C1879" s="190">
        <v>1</v>
      </c>
      <c r="D1879" s="190">
        <v>1</v>
      </c>
      <c r="E1879" s="194">
        <v>11.4</v>
      </c>
      <c r="F1879" s="194"/>
      <c r="G1879" s="213">
        <v>0.32500000000000001</v>
      </c>
      <c r="H1879" s="194">
        <f t="shared" si="54"/>
        <v>3.71</v>
      </c>
    </row>
    <row r="1880" spans="1:8" s="228" customFormat="1" ht="20.100000000000001" customHeight="1">
      <c r="A1880" s="187"/>
      <c r="B1880" s="192" t="s">
        <v>3532</v>
      </c>
      <c r="C1880" s="190">
        <v>1</v>
      </c>
      <c r="D1880" s="190">
        <v>1</v>
      </c>
      <c r="E1880" s="194">
        <v>1.35</v>
      </c>
      <c r="F1880" s="194"/>
      <c r="G1880" s="193">
        <v>0.15</v>
      </c>
      <c r="H1880" s="194">
        <f t="shared" si="54"/>
        <v>0.2</v>
      </c>
    </row>
    <row r="1881" spans="1:8" s="228" customFormat="1" ht="20.100000000000001" customHeight="1">
      <c r="A1881" s="187"/>
      <c r="B1881" s="192" t="s">
        <v>4176</v>
      </c>
      <c r="C1881" s="190">
        <v>1</v>
      </c>
      <c r="D1881" s="190">
        <v>1</v>
      </c>
      <c r="E1881" s="194">
        <v>16.73</v>
      </c>
      <c r="F1881" s="194"/>
      <c r="G1881" s="213">
        <v>0.32500000000000001</v>
      </c>
      <c r="H1881" s="194">
        <f t="shared" si="54"/>
        <v>5.44</v>
      </c>
    </row>
    <row r="1882" spans="1:8" s="228" customFormat="1" ht="20.100000000000001" customHeight="1">
      <c r="A1882" s="187"/>
      <c r="B1882" s="192" t="s">
        <v>3532</v>
      </c>
      <c r="C1882" s="190">
        <v>1</v>
      </c>
      <c r="D1882" s="190">
        <v>1</v>
      </c>
      <c r="E1882" s="194">
        <v>4.0199999999999996</v>
      </c>
      <c r="F1882" s="194"/>
      <c r="G1882" s="193">
        <v>0.15</v>
      </c>
      <c r="H1882" s="194">
        <f t="shared" si="54"/>
        <v>0.6</v>
      </c>
    </row>
    <row r="1883" spans="1:8" s="228" customFormat="1" ht="20.100000000000001" customHeight="1">
      <c r="A1883" s="187"/>
      <c r="B1883" s="192" t="s">
        <v>3887</v>
      </c>
      <c r="C1883" s="190">
        <v>1</v>
      </c>
      <c r="D1883" s="190">
        <v>1</v>
      </c>
      <c r="E1883" s="194">
        <f>4.35+2.4+4.35+0.46</f>
        <v>11.56</v>
      </c>
      <c r="F1883" s="194"/>
      <c r="G1883" s="213">
        <v>0.255</v>
      </c>
      <c r="H1883" s="194">
        <f t="shared" si="54"/>
        <v>2.95</v>
      </c>
    </row>
    <row r="1884" spans="1:8" s="228" customFormat="1" ht="20.100000000000001" customHeight="1">
      <c r="A1884" s="187"/>
      <c r="B1884" s="192" t="s">
        <v>3532</v>
      </c>
      <c r="C1884" s="190">
        <v>1</v>
      </c>
      <c r="D1884" s="190">
        <v>1</v>
      </c>
      <c r="E1884" s="194">
        <v>6.75</v>
      </c>
      <c r="F1884" s="194"/>
      <c r="G1884" s="193">
        <v>7.0000000000000007E-2</v>
      </c>
      <c r="H1884" s="194">
        <f t="shared" si="54"/>
        <v>0.47</v>
      </c>
    </row>
    <row r="1885" spans="1:8" s="228" customFormat="1" ht="20.100000000000001" customHeight="1">
      <c r="A1885" s="187"/>
      <c r="B1885" s="192" t="s">
        <v>3532</v>
      </c>
      <c r="C1885" s="190">
        <v>1</v>
      </c>
      <c r="D1885" s="190">
        <v>1</v>
      </c>
      <c r="E1885" s="194">
        <v>2.4</v>
      </c>
      <c r="F1885" s="194"/>
      <c r="G1885" s="193">
        <v>0.15</v>
      </c>
      <c r="H1885" s="194">
        <f t="shared" si="54"/>
        <v>0.36</v>
      </c>
    </row>
    <row r="1886" spans="1:8" s="228" customFormat="1" ht="20.100000000000001" customHeight="1">
      <c r="A1886" s="187"/>
      <c r="B1886" s="192" t="s">
        <v>4170</v>
      </c>
      <c r="C1886" s="190">
        <v>1</v>
      </c>
      <c r="D1886" s="190">
        <v>1</v>
      </c>
      <c r="E1886" s="194">
        <v>14.7</v>
      </c>
      <c r="F1886" s="194"/>
      <c r="G1886" s="213">
        <v>0.255</v>
      </c>
      <c r="H1886" s="194">
        <f t="shared" si="54"/>
        <v>3.75</v>
      </c>
    </row>
    <row r="1887" spans="1:8" s="228" customFormat="1" ht="20.100000000000001" customHeight="1">
      <c r="A1887" s="187"/>
      <c r="B1887" s="192" t="s">
        <v>3532</v>
      </c>
      <c r="C1887" s="190">
        <v>1</v>
      </c>
      <c r="D1887" s="190">
        <v>1</v>
      </c>
      <c r="E1887" s="194">
        <v>3</v>
      </c>
      <c r="F1887" s="194"/>
      <c r="G1887" s="193">
        <v>0.15</v>
      </c>
      <c r="H1887" s="194">
        <f t="shared" si="54"/>
        <v>0.45</v>
      </c>
    </row>
    <row r="1888" spans="1:8" s="228" customFormat="1" ht="20.100000000000001" customHeight="1">
      <c r="A1888" s="187"/>
      <c r="B1888" s="192" t="s">
        <v>3532</v>
      </c>
      <c r="C1888" s="190">
        <v>1</v>
      </c>
      <c r="D1888" s="190">
        <v>1</v>
      </c>
      <c r="E1888" s="194">
        <v>3</v>
      </c>
      <c r="F1888" s="194"/>
      <c r="G1888" s="193">
        <v>7.0000000000000007E-2</v>
      </c>
      <c r="H1888" s="194">
        <f t="shared" si="54"/>
        <v>0.21</v>
      </c>
    </row>
    <row r="1889" spans="1:8" s="228" customFormat="1" ht="20.100000000000001" customHeight="1">
      <c r="A1889" s="187"/>
      <c r="B1889" s="192" t="s">
        <v>4064</v>
      </c>
      <c r="C1889" s="190">
        <v>1</v>
      </c>
      <c r="D1889" s="190">
        <v>1</v>
      </c>
      <c r="E1889" s="194">
        <v>15.46</v>
      </c>
      <c r="F1889" s="194"/>
      <c r="G1889" s="213">
        <v>0.255</v>
      </c>
      <c r="H1889" s="194">
        <f t="shared" si="54"/>
        <v>3.94</v>
      </c>
    </row>
    <row r="1890" spans="1:8" s="186" customFormat="1" ht="20.100000000000001" customHeight="1">
      <c r="A1890" s="187"/>
      <c r="B1890" s="192" t="s">
        <v>3532</v>
      </c>
      <c r="C1890" s="190">
        <v>1</v>
      </c>
      <c r="D1890" s="190">
        <v>1</v>
      </c>
      <c r="E1890" s="194">
        <v>7.73</v>
      </c>
      <c r="F1890" s="194"/>
      <c r="G1890" s="193">
        <v>7.0000000000000007E-2</v>
      </c>
      <c r="H1890" s="194">
        <f t="shared" si="54"/>
        <v>0.54</v>
      </c>
    </row>
    <row r="1891" spans="1:8" s="186" customFormat="1" ht="20.100000000000001" customHeight="1">
      <c r="A1891" s="187"/>
      <c r="B1891" s="192" t="s">
        <v>3532</v>
      </c>
      <c r="C1891" s="190">
        <v>1</v>
      </c>
      <c r="D1891" s="190">
        <v>1</v>
      </c>
      <c r="E1891" s="194">
        <v>5.63</v>
      </c>
      <c r="F1891" s="194"/>
      <c r="G1891" s="193">
        <v>0.15</v>
      </c>
      <c r="H1891" s="194">
        <f t="shared" si="54"/>
        <v>0.84</v>
      </c>
    </row>
    <row r="1892" spans="1:8" s="186" customFormat="1" ht="20.100000000000001" customHeight="1">
      <c r="A1892" s="244"/>
      <c r="B1892" s="192" t="s">
        <v>4064</v>
      </c>
      <c r="C1892" s="190">
        <v>1</v>
      </c>
      <c r="D1892" s="190">
        <v>1</v>
      </c>
      <c r="E1892" s="194">
        <v>16.73</v>
      </c>
      <c r="F1892" s="194"/>
      <c r="G1892" s="213">
        <v>0.32500000000000001</v>
      </c>
      <c r="H1892" s="194">
        <f t="shared" si="54"/>
        <v>5.44</v>
      </c>
    </row>
    <row r="1893" spans="1:8" s="186" customFormat="1" ht="20.100000000000001" customHeight="1">
      <c r="A1893" s="244"/>
      <c r="B1893" s="192" t="s">
        <v>3532</v>
      </c>
      <c r="C1893" s="190">
        <v>1</v>
      </c>
      <c r="D1893" s="190">
        <v>1</v>
      </c>
      <c r="E1893" s="194">
        <v>4.0199999999999996</v>
      </c>
      <c r="F1893" s="194"/>
      <c r="G1893" s="193">
        <v>0.15</v>
      </c>
      <c r="H1893" s="194">
        <f t="shared" si="54"/>
        <v>0.6</v>
      </c>
    </row>
    <row r="1894" spans="1:8" s="186" customFormat="1" ht="20.100000000000001" customHeight="1">
      <c r="A1894" s="244"/>
      <c r="B1894" s="218" t="s">
        <v>4166</v>
      </c>
      <c r="C1894" s="190">
        <f>C1884</f>
        <v>1</v>
      </c>
      <c r="D1894" s="190">
        <v>1</v>
      </c>
      <c r="E1894" s="187">
        <v>15.18</v>
      </c>
      <c r="F1894" s="187">
        <v>11.72</v>
      </c>
      <c r="G1894" s="213"/>
      <c r="H1894" s="194">
        <f t="shared" si="54"/>
        <v>177.91</v>
      </c>
    </row>
    <row r="1895" spans="1:8" s="186" customFormat="1" ht="20.100000000000001" customHeight="1">
      <c r="A1895" s="244"/>
      <c r="B1895" s="189" t="s">
        <v>3498</v>
      </c>
      <c r="C1895" s="190"/>
      <c r="D1895" s="190"/>
      <c r="E1895" s="193"/>
      <c r="F1895" s="193"/>
      <c r="G1895" s="213"/>
      <c r="H1895" s="194">
        <f t="shared" si="54"/>
        <v>0</v>
      </c>
    </row>
    <row r="1896" spans="1:8" s="186" customFormat="1" ht="20.100000000000001" customHeight="1">
      <c r="A1896" s="244"/>
      <c r="B1896" s="192" t="s">
        <v>3499</v>
      </c>
      <c r="C1896" s="190">
        <v>-1</v>
      </c>
      <c r="D1896" s="190">
        <v>8</v>
      </c>
      <c r="E1896" s="193">
        <v>0.23</v>
      </c>
      <c r="F1896" s="193">
        <v>0.38</v>
      </c>
      <c r="G1896" s="213"/>
      <c r="H1896" s="194">
        <f t="shared" si="54"/>
        <v>-0.7</v>
      </c>
    </row>
    <row r="1897" spans="1:8" s="186" customFormat="1" ht="20.100000000000001" customHeight="1">
      <c r="A1897" s="244"/>
      <c r="B1897" s="192" t="s">
        <v>3500</v>
      </c>
      <c r="C1897" s="190">
        <v>-1</v>
      </c>
      <c r="D1897" s="190">
        <v>1</v>
      </c>
      <c r="E1897" s="193">
        <v>0.23</v>
      </c>
      <c r="F1897" s="193">
        <v>0.45</v>
      </c>
      <c r="G1897" s="213"/>
      <c r="H1897" s="194">
        <f t="shared" si="54"/>
        <v>-0.1</v>
      </c>
    </row>
    <row r="1898" spans="1:8" s="186" customFormat="1" ht="20.100000000000001" customHeight="1">
      <c r="A1898" s="244"/>
      <c r="B1898" s="192" t="s">
        <v>3501</v>
      </c>
      <c r="C1898" s="190">
        <v>-1</v>
      </c>
      <c r="D1898" s="190">
        <v>8</v>
      </c>
      <c r="E1898" s="193">
        <v>0.23</v>
      </c>
      <c r="F1898" s="193">
        <v>0.45</v>
      </c>
      <c r="G1898" s="213"/>
      <c r="H1898" s="194">
        <f t="shared" si="54"/>
        <v>-0.83</v>
      </c>
    </row>
    <row r="1899" spans="1:8" s="186" customFormat="1" ht="20.100000000000001" customHeight="1">
      <c r="A1899" s="244"/>
      <c r="B1899" s="192" t="s">
        <v>3502</v>
      </c>
      <c r="C1899" s="190">
        <v>-1</v>
      </c>
      <c r="D1899" s="233">
        <v>2</v>
      </c>
      <c r="E1899" s="193">
        <v>0.23</v>
      </c>
      <c r="F1899" s="193">
        <v>0.45</v>
      </c>
      <c r="G1899" s="213"/>
      <c r="H1899" s="194">
        <f t="shared" si="54"/>
        <v>-0.21</v>
      </c>
    </row>
    <row r="1900" spans="1:8" s="237" customFormat="1" ht="20.100000000000001" customHeight="1">
      <c r="A1900" s="246"/>
      <c r="B1900" s="232" t="s">
        <v>3599</v>
      </c>
      <c r="C1900" s="233">
        <v>-1</v>
      </c>
      <c r="D1900" s="233">
        <v>1</v>
      </c>
      <c r="E1900" s="235">
        <v>0.23</v>
      </c>
      <c r="F1900" s="235">
        <v>0.6</v>
      </c>
      <c r="G1900" s="249"/>
      <c r="H1900" s="236">
        <f>PRODUCT(C1900:G1900)</f>
        <v>-0.14000000000000001</v>
      </c>
    </row>
    <row r="1901" spans="1:8" s="186" customFormat="1" ht="20.100000000000001" customHeight="1">
      <c r="A1901" s="244"/>
      <c r="B1901" s="216" t="s">
        <v>3698</v>
      </c>
      <c r="C1901" s="219"/>
      <c r="D1901" s="219"/>
      <c r="E1901" s="193"/>
      <c r="F1901" s="193"/>
      <c r="G1901" s="213"/>
      <c r="H1901" s="194">
        <f t="shared" si="54"/>
        <v>0</v>
      </c>
    </row>
    <row r="1902" spans="1:8" s="186" customFormat="1" ht="20.100000000000001" customHeight="1">
      <c r="A1902" s="244"/>
      <c r="B1902" s="216" t="s">
        <v>3699</v>
      </c>
      <c r="C1902" s="219"/>
      <c r="D1902" s="219"/>
      <c r="E1902" s="193"/>
      <c r="F1902" s="193"/>
      <c r="G1902" s="213"/>
      <c r="H1902" s="194">
        <f t="shared" si="54"/>
        <v>0</v>
      </c>
    </row>
    <row r="1903" spans="1:8" s="186" customFormat="1" ht="20.100000000000001" customHeight="1">
      <c r="A1903" s="244"/>
      <c r="B1903" s="216" t="s">
        <v>4150</v>
      </c>
      <c r="C1903" s="219"/>
      <c r="D1903" s="219"/>
      <c r="E1903" s="193"/>
      <c r="F1903" s="193"/>
      <c r="G1903" s="213"/>
      <c r="H1903" s="194">
        <f t="shared" si="54"/>
        <v>0</v>
      </c>
    </row>
    <row r="1904" spans="1:8" s="186" customFormat="1" ht="20.100000000000001" customHeight="1">
      <c r="A1904" s="244"/>
      <c r="B1904" s="218" t="s">
        <v>3632</v>
      </c>
      <c r="C1904" s="219">
        <v>2</v>
      </c>
      <c r="D1904" s="219">
        <v>1</v>
      </c>
      <c r="E1904" s="193">
        <f>1.8+0.46</f>
        <v>2.2599999999999998</v>
      </c>
      <c r="F1904" s="193"/>
      <c r="G1904" s="193">
        <v>0.05</v>
      </c>
      <c r="H1904" s="194">
        <f t="shared" si="54"/>
        <v>0.23</v>
      </c>
    </row>
    <row r="1905" spans="1:8" s="186" customFormat="1" ht="20.100000000000001" customHeight="1">
      <c r="A1905" s="244"/>
      <c r="B1905" s="218" t="s">
        <v>3605</v>
      </c>
      <c r="C1905" s="219">
        <v>2</v>
      </c>
      <c r="D1905" s="219">
        <v>1</v>
      </c>
      <c r="E1905" s="193">
        <f>1.5+0.46</f>
        <v>1.96</v>
      </c>
      <c r="F1905" s="193"/>
      <c r="G1905" s="193">
        <v>0.05</v>
      </c>
      <c r="H1905" s="194">
        <f t="shared" si="54"/>
        <v>0.2</v>
      </c>
    </row>
    <row r="1906" spans="1:8" s="186" customFormat="1" ht="20.100000000000001" customHeight="1">
      <c r="A1906" s="244"/>
      <c r="B1906" s="216" t="s">
        <v>3620</v>
      </c>
      <c r="C1906" s="219"/>
      <c r="D1906" s="219"/>
      <c r="E1906" s="193"/>
      <c r="F1906" s="193"/>
      <c r="G1906" s="213"/>
      <c r="H1906" s="194">
        <f t="shared" si="54"/>
        <v>0</v>
      </c>
    </row>
    <row r="1907" spans="1:8" s="186" customFormat="1" ht="20.100000000000001" customHeight="1">
      <c r="A1907" s="244"/>
      <c r="B1907" s="218" t="s">
        <v>4177</v>
      </c>
      <c r="C1907" s="219">
        <v>1</v>
      </c>
      <c r="D1907" s="219">
        <v>1</v>
      </c>
      <c r="E1907" s="193">
        <v>20</v>
      </c>
      <c r="F1907" s="193"/>
      <c r="G1907" s="193">
        <v>0.45</v>
      </c>
      <c r="H1907" s="194">
        <f t="shared" si="54"/>
        <v>9</v>
      </c>
    </row>
    <row r="1908" spans="1:8" s="186" customFormat="1" ht="20.100000000000001" customHeight="1">
      <c r="A1908" s="244"/>
      <c r="B1908" s="218" t="s">
        <v>4178</v>
      </c>
      <c r="C1908" s="219">
        <v>1</v>
      </c>
      <c r="D1908" s="219">
        <v>1</v>
      </c>
      <c r="E1908" s="193">
        <v>18.16</v>
      </c>
      <c r="F1908" s="193"/>
      <c r="G1908" s="213">
        <v>0.32500000000000001</v>
      </c>
      <c r="H1908" s="194">
        <f t="shared" si="54"/>
        <v>5.9</v>
      </c>
    </row>
    <row r="1909" spans="1:8" s="186" customFormat="1" ht="20.100000000000001" customHeight="1">
      <c r="A1909" s="244"/>
      <c r="B1909" s="218" t="s">
        <v>4179</v>
      </c>
      <c r="C1909" s="219">
        <v>1</v>
      </c>
      <c r="D1909" s="219">
        <v>2</v>
      </c>
      <c r="E1909" s="193">
        <v>2.4</v>
      </c>
      <c r="F1909" s="193"/>
      <c r="G1909" s="213">
        <v>0.32500000000000001</v>
      </c>
      <c r="H1909" s="194">
        <f t="shared" si="54"/>
        <v>1.56</v>
      </c>
    </row>
    <row r="1910" spans="1:8" s="186" customFormat="1" ht="20.100000000000001" customHeight="1">
      <c r="A1910" s="244"/>
      <c r="B1910" s="216" t="s">
        <v>4180</v>
      </c>
      <c r="C1910" s="219"/>
      <c r="D1910" s="219"/>
      <c r="E1910" s="193"/>
      <c r="F1910" s="193"/>
      <c r="G1910" s="213"/>
      <c r="H1910" s="194">
        <f>PRODUCT(C1910:G1910)</f>
        <v>0</v>
      </c>
    </row>
    <row r="1911" spans="1:8" s="199" customFormat="1" ht="20.100000000000001" customHeight="1">
      <c r="A1911" s="182"/>
      <c r="B1911" s="218" t="s">
        <v>4181</v>
      </c>
      <c r="C1911" s="219">
        <v>1</v>
      </c>
      <c r="D1911" s="219">
        <v>1</v>
      </c>
      <c r="E1911" s="193">
        <v>2.1</v>
      </c>
      <c r="F1911" s="193">
        <v>2.4</v>
      </c>
      <c r="G1911" s="213"/>
      <c r="H1911" s="194">
        <f>PRODUCT(C1911:G1911)</f>
        <v>5.04</v>
      </c>
    </row>
    <row r="1912" spans="1:8" s="186" customFormat="1" ht="25.15" customHeight="1">
      <c r="A1912" s="187"/>
      <c r="B1912" s="218" t="s">
        <v>4181</v>
      </c>
      <c r="C1912" s="219">
        <v>1</v>
      </c>
      <c r="D1912" s="219">
        <v>1</v>
      </c>
      <c r="E1912" s="193">
        <v>4.3499999999999996</v>
      </c>
      <c r="F1912" s="193">
        <v>2.4</v>
      </c>
      <c r="G1912" s="213"/>
      <c r="H1912" s="194">
        <f>PRODUCT(C1912:G1912)</f>
        <v>10.44</v>
      </c>
    </row>
    <row r="1913" spans="1:8" s="186" customFormat="1" ht="20.100000000000001" customHeight="1">
      <c r="A1913" s="187"/>
      <c r="B1913" s="218"/>
      <c r="C1913" s="219"/>
      <c r="D1913" s="219"/>
      <c r="E1913" s="193"/>
      <c r="F1913" s="193"/>
      <c r="G1913" s="213"/>
      <c r="H1913" s="194">
        <v>0.12</v>
      </c>
    </row>
    <row r="1914" spans="1:8" s="186" customFormat="1" ht="20.100000000000001" customHeight="1">
      <c r="A1914" s="187"/>
      <c r="B1914" s="218"/>
      <c r="C1914" s="219"/>
      <c r="D1914" s="219"/>
      <c r="E1914" s="193"/>
      <c r="F1914" s="193"/>
      <c r="G1914" s="213"/>
      <c r="H1914" s="194">
        <f>SUM(H1673:H1913)</f>
        <v>930.78</v>
      </c>
    </row>
    <row r="1915" spans="1:8" s="186" customFormat="1" ht="20.100000000000001" customHeight="1">
      <c r="A1915" s="244"/>
      <c r="B1915" s="216"/>
      <c r="C1915" s="220"/>
      <c r="D1915" s="220"/>
      <c r="E1915" s="197"/>
      <c r="F1915" s="197" t="s">
        <v>2560</v>
      </c>
      <c r="G1915" s="197">
        <f>H1914</f>
        <v>930.78</v>
      </c>
      <c r="H1915" s="198" t="s">
        <v>1861</v>
      </c>
    </row>
    <row r="1916" spans="1:8" s="186" customFormat="1" ht="25.15" customHeight="1">
      <c r="A1916" s="187"/>
      <c r="B1916" s="989" t="s">
        <v>4182</v>
      </c>
      <c r="C1916" s="990"/>
      <c r="D1916" s="990"/>
      <c r="E1916" s="990"/>
      <c r="F1916" s="990"/>
      <c r="G1916" s="991"/>
      <c r="H1916" s="253"/>
    </row>
    <row r="1917" spans="1:8" s="186" customFormat="1" ht="20.100000000000001" customHeight="1">
      <c r="A1917" s="187"/>
      <c r="B1917" s="189" t="s">
        <v>4183</v>
      </c>
      <c r="C1917" s="190"/>
      <c r="D1917" s="190"/>
      <c r="E1917" s="256"/>
      <c r="F1917" s="187"/>
      <c r="G1917" s="213"/>
      <c r="H1917" s="262">
        <f>'[13]UPS Below Basement'!G205</f>
        <v>72.900000000000006</v>
      </c>
    </row>
    <row r="1918" spans="1:8" s="186" customFormat="1" ht="20.100000000000001" customHeight="1">
      <c r="A1918" s="244"/>
      <c r="B1918" s="216" t="s">
        <v>4184</v>
      </c>
      <c r="C1918" s="245"/>
      <c r="D1918" s="245"/>
      <c r="E1918" s="204"/>
      <c r="F1918" s="193"/>
      <c r="G1918" s="213"/>
      <c r="H1918" s="205"/>
    </row>
    <row r="1919" spans="1:8" s="186" customFormat="1" ht="20.100000000000001" customHeight="1">
      <c r="A1919" s="244"/>
      <c r="B1919" s="216" t="s">
        <v>4185</v>
      </c>
      <c r="C1919" s="245"/>
      <c r="D1919" s="245"/>
      <c r="E1919" s="193"/>
      <c r="F1919" s="193"/>
      <c r="G1919" s="213"/>
      <c r="H1919" s="194"/>
    </row>
    <row r="1920" spans="1:8" s="186" customFormat="1" ht="20.100000000000001" customHeight="1">
      <c r="A1920" s="244"/>
      <c r="B1920" s="192" t="s">
        <v>4186</v>
      </c>
      <c r="C1920" s="219">
        <v>1</v>
      </c>
      <c r="D1920" s="219">
        <v>8</v>
      </c>
      <c r="E1920" s="193">
        <f>(0.23+0.38)*2</f>
        <v>1.22</v>
      </c>
      <c r="F1920" s="193"/>
      <c r="G1920" s="193">
        <v>2.85</v>
      </c>
      <c r="H1920" s="194">
        <f>PRODUCT(C1920:G1920)</f>
        <v>27.82</v>
      </c>
    </row>
    <row r="1921" spans="1:9" s="186" customFormat="1" ht="20.100000000000001" customHeight="1">
      <c r="A1921" s="244"/>
      <c r="B1921" s="192" t="s">
        <v>4187</v>
      </c>
      <c r="C1921" s="219">
        <v>1</v>
      </c>
      <c r="D1921" s="219">
        <v>1</v>
      </c>
      <c r="E1921" s="193">
        <v>1.36</v>
      </c>
      <c r="F1921" s="193"/>
      <c r="G1921" s="193">
        <v>2.85</v>
      </c>
      <c r="H1921" s="194">
        <f t="shared" ref="H1921:H1985" si="55">PRODUCT(C1921:G1921)</f>
        <v>3.88</v>
      </c>
    </row>
    <row r="1922" spans="1:9" s="186" customFormat="1" ht="20.100000000000001" customHeight="1">
      <c r="A1922" s="244"/>
      <c r="B1922" s="192" t="s">
        <v>4188</v>
      </c>
      <c r="C1922" s="219">
        <v>1</v>
      </c>
      <c r="D1922" s="219">
        <v>8</v>
      </c>
      <c r="E1922" s="193">
        <v>1.22</v>
      </c>
      <c r="F1922" s="193"/>
      <c r="G1922" s="193">
        <v>2.85</v>
      </c>
      <c r="H1922" s="194">
        <f t="shared" si="55"/>
        <v>27.82</v>
      </c>
    </row>
    <row r="1923" spans="1:9" s="186" customFormat="1" ht="20.100000000000001" customHeight="1">
      <c r="A1923" s="244"/>
      <c r="B1923" s="192" t="s">
        <v>4189</v>
      </c>
      <c r="C1923" s="219">
        <v>1</v>
      </c>
      <c r="D1923" s="254">
        <v>2</v>
      </c>
      <c r="E1923" s="193">
        <f>(0.23+0.45)*2</f>
        <v>1.36</v>
      </c>
      <c r="F1923" s="193"/>
      <c r="G1923" s="193">
        <v>2.85</v>
      </c>
      <c r="H1923" s="194">
        <f t="shared" si="55"/>
        <v>7.75</v>
      </c>
    </row>
    <row r="1924" spans="1:9" s="237" customFormat="1" ht="20.100000000000001" customHeight="1">
      <c r="A1924" s="246"/>
      <c r="B1924" s="232" t="s">
        <v>4189</v>
      </c>
      <c r="C1924" s="254">
        <v>1</v>
      </c>
      <c r="D1924" s="254">
        <v>1</v>
      </c>
      <c r="E1924" s="235">
        <v>1.66</v>
      </c>
      <c r="F1924" s="235"/>
      <c r="G1924" s="235">
        <v>2.85</v>
      </c>
      <c r="H1924" s="236">
        <f>PRODUCT(C1924:G1924)</f>
        <v>4.7300000000000004</v>
      </c>
    </row>
    <row r="1925" spans="1:9" s="186" customFormat="1" ht="20.100000000000001" customHeight="1">
      <c r="A1925" s="244"/>
      <c r="B1925" s="216" t="s">
        <v>4190</v>
      </c>
      <c r="C1925" s="219"/>
      <c r="D1925" s="219"/>
      <c r="E1925" s="193"/>
      <c r="F1925" s="193"/>
      <c r="G1925" s="213"/>
      <c r="H1925" s="194">
        <f t="shared" si="55"/>
        <v>0</v>
      </c>
      <c r="I1925" s="225"/>
    </row>
    <row r="1926" spans="1:9" s="186" customFormat="1" ht="20.100000000000001" customHeight="1">
      <c r="A1926" s="244"/>
      <c r="B1926" s="218" t="s">
        <v>3913</v>
      </c>
      <c r="C1926" s="219">
        <v>1</v>
      </c>
      <c r="D1926" s="219">
        <v>2</v>
      </c>
      <c r="E1926" s="193">
        <f>1.5+0.46</f>
        <v>1.96</v>
      </c>
      <c r="F1926" s="193">
        <v>0.6</v>
      </c>
      <c r="G1926" s="213"/>
      <c r="H1926" s="194">
        <f t="shared" si="55"/>
        <v>2.35</v>
      </c>
      <c r="I1926" s="225"/>
    </row>
    <row r="1927" spans="1:9" s="186" customFormat="1" ht="20.100000000000001" customHeight="1">
      <c r="A1927" s="244"/>
      <c r="B1927" s="218" t="s">
        <v>3914</v>
      </c>
      <c r="C1927" s="219">
        <v>1</v>
      </c>
      <c r="D1927" s="219">
        <v>1</v>
      </c>
      <c r="E1927" s="193">
        <v>3.46</v>
      </c>
      <c r="F1927" s="193">
        <v>0.6</v>
      </c>
      <c r="G1927" s="213"/>
      <c r="H1927" s="194">
        <f t="shared" si="55"/>
        <v>2.08</v>
      </c>
    </row>
    <row r="1928" spans="1:9" s="186" customFormat="1" ht="20.100000000000001" customHeight="1">
      <c r="A1928" s="244"/>
      <c r="B1928" s="216" t="s">
        <v>3631</v>
      </c>
      <c r="C1928" s="245"/>
      <c r="D1928" s="245"/>
      <c r="E1928" s="193"/>
      <c r="F1928" s="193"/>
      <c r="G1928" s="213"/>
      <c r="H1928" s="194">
        <f t="shared" si="55"/>
        <v>0</v>
      </c>
    </row>
    <row r="1929" spans="1:9" s="186" customFormat="1" ht="20.100000000000001" customHeight="1">
      <c r="A1929" s="244"/>
      <c r="B1929" s="192" t="s">
        <v>4186</v>
      </c>
      <c r="C1929" s="219">
        <v>1</v>
      </c>
      <c r="D1929" s="219">
        <v>8</v>
      </c>
      <c r="E1929" s="193">
        <f>(0.23+0.38)*2</f>
        <v>1.22</v>
      </c>
      <c r="F1929" s="193"/>
      <c r="G1929" s="193">
        <v>2.85</v>
      </c>
      <c r="H1929" s="194">
        <f t="shared" si="55"/>
        <v>27.82</v>
      </c>
    </row>
    <row r="1930" spans="1:9" s="186" customFormat="1" ht="20.100000000000001" customHeight="1">
      <c r="A1930" s="244"/>
      <c r="B1930" s="192" t="s">
        <v>4187</v>
      </c>
      <c r="C1930" s="219">
        <v>1</v>
      </c>
      <c r="D1930" s="219">
        <v>1</v>
      </c>
      <c r="E1930" s="193">
        <v>1.36</v>
      </c>
      <c r="F1930" s="193"/>
      <c r="G1930" s="193">
        <v>2.85</v>
      </c>
      <c r="H1930" s="194">
        <f t="shared" si="55"/>
        <v>3.88</v>
      </c>
    </row>
    <row r="1931" spans="1:9" s="186" customFormat="1" ht="20.100000000000001" customHeight="1">
      <c r="A1931" s="244"/>
      <c r="B1931" s="192" t="s">
        <v>4188</v>
      </c>
      <c r="C1931" s="219">
        <v>1</v>
      </c>
      <c r="D1931" s="219">
        <v>8</v>
      </c>
      <c r="E1931" s="193">
        <v>1.22</v>
      </c>
      <c r="F1931" s="193"/>
      <c r="G1931" s="193">
        <v>2.85</v>
      </c>
      <c r="H1931" s="194">
        <f t="shared" si="55"/>
        <v>27.82</v>
      </c>
    </row>
    <row r="1932" spans="1:9" s="186" customFormat="1" ht="20.100000000000001" customHeight="1">
      <c r="A1932" s="244"/>
      <c r="B1932" s="192" t="s">
        <v>4189</v>
      </c>
      <c r="C1932" s="219">
        <v>1</v>
      </c>
      <c r="D1932" s="254">
        <v>2</v>
      </c>
      <c r="E1932" s="193">
        <f>(0.23+0.45)*2</f>
        <v>1.36</v>
      </c>
      <c r="F1932" s="193"/>
      <c r="G1932" s="193">
        <v>2.85</v>
      </c>
      <c r="H1932" s="194">
        <f t="shared" si="55"/>
        <v>7.75</v>
      </c>
      <c r="I1932" s="225"/>
    </row>
    <row r="1933" spans="1:9" s="237" customFormat="1" ht="20.100000000000001" customHeight="1">
      <c r="A1933" s="246"/>
      <c r="B1933" s="232" t="s">
        <v>4191</v>
      </c>
      <c r="C1933" s="254">
        <v>1</v>
      </c>
      <c r="D1933" s="254">
        <v>1</v>
      </c>
      <c r="E1933" s="235">
        <v>1.66</v>
      </c>
      <c r="F1933" s="235"/>
      <c r="G1933" s="235">
        <v>2.85</v>
      </c>
      <c r="H1933" s="236">
        <f>PRODUCT(C1933:G1933)</f>
        <v>4.7300000000000004</v>
      </c>
      <c r="I1933" s="353"/>
    </row>
    <row r="1934" spans="1:9" s="186" customFormat="1" ht="20.100000000000001" customHeight="1">
      <c r="A1934" s="244"/>
      <c r="B1934" s="216" t="s">
        <v>4190</v>
      </c>
      <c r="C1934" s="219"/>
      <c r="D1934" s="219"/>
      <c r="E1934" s="193"/>
      <c r="F1934" s="193"/>
      <c r="G1934" s="213"/>
      <c r="H1934" s="194">
        <f t="shared" si="55"/>
        <v>0</v>
      </c>
      <c r="I1934" s="225"/>
    </row>
    <row r="1935" spans="1:9" s="186" customFormat="1" ht="20.100000000000001" customHeight="1">
      <c r="A1935" s="244"/>
      <c r="B1935" s="218" t="s">
        <v>3915</v>
      </c>
      <c r="C1935" s="219">
        <v>1</v>
      </c>
      <c r="D1935" s="219">
        <v>4</v>
      </c>
      <c r="E1935" s="193">
        <f>1.5+0.46</f>
        <v>1.96</v>
      </c>
      <c r="F1935" s="193">
        <v>0.6</v>
      </c>
      <c r="G1935" s="213"/>
      <c r="H1935" s="194">
        <f t="shared" si="55"/>
        <v>4.7</v>
      </c>
      <c r="I1935" s="225"/>
    </row>
    <row r="1936" spans="1:9" s="186" customFormat="1" ht="20.100000000000001" customHeight="1">
      <c r="A1936" s="244"/>
      <c r="B1936" s="218" t="s">
        <v>3916</v>
      </c>
      <c r="C1936" s="219">
        <v>1</v>
      </c>
      <c r="D1936" s="219">
        <v>2</v>
      </c>
      <c r="E1936" s="193">
        <f>1.8+0.46</f>
        <v>2.2599999999999998</v>
      </c>
      <c r="F1936" s="193">
        <v>0.6</v>
      </c>
      <c r="G1936" s="213"/>
      <c r="H1936" s="194">
        <f t="shared" si="55"/>
        <v>2.71</v>
      </c>
      <c r="I1936" s="225"/>
    </row>
    <row r="1937" spans="1:9" s="186" customFormat="1" ht="20.100000000000001" customHeight="1">
      <c r="A1937" s="244"/>
      <c r="B1937" s="218" t="s">
        <v>3917</v>
      </c>
      <c r="C1937" s="219">
        <v>1</v>
      </c>
      <c r="D1937" s="219">
        <v>1</v>
      </c>
      <c r="E1937" s="193">
        <f>1.35+0.46</f>
        <v>1.81</v>
      </c>
      <c r="F1937" s="193">
        <v>0.6</v>
      </c>
      <c r="G1937" s="213"/>
      <c r="H1937" s="194">
        <f t="shared" si="55"/>
        <v>1.0900000000000001</v>
      </c>
      <c r="I1937" s="225"/>
    </row>
    <row r="1938" spans="1:9" s="186" customFormat="1" ht="20.100000000000001" customHeight="1">
      <c r="A1938" s="244"/>
      <c r="B1938" s="218" t="s">
        <v>3918</v>
      </c>
      <c r="C1938" s="219">
        <v>1</v>
      </c>
      <c r="D1938" s="219">
        <v>1</v>
      </c>
      <c r="E1938" s="193">
        <v>3.46</v>
      </c>
      <c r="F1938" s="193">
        <v>0.6</v>
      </c>
      <c r="G1938" s="213"/>
      <c r="H1938" s="194">
        <f t="shared" si="55"/>
        <v>2.08</v>
      </c>
      <c r="I1938" s="225"/>
    </row>
    <row r="1939" spans="1:9" s="186" customFormat="1" ht="20.100000000000001" customHeight="1">
      <c r="A1939" s="244"/>
      <c r="B1939" s="218" t="s">
        <v>3632</v>
      </c>
      <c r="C1939" s="219">
        <v>1</v>
      </c>
      <c r="D1939" s="219">
        <v>1</v>
      </c>
      <c r="E1939" s="193">
        <f>1.8+0.46</f>
        <v>2.2599999999999998</v>
      </c>
      <c r="F1939" s="193">
        <v>0.6</v>
      </c>
      <c r="G1939" s="213"/>
      <c r="H1939" s="194">
        <f t="shared" si="55"/>
        <v>1.36</v>
      </c>
      <c r="I1939" s="225"/>
    </row>
    <row r="1940" spans="1:9" s="186" customFormat="1" ht="20.100000000000001" customHeight="1">
      <c r="A1940" s="244"/>
      <c r="B1940" s="216" t="s">
        <v>4192</v>
      </c>
      <c r="C1940" s="219"/>
      <c r="D1940" s="219"/>
      <c r="E1940" s="193"/>
      <c r="F1940" s="193"/>
      <c r="G1940" s="213"/>
      <c r="H1940" s="194">
        <f t="shared" si="55"/>
        <v>0</v>
      </c>
      <c r="I1940" s="225"/>
    </row>
    <row r="1941" spans="1:9" s="186" customFormat="1" ht="20.100000000000001" customHeight="1">
      <c r="A1941" s="244"/>
      <c r="B1941" s="218" t="s">
        <v>3915</v>
      </c>
      <c r="C1941" s="219">
        <v>4</v>
      </c>
      <c r="D1941" s="219">
        <v>2</v>
      </c>
      <c r="E1941" s="193">
        <v>0.6</v>
      </c>
      <c r="F1941" s="193"/>
      <c r="G1941" s="213">
        <v>6.3E-2</v>
      </c>
      <c r="H1941" s="194">
        <f t="shared" si="55"/>
        <v>0.3</v>
      </c>
      <c r="I1941" s="225"/>
    </row>
    <row r="1942" spans="1:9" s="186" customFormat="1" ht="20.100000000000001" customHeight="1">
      <c r="A1942" s="244"/>
      <c r="B1942" s="218" t="s">
        <v>3916</v>
      </c>
      <c r="C1942" s="219">
        <v>2</v>
      </c>
      <c r="D1942" s="219">
        <v>2</v>
      </c>
      <c r="E1942" s="193">
        <v>0.6</v>
      </c>
      <c r="F1942" s="193"/>
      <c r="G1942" s="213">
        <v>6.3E-2</v>
      </c>
      <c r="H1942" s="194">
        <f t="shared" si="55"/>
        <v>0.15</v>
      </c>
      <c r="I1942" s="225"/>
    </row>
    <row r="1943" spans="1:9" s="186" customFormat="1" ht="20.100000000000001" customHeight="1">
      <c r="A1943" s="244"/>
      <c r="B1943" s="218" t="s">
        <v>3917</v>
      </c>
      <c r="C1943" s="219">
        <v>1</v>
      </c>
      <c r="D1943" s="219">
        <v>2</v>
      </c>
      <c r="E1943" s="193">
        <v>0.6</v>
      </c>
      <c r="F1943" s="193"/>
      <c r="G1943" s="213">
        <v>6.3E-2</v>
      </c>
      <c r="H1943" s="194">
        <f t="shared" si="55"/>
        <v>0.08</v>
      </c>
      <c r="I1943" s="225"/>
    </row>
    <row r="1944" spans="1:9" s="186" customFormat="1" ht="20.100000000000001" customHeight="1">
      <c r="A1944" s="244"/>
      <c r="B1944" s="218" t="s">
        <v>3918</v>
      </c>
      <c r="C1944" s="219">
        <v>1</v>
      </c>
      <c r="D1944" s="219">
        <v>2</v>
      </c>
      <c r="E1944" s="193">
        <v>0.6</v>
      </c>
      <c r="F1944" s="193"/>
      <c r="G1944" s="213">
        <v>6.3E-2</v>
      </c>
      <c r="H1944" s="194">
        <f t="shared" si="55"/>
        <v>0.08</v>
      </c>
    </row>
    <row r="1945" spans="1:9" s="186" customFormat="1" ht="20.100000000000001" customHeight="1">
      <c r="A1945" s="244"/>
      <c r="B1945" s="218" t="s">
        <v>3632</v>
      </c>
      <c r="C1945" s="219">
        <v>1</v>
      </c>
      <c r="D1945" s="219">
        <v>2</v>
      </c>
      <c r="E1945" s="193">
        <v>0.6</v>
      </c>
      <c r="F1945" s="193"/>
      <c r="G1945" s="213">
        <v>6.3E-2</v>
      </c>
      <c r="H1945" s="194">
        <f t="shared" si="55"/>
        <v>0.08</v>
      </c>
    </row>
    <row r="1946" spans="1:9" s="186" customFormat="1" ht="20.100000000000001" customHeight="1">
      <c r="A1946" s="244"/>
      <c r="B1946" s="216" t="s">
        <v>3640</v>
      </c>
      <c r="C1946" s="219"/>
      <c r="D1946" s="219"/>
      <c r="E1946" s="193"/>
      <c r="F1946" s="193"/>
      <c r="G1946" s="213"/>
      <c r="H1946" s="194">
        <f t="shared" si="55"/>
        <v>0</v>
      </c>
    </row>
    <row r="1947" spans="1:9" s="186" customFormat="1" ht="20.100000000000001" customHeight="1">
      <c r="A1947" s="244"/>
      <c r="B1947" s="192" t="s">
        <v>4186</v>
      </c>
      <c r="C1947" s="219">
        <v>1</v>
      </c>
      <c r="D1947" s="219">
        <v>8</v>
      </c>
      <c r="E1947" s="193">
        <f>(0.23+0.38)*2</f>
        <v>1.22</v>
      </c>
      <c r="F1947" s="193"/>
      <c r="G1947" s="193">
        <v>2.85</v>
      </c>
      <c r="H1947" s="194">
        <f t="shared" si="55"/>
        <v>27.82</v>
      </c>
    </row>
    <row r="1948" spans="1:9" s="186" customFormat="1" ht="20.100000000000001" customHeight="1">
      <c r="A1948" s="244"/>
      <c r="B1948" s="192" t="s">
        <v>4187</v>
      </c>
      <c r="C1948" s="219">
        <v>1</v>
      </c>
      <c r="D1948" s="219">
        <v>1</v>
      </c>
      <c r="E1948" s="193">
        <v>1.36</v>
      </c>
      <c r="F1948" s="193"/>
      <c r="G1948" s="193">
        <v>2.85</v>
      </c>
      <c r="H1948" s="194">
        <f t="shared" si="55"/>
        <v>3.88</v>
      </c>
    </row>
    <row r="1949" spans="1:9" s="186" customFormat="1" ht="20.100000000000001" customHeight="1">
      <c r="A1949" s="244"/>
      <c r="B1949" s="192" t="s">
        <v>4188</v>
      </c>
      <c r="C1949" s="219">
        <v>1</v>
      </c>
      <c r="D1949" s="219">
        <v>8</v>
      </c>
      <c r="E1949" s="193">
        <v>1.22</v>
      </c>
      <c r="F1949" s="193"/>
      <c r="G1949" s="193">
        <v>2.85</v>
      </c>
      <c r="H1949" s="194">
        <f t="shared" si="55"/>
        <v>27.82</v>
      </c>
      <c r="I1949" s="225"/>
    </row>
    <row r="1950" spans="1:9" s="186" customFormat="1" ht="20.100000000000001" customHeight="1">
      <c r="A1950" s="244"/>
      <c r="B1950" s="192" t="s">
        <v>4189</v>
      </c>
      <c r="C1950" s="219">
        <v>1</v>
      </c>
      <c r="D1950" s="254">
        <v>2</v>
      </c>
      <c r="E1950" s="193">
        <f>(0.23+0.45)*2</f>
        <v>1.36</v>
      </c>
      <c r="F1950" s="193"/>
      <c r="G1950" s="193">
        <v>2.85</v>
      </c>
      <c r="H1950" s="194">
        <f t="shared" si="55"/>
        <v>7.75</v>
      </c>
      <c r="I1950" s="225"/>
    </row>
    <row r="1951" spans="1:9" s="237" customFormat="1" ht="20.100000000000001" customHeight="1">
      <c r="A1951" s="246"/>
      <c r="B1951" s="232" t="s">
        <v>4191</v>
      </c>
      <c r="C1951" s="254">
        <v>1</v>
      </c>
      <c r="D1951" s="254">
        <v>1</v>
      </c>
      <c r="E1951" s="235">
        <v>1.66</v>
      </c>
      <c r="F1951" s="235"/>
      <c r="G1951" s="235">
        <v>2.85</v>
      </c>
      <c r="H1951" s="236">
        <f>PRODUCT(C1951:G1951)</f>
        <v>4.7300000000000004</v>
      </c>
      <c r="I1951" s="353"/>
    </row>
    <row r="1952" spans="1:9" s="186" customFormat="1" ht="20.100000000000001" customHeight="1">
      <c r="A1952" s="244"/>
      <c r="B1952" s="216" t="s">
        <v>4190</v>
      </c>
      <c r="C1952" s="219"/>
      <c r="D1952" s="219"/>
      <c r="E1952" s="193"/>
      <c r="F1952" s="193"/>
      <c r="G1952" s="213"/>
      <c r="H1952" s="194">
        <f t="shared" si="55"/>
        <v>0</v>
      </c>
      <c r="I1952" s="225"/>
    </row>
    <row r="1953" spans="1:9" s="186" customFormat="1" ht="20.100000000000001" customHeight="1">
      <c r="A1953" s="244"/>
      <c r="B1953" s="218" t="s">
        <v>3919</v>
      </c>
      <c r="C1953" s="219">
        <v>1</v>
      </c>
      <c r="D1953" s="219">
        <v>4</v>
      </c>
      <c r="E1953" s="193">
        <f>1.5+0.46</f>
        <v>1.96</v>
      </c>
      <c r="F1953" s="193">
        <v>0.6</v>
      </c>
      <c r="G1953" s="213"/>
      <c r="H1953" s="194">
        <f t="shared" si="55"/>
        <v>4.7</v>
      </c>
      <c r="I1953" s="225"/>
    </row>
    <row r="1954" spans="1:9" s="186" customFormat="1" ht="20.100000000000001" customHeight="1">
      <c r="A1954" s="244"/>
      <c r="B1954" s="218" t="s">
        <v>3606</v>
      </c>
      <c r="C1954" s="219">
        <v>1</v>
      </c>
      <c r="D1954" s="219">
        <v>1</v>
      </c>
      <c r="E1954" s="193">
        <f>1.8+0.46</f>
        <v>2.2599999999999998</v>
      </c>
      <c r="F1954" s="193">
        <v>0.6</v>
      </c>
      <c r="G1954" s="213"/>
      <c r="H1954" s="194">
        <f t="shared" si="55"/>
        <v>1.36</v>
      </c>
      <c r="I1954" s="225"/>
    </row>
    <row r="1955" spans="1:9" s="186" customFormat="1" ht="19.899999999999999" customHeight="1">
      <c r="A1955" s="244"/>
      <c r="B1955" s="218" t="s">
        <v>3632</v>
      </c>
      <c r="C1955" s="219">
        <v>1</v>
      </c>
      <c r="D1955" s="219">
        <v>1</v>
      </c>
      <c r="E1955" s="193">
        <f>1.8+0.46</f>
        <v>2.2599999999999998</v>
      </c>
      <c r="F1955" s="193">
        <v>0.6</v>
      </c>
      <c r="G1955" s="213"/>
      <c r="H1955" s="194">
        <f t="shared" si="55"/>
        <v>1.36</v>
      </c>
      <c r="I1955" s="225"/>
    </row>
    <row r="1956" spans="1:9" s="186" customFormat="1" ht="20.100000000000001" customHeight="1">
      <c r="A1956" s="244"/>
      <c r="B1956" s="218" t="s">
        <v>3942</v>
      </c>
      <c r="C1956" s="219">
        <v>1</v>
      </c>
      <c r="D1956" s="219">
        <v>3</v>
      </c>
      <c r="E1956" s="193">
        <f>1.35+0.46</f>
        <v>1.81</v>
      </c>
      <c r="F1956" s="193">
        <v>0.6</v>
      </c>
      <c r="G1956" s="213"/>
      <c r="H1956" s="194">
        <f t="shared" si="55"/>
        <v>3.26</v>
      </c>
      <c r="I1956" s="225"/>
    </row>
    <row r="1957" spans="1:9" s="186" customFormat="1" ht="20.100000000000001" customHeight="1">
      <c r="A1957" s="244"/>
      <c r="B1957" s="218" t="s">
        <v>3922</v>
      </c>
      <c r="C1957" s="219">
        <v>1</v>
      </c>
      <c r="D1957" s="219">
        <v>1</v>
      </c>
      <c r="E1957" s="193">
        <v>3.76</v>
      </c>
      <c r="F1957" s="193">
        <v>0.6</v>
      </c>
      <c r="G1957" s="213"/>
      <c r="H1957" s="194">
        <f t="shared" si="55"/>
        <v>2.2599999999999998</v>
      </c>
      <c r="I1957" s="225"/>
    </row>
    <row r="1958" spans="1:9" s="186" customFormat="1" ht="20.100000000000001" customHeight="1">
      <c r="A1958" s="244"/>
      <c r="B1958" s="218" t="s">
        <v>3923</v>
      </c>
      <c r="C1958" s="219">
        <v>1</v>
      </c>
      <c r="D1958" s="219">
        <v>1</v>
      </c>
      <c r="E1958" s="193">
        <v>3.61</v>
      </c>
      <c r="F1958" s="193">
        <v>0.6</v>
      </c>
      <c r="G1958" s="213"/>
      <c r="H1958" s="194">
        <f t="shared" si="55"/>
        <v>2.17</v>
      </c>
      <c r="I1958" s="225"/>
    </row>
    <row r="1959" spans="1:9" s="186" customFormat="1" ht="20.100000000000001" customHeight="1">
      <c r="A1959" s="244"/>
      <c r="B1959" s="216" t="s">
        <v>4193</v>
      </c>
      <c r="C1959" s="219"/>
      <c r="D1959" s="219"/>
      <c r="E1959" s="193"/>
      <c r="F1959" s="193"/>
      <c r="G1959" s="213"/>
      <c r="H1959" s="194">
        <f t="shared" si="55"/>
        <v>0</v>
      </c>
      <c r="I1959" s="225"/>
    </row>
    <row r="1960" spans="1:9" s="186" customFormat="1" ht="20.100000000000001" customHeight="1">
      <c r="A1960" s="244"/>
      <c r="B1960" s="218" t="s">
        <v>3919</v>
      </c>
      <c r="C1960" s="219">
        <v>2</v>
      </c>
      <c r="D1960" s="219">
        <v>2</v>
      </c>
      <c r="E1960" s="193">
        <v>0.6</v>
      </c>
      <c r="F1960" s="193"/>
      <c r="G1960" s="213">
        <v>6.3E-2</v>
      </c>
      <c r="H1960" s="194">
        <f t="shared" si="55"/>
        <v>0.15</v>
      </c>
      <c r="I1960" s="225"/>
    </row>
    <row r="1961" spans="1:9" s="186" customFormat="1" ht="20.100000000000001" customHeight="1">
      <c r="A1961" s="244"/>
      <c r="B1961" s="218" t="s">
        <v>3606</v>
      </c>
      <c r="C1961" s="219">
        <v>1</v>
      </c>
      <c r="D1961" s="219">
        <v>2</v>
      </c>
      <c r="E1961" s="193">
        <v>0.6</v>
      </c>
      <c r="F1961" s="193"/>
      <c r="G1961" s="213">
        <v>6.3E-2</v>
      </c>
      <c r="H1961" s="194">
        <f t="shared" si="55"/>
        <v>0.08</v>
      </c>
      <c r="I1961" s="225"/>
    </row>
    <row r="1962" spans="1:9" s="186" customFormat="1" ht="19.899999999999999" customHeight="1">
      <c r="A1962" s="244"/>
      <c r="B1962" s="218" t="s">
        <v>3632</v>
      </c>
      <c r="C1962" s="219">
        <v>1</v>
      </c>
      <c r="D1962" s="219">
        <v>2</v>
      </c>
      <c r="E1962" s="193">
        <v>0.6</v>
      </c>
      <c r="F1962" s="193"/>
      <c r="G1962" s="213">
        <v>6.3E-2</v>
      </c>
      <c r="H1962" s="194">
        <f t="shared" si="55"/>
        <v>0.08</v>
      </c>
      <c r="I1962" s="225"/>
    </row>
    <row r="1963" spans="1:9" s="186" customFormat="1" ht="20.100000000000001" customHeight="1">
      <c r="A1963" s="244"/>
      <c r="B1963" s="218" t="s">
        <v>3942</v>
      </c>
      <c r="C1963" s="219">
        <v>3</v>
      </c>
      <c r="D1963" s="219">
        <v>2</v>
      </c>
      <c r="E1963" s="193">
        <v>0.6</v>
      </c>
      <c r="F1963" s="193"/>
      <c r="G1963" s="213">
        <v>6.3E-2</v>
      </c>
      <c r="H1963" s="194">
        <f t="shared" si="55"/>
        <v>0.23</v>
      </c>
    </row>
    <row r="1964" spans="1:9" s="186" customFormat="1" ht="20.100000000000001" customHeight="1">
      <c r="A1964" s="187"/>
      <c r="B1964" s="218" t="s">
        <v>3922</v>
      </c>
      <c r="C1964" s="219">
        <v>1</v>
      </c>
      <c r="D1964" s="219">
        <v>2</v>
      </c>
      <c r="E1964" s="193">
        <v>0.6</v>
      </c>
      <c r="F1964" s="193"/>
      <c r="G1964" s="213">
        <v>6.3E-2</v>
      </c>
      <c r="H1964" s="194">
        <f t="shared" si="55"/>
        <v>0.08</v>
      </c>
    </row>
    <row r="1965" spans="1:9" s="186" customFormat="1" ht="20.100000000000001" customHeight="1">
      <c r="A1965" s="187"/>
      <c r="B1965" s="218" t="s">
        <v>3923</v>
      </c>
      <c r="C1965" s="219">
        <v>1</v>
      </c>
      <c r="D1965" s="219">
        <v>2</v>
      </c>
      <c r="E1965" s="193">
        <v>0.6</v>
      </c>
      <c r="F1965" s="193"/>
      <c r="G1965" s="213">
        <v>6.3E-2</v>
      </c>
      <c r="H1965" s="194">
        <f t="shared" si="55"/>
        <v>0.08</v>
      </c>
    </row>
    <row r="1966" spans="1:9" s="186" customFormat="1" ht="20.100000000000001" customHeight="1">
      <c r="A1966" s="244"/>
      <c r="B1966" s="216" t="s">
        <v>4194</v>
      </c>
      <c r="C1966" s="219"/>
      <c r="D1966" s="219"/>
      <c r="E1966" s="193"/>
      <c r="F1966" s="193"/>
      <c r="G1966" s="213"/>
      <c r="H1966" s="194">
        <f t="shared" si="55"/>
        <v>0</v>
      </c>
      <c r="I1966" s="225"/>
    </row>
    <row r="1967" spans="1:9" s="186" customFormat="1" ht="20.100000000000001" customHeight="1">
      <c r="A1967" s="244"/>
      <c r="B1967" s="192" t="s">
        <v>4186</v>
      </c>
      <c r="C1967" s="190">
        <v>1</v>
      </c>
      <c r="D1967" s="190">
        <v>8</v>
      </c>
      <c r="E1967" s="193">
        <v>1.22</v>
      </c>
      <c r="F1967" s="193"/>
      <c r="G1967" s="193">
        <v>1.2</v>
      </c>
      <c r="H1967" s="194">
        <f t="shared" si="55"/>
        <v>11.71</v>
      </c>
    </row>
    <row r="1968" spans="1:9" s="186" customFormat="1" ht="20.100000000000001" customHeight="1">
      <c r="A1968" s="244"/>
      <c r="B1968" s="192" t="s">
        <v>4187</v>
      </c>
      <c r="C1968" s="190">
        <v>1</v>
      </c>
      <c r="D1968" s="190">
        <v>1</v>
      </c>
      <c r="E1968" s="193">
        <v>1.36</v>
      </c>
      <c r="F1968" s="193"/>
      <c r="G1968" s="193">
        <f>+G1967</f>
        <v>1.2</v>
      </c>
      <c r="H1968" s="194">
        <f t="shared" si="55"/>
        <v>1.63</v>
      </c>
    </row>
    <row r="1969" spans="1:12" s="186" customFormat="1" ht="19.899999999999999" customHeight="1">
      <c r="A1969" s="244"/>
      <c r="B1969" s="192" t="s">
        <v>4188</v>
      </c>
      <c r="C1969" s="190">
        <v>1</v>
      </c>
      <c r="D1969" s="190">
        <v>3</v>
      </c>
      <c r="E1969" s="193">
        <f>(0.23+0.6)*2</f>
        <v>1.66</v>
      </c>
      <c r="F1969" s="193"/>
      <c r="G1969" s="193">
        <f>+G1968</f>
        <v>1.2</v>
      </c>
      <c r="H1969" s="194">
        <f t="shared" si="55"/>
        <v>5.98</v>
      </c>
    </row>
    <row r="1970" spans="1:12" s="186" customFormat="1" ht="20.100000000000001" customHeight="1">
      <c r="A1970" s="244"/>
      <c r="B1970" s="216" t="s">
        <v>3698</v>
      </c>
      <c r="C1970" s="219"/>
      <c r="D1970" s="219"/>
      <c r="E1970" s="193"/>
      <c r="F1970" s="193"/>
      <c r="G1970" s="213"/>
      <c r="H1970" s="194">
        <f t="shared" si="55"/>
        <v>0</v>
      </c>
      <c r="L1970" s="186">
        <f>5.03+2.63</f>
        <v>7.66</v>
      </c>
    </row>
    <row r="1971" spans="1:12" s="186" customFormat="1" ht="20.100000000000001" customHeight="1">
      <c r="A1971" s="244"/>
      <c r="B1971" s="216" t="s">
        <v>3699</v>
      </c>
      <c r="C1971" s="219"/>
      <c r="D1971" s="219"/>
      <c r="E1971" s="193"/>
      <c r="F1971" s="193"/>
      <c r="G1971" s="213"/>
      <c r="H1971" s="194">
        <f t="shared" si="55"/>
        <v>0</v>
      </c>
      <c r="L1971" s="186">
        <f>L1970*2</f>
        <v>15.32</v>
      </c>
    </row>
    <row r="1972" spans="1:12" s="186" customFormat="1" ht="33" customHeight="1">
      <c r="A1972" s="244"/>
      <c r="B1972" s="216" t="s">
        <v>4195</v>
      </c>
      <c r="C1972" s="219"/>
      <c r="D1972" s="219"/>
      <c r="E1972" s="193"/>
      <c r="F1972" s="193"/>
      <c r="G1972" s="213"/>
      <c r="H1972" s="194">
        <f t="shared" si="55"/>
        <v>0</v>
      </c>
    </row>
    <row r="1973" spans="1:12" s="186" customFormat="1" ht="20.100000000000001" customHeight="1">
      <c r="A1973" s="244"/>
      <c r="B1973" s="218" t="s">
        <v>3501</v>
      </c>
      <c r="C1973" s="219">
        <v>1</v>
      </c>
      <c r="D1973" s="219">
        <v>4</v>
      </c>
      <c r="E1973" s="193">
        <v>1.36</v>
      </c>
      <c r="F1973" s="193"/>
      <c r="G1973" s="193">
        <f>2.55-0.38</f>
        <v>2.17</v>
      </c>
      <c r="H1973" s="194">
        <f t="shared" si="55"/>
        <v>11.8</v>
      </c>
    </row>
    <row r="1974" spans="1:12" s="186" customFormat="1" ht="20.100000000000001" customHeight="1">
      <c r="A1974" s="244"/>
      <c r="B1974" s="218" t="s">
        <v>3502</v>
      </c>
      <c r="C1974" s="219">
        <v>1</v>
      </c>
      <c r="D1974" s="254">
        <v>1</v>
      </c>
      <c r="E1974" s="193">
        <v>1.36</v>
      </c>
      <c r="F1974" s="193"/>
      <c r="G1974" s="193">
        <f>2.55-0.38</f>
        <v>2.17</v>
      </c>
      <c r="H1974" s="194">
        <f>PRODUCT(C1974:G1974)</f>
        <v>2.95</v>
      </c>
    </row>
    <row r="1975" spans="1:12" s="237" customFormat="1" ht="20.100000000000001" customHeight="1">
      <c r="A1975" s="246"/>
      <c r="B1975" s="314" t="s">
        <v>3599</v>
      </c>
      <c r="C1975" s="254">
        <v>1</v>
      </c>
      <c r="D1975" s="254">
        <v>1</v>
      </c>
      <c r="E1975" s="235">
        <v>1.66</v>
      </c>
      <c r="F1975" s="235"/>
      <c r="G1975" s="235">
        <f>2.55-0.38</f>
        <v>2.17</v>
      </c>
      <c r="H1975" s="236">
        <f>PRODUCT(C1975:G1975)</f>
        <v>3.6</v>
      </c>
    </row>
    <row r="1976" spans="1:12" s="186" customFormat="1" ht="20.100000000000001" customHeight="1">
      <c r="A1976" s="244"/>
      <c r="B1976" s="216" t="s">
        <v>4190</v>
      </c>
      <c r="C1976" s="219"/>
      <c r="D1976" s="219"/>
      <c r="E1976" s="193"/>
      <c r="F1976" s="193"/>
      <c r="G1976" s="213"/>
      <c r="H1976" s="194">
        <f t="shared" si="55"/>
        <v>0</v>
      </c>
    </row>
    <row r="1977" spans="1:12" s="186" customFormat="1" ht="20.100000000000001" customHeight="1">
      <c r="A1977" s="244"/>
      <c r="B1977" s="218" t="s">
        <v>3632</v>
      </c>
      <c r="C1977" s="219">
        <v>1</v>
      </c>
      <c r="D1977" s="219">
        <v>1</v>
      </c>
      <c r="E1977" s="193">
        <f>1.8+0.46</f>
        <v>2.2599999999999998</v>
      </c>
      <c r="F1977" s="193">
        <v>0.6</v>
      </c>
      <c r="G1977" s="213"/>
      <c r="H1977" s="194">
        <f t="shared" si="55"/>
        <v>1.36</v>
      </c>
    </row>
    <row r="1978" spans="1:12" s="186" customFormat="1" ht="20.100000000000001" customHeight="1">
      <c r="A1978" s="244"/>
      <c r="B1978" s="218" t="s">
        <v>3605</v>
      </c>
      <c r="C1978" s="219">
        <v>1</v>
      </c>
      <c r="D1978" s="219">
        <v>1</v>
      </c>
      <c r="E1978" s="193">
        <f>1.5+0.46</f>
        <v>1.96</v>
      </c>
      <c r="F1978" s="193">
        <v>0.6</v>
      </c>
      <c r="G1978" s="213"/>
      <c r="H1978" s="194">
        <f t="shared" si="55"/>
        <v>1.18</v>
      </c>
    </row>
    <row r="1979" spans="1:12" s="186" customFormat="1" ht="20.100000000000001" customHeight="1">
      <c r="A1979" s="244"/>
      <c r="B1979" s="218" t="s">
        <v>3483</v>
      </c>
      <c r="C1979" s="219">
        <v>1</v>
      </c>
      <c r="D1979" s="219">
        <v>1</v>
      </c>
      <c r="E1979" s="193">
        <f>1+0.46</f>
        <v>1.46</v>
      </c>
      <c r="F1979" s="193">
        <v>0.6</v>
      </c>
      <c r="G1979" s="213"/>
      <c r="H1979" s="194">
        <f t="shared" si="55"/>
        <v>0.88</v>
      </c>
    </row>
    <row r="1980" spans="1:12" s="186" customFormat="1" ht="20.100000000000001" customHeight="1">
      <c r="A1980" s="244"/>
      <c r="B1980" s="218" t="s">
        <v>3924</v>
      </c>
      <c r="C1980" s="219"/>
      <c r="D1980" s="219"/>
      <c r="E1980" s="193"/>
      <c r="F1980" s="193"/>
      <c r="G1980" s="213"/>
      <c r="H1980" s="194">
        <f t="shared" si="55"/>
        <v>0</v>
      </c>
    </row>
    <row r="1981" spans="1:12" s="186" customFormat="1" ht="20.100000000000001" customHeight="1">
      <c r="A1981" s="244"/>
      <c r="B1981" s="218" t="s">
        <v>3632</v>
      </c>
      <c r="C1981" s="219">
        <v>1</v>
      </c>
      <c r="D1981" s="219">
        <v>2</v>
      </c>
      <c r="E1981" s="193">
        <v>0.6</v>
      </c>
      <c r="F1981" s="193"/>
      <c r="G1981" s="213">
        <v>6.3E-2</v>
      </c>
      <c r="H1981" s="194">
        <f t="shared" si="55"/>
        <v>0.08</v>
      </c>
    </row>
    <row r="1982" spans="1:12" s="186" customFormat="1" ht="20.100000000000001" customHeight="1">
      <c r="A1982" s="244"/>
      <c r="B1982" s="218" t="s">
        <v>3605</v>
      </c>
      <c r="C1982" s="219">
        <v>1</v>
      </c>
      <c r="D1982" s="219">
        <v>2</v>
      </c>
      <c r="E1982" s="193">
        <v>0.6</v>
      </c>
      <c r="F1982" s="193"/>
      <c r="G1982" s="213">
        <v>6.3E-2</v>
      </c>
      <c r="H1982" s="194">
        <f t="shared" si="55"/>
        <v>0.08</v>
      </c>
      <c r="L1982" s="186">
        <f>5.03+2.63</f>
        <v>7.66</v>
      </c>
    </row>
    <row r="1983" spans="1:12" s="186" customFormat="1" ht="20.100000000000001" customHeight="1">
      <c r="A1983" s="244"/>
      <c r="B1983" s="218" t="s">
        <v>3483</v>
      </c>
      <c r="C1983" s="219">
        <v>1</v>
      </c>
      <c r="D1983" s="219">
        <v>2</v>
      </c>
      <c r="E1983" s="193">
        <v>0.6</v>
      </c>
      <c r="F1983" s="193"/>
      <c r="G1983" s="213">
        <v>6.3E-2</v>
      </c>
      <c r="H1983" s="194">
        <f t="shared" si="55"/>
        <v>0.08</v>
      </c>
      <c r="L1983" s="186">
        <f>L1982*2</f>
        <v>15.32</v>
      </c>
    </row>
    <row r="1984" spans="1:12" s="186" customFormat="1" ht="20.100000000000001" customHeight="1">
      <c r="A1984" s="244"/>
      <c r="B1984" s="216" t="s">
        <v>4194</v>
      </c>
      <c r="C1984" s="219"/>
      <c r="D1984" s="219"/>
      <c r="E1984" s="193"/>
      <c r="F1984" s="193"/>
      <c r="G1984" s="213"/>
      <c r="H1984" s="194">
        <f t="shared" si="55"/>
        <v>0</v>
      </c>
    </row>
    <row r="1985" spans="1:10" s="186" customFormat="1" ht="20.100000000000001" customHeight="1">
      <c r="A1985" s="244"/>
      <c r="B1985" s="218" t="s">
        <v>3501</v>
      </c>
      <c r="C1985" s="219">
        <v>1</v>
      </c>
      <c r="D1985" s="219">
        <v>4</v>
      </c>
      <c r="E1985" s="193">
        <f>(0.23+0.45)*2</f>
        <v>1.36</v>
      </c>
      <c r="F1985" s="193"/>
      <c r="G1985" s="193">
        <v>0.45</v>
      </c>
      <c r="H1985" s="194">
        <f t="shared" si="55"/>
        <v>2.4500000000000002</v>
      </c>
    </row>
    <row r="1986" spans="1:10" s="186" customFormat="1" ht="20.100000000000001" customHeight="1">
      <c r="A1986" s="244"/>
      <c r="B1986" s="218" t="s">
        <v>3502</v>
      </c>
      <c r="C1986" s="219">
        <v>1</v>
      </c>
      <c r="D1986" s="254">
        <v>1</v>
      </c>
      <c r="E1986" s="193">
        <v>1.36</v>
      </c>
      <c r="F1986" s="193"/>
      <c r="G1986" s="193">
        <v>0.45</v>
      </c>
      <c r="H1986" s="194">
        <f>PRODUCT(C1986:G1986)</f>
        <v>0.61</v>
      </c>
      <c r="I1986" s="186">
        <v>379.2</v>
      </c>
      <c r="J1986" s="186">
        <f>I1986-H1989</f>
        <v>0</v>
      </c>
    </row>
    <row r="1987" spans="1:10" s="237" customFormat="1" ht="20.100000000000001" customHeight="1">
      <c r="A1987" s="246"/>
      <c r="B1987" s="314" t="s">
        <v>3599</v>
      </c>
      <c r="C1987" s="254">
        <v>1</v>
      </c>
      <c r="D1987" s="254">
        <v>1</v>
      </c>
      <c r="E1987" s="235">
        <v>1.66</v>
      </c>
      <c r="F1987" s="235"/>
      <c r="G1987" s="235">
        <v>0.45</v>
      </c>
      <c r="H1987" s="236">
        <f>PRODUCT(C1987:G1987)</f>
        <v>0.75</v>
      </c>
      <c r="I1987" s="237">
        <v>379.2</v>
      </c>
      <c r="J1987" s="237" t="e">
        <f>I1987-H1990</f>
        <v>#VALUE!</v>
      </c>
    </row>
    <row r="1988" spans="1:10" s="186" customFormat="1" ht="20.100000000000001" customHeight="1">
      <c r="A1988" s="244"/>
      <c r="B1988" s="218"/>
      <c r="C1988" s="219"/>
      <c r="D1988" s="219"/>
      <c r="E1988" s="204"/>
      <c r="F1988" s="193"/>
      <c r="G1988" s="193"/>
      <c r="H1988" s="205">
        <f>J1989-I1989</f>
        <v>0.04</v>
      </c>
    </row>
    <row r="1989" spans="1:10" s="186" customFormat="1" ht="20.100000000000001" customHeight="1">
      <c r="A1989" s="244"/>
      <c r="B1989" s="218"/>
      <c r="C1989" s="219"/>
      <c r="D1989" s="219"/>
      <c r="E1989" s="204"/>
      <c r="F1989" s="193"/>
      <c r="G1989" s="213" t="s">
        <v>1827</v>
      </c>
      <c r="H1989" s="355">
        <f>J1989+13</f>
        <v>379.2</v>
      </c>
      <c r="I1989" s="186">
        <f>SUM(H1917:H1986)</f>
        <v>366.16</v>
      </c>
      <c r="J1989" s="186">
        <f>ROUNDUP(I1989,1)</f>
        <v>366.2</v>
      </c>
    </row>
    <row r="1990" spans="1:10" s="199" customFormat="1" ht="20.100000000000001" customHeight="1">
      <c r="A1990" s="182"/>
      <c r="B1990" s="216"/>
      <c r="C1990" s="220"/>
      <c r="D1990" s="220"/>
      <c r="E1990" s="252"/>
      <c r="F1990" s="197" t="s">
        <v>2560</v>
      </c>
      <c r="G1990" s="197">
        <f>H1989</f>
        <v>379.2</v>
      </c>
      <c r="H1990" s="248" t="s">
        <v>1861</v>
      </c>
    </row>
    <row r="1991" spans="1:10" ht="34.9" customHeight="1">
      <c r="A1991" s="244">
        <v>86</v>
      </c>
      <c r="B1991" s="992" t="s">
        <v>4196</v>
      </c>
      <c r="C1991" s="993"/>
      <c r="D1991" s="993"/>
      <c r="E1991" s="993"/>
      <c r="F1991" s="993"/>
      <c r="G1991" s="994"/>
      <c r="H1991" s="205"/>
    </row>
    <row r="1992" spans="1:10" ht="20.100000000000001" customHeight="1">
      <c r="A1992" s="244"/>
      <c r="B1992" s="218" t="s">
        <v>4197</v>
      </c>
      <c r="C1992" s="219">
        <v>1</v>
      </c>
      <c r="D1992" s="219">
        <v>1</v>
      </c>
      <c r="E1992" s="205">
        <v>11.72</v>
      </c>
      <c r="F1992" s="194">
        <v>15.18</v>
      </c>
      <c r="G1992" s="213"/>
      <c r="H1992" s="205">
        <f>ROUND(PRODUCT(C1992:G1992),2)</f>
        <v>177.91</v>
      </c>
    </row>
    <row r="1993" spans="1:10" ht="20.100000000000001" customHeight="1">
      <c r="A1993" s="244"/>
      <c r="B1993" s="218"/>
      <c r="C1993" s="219"/>
      <c r="D1993" s="219"/>
      <c r="E1993" s="205"/>
      <c r="F1993" s="194"/>
      <c r="G1993" s="213"/>
      <c r="H1993" s="205">
        <f>J1994-I1994</f>
        <v>0.09</v>
      </c>
    </row>
    <row r="1994" spans="1:10" ht="20.100000000000001" customHeight="1">
      <c r="A1994" s="244"/>
      <c r="B1994" s="218"/>
      <c r="C1994" s="219"/>
      <c r="D1994" s="219"/>
      <c r="E1994" s="205"/>
      <c r="F1994" s="194"/>
      <c r="G1994" s="213" t="s">
        <v>1827</v>
      </c>
      <c r="H1994" s="205">
        <f>J1994</f>
        <v>178</v>
      </c>
      <c r="I1994" s="181">
        <f>SUM(H1992)</f>
        <v>177.91</v>
      </c>
      <c r="J1994" s="181">
        <f>ROUNDUP(I1994,1)</f>
        <v>178</v>
      </c>
    </row>
    <row r="1995" spans="1:10" s="316" customFormat="1" ht="20.100000000000001" customHeight="1">
      <c r="A1995" s="182"/>
      <c r="B1995" s="216"/>
      <c r="C1995" s="220"/>
      <c r="D1995" s="220"/>
      <c r="E1995" s="248"/>
      <c r="F1995" s="356" t="s">
        <v>2560</v>
      </c>
      <c r="G1995" s="197">
        <f>H1994</f>
        <v>178</v>
      </c>
      <c r="H1995" s="248" t="s">
        <v>1861</v>
      </c>
    </row>
    <row r="1996" spans="1:10" s="313" customFormat="1" ht="40.15" hidden="1" customHeight="1">
      <c r="A1996" s="295" t="s">
        <v>1976</v>
      </c>
      <c r="B1996" s="1004" t="s">
        <v>4198</v>
      </c>
      <c r="C1996" s="1005"/>
      <c r="D1996" s="1005"/>
      <c r="E1996" s="1005"/>
      <c r="F1996" s="1005"/>
      <c r="G1996" s="1006"/>
      <c r="H1996" s="288"/>
    </row>
    <row r="1997" spans="1:10" s="313" customFormat="1" ht="20.100000000000001" hidden="1" customHeight="1">
      <c r="A1997" s="295"/>
      <c r="B1997" s="299" t="s">
        <v>3671</v>
      </c>
      <c r="C1997" s="300"/>
      <c r="D1997" s="300"/>
      <c r="E1997" s="288"/>
      <c r="F1997" s="291"/>
      <c r="G1997" s="287"/>
      <c r="H1997" s="288"/>
    </row>
    <row r="1998" spans="1:10" s="313" customFormat="1" ht="20.100000000000001" hidden="1" customHeight="1">
      <c r="A1998" s="295"/>
      <c r="B1998" s="299" t="s">
        <v>4199</v>
      </c>
      <c r="C1998" s="300">
        <v>1</v>
      </c>
      <c r="D1998" s="300">
        <v>2</v>
      </c>
      <c r="E1998" s="288">
        <v>1.2</v>
      </c>
      <c r="F1998" s="291"/>
      <c r="G1998" s="290">
        <v>2.1</v>
      </c>
      <c r="H1998" s="288">
        <f>ROUND(PRODUCT(C1998:G1998),2)</f>
        <v>5.04</v>
      </c>
    </row>
    <row r="1999" spans="1:10" s="313" customFormat="1" ht="20.100000000000001" hidden="1" customHeight="1">
      <c r="A1999" s="295"/>
      <c r="B1999" s="299" t="s">
        <v>3733</v>
      </c>
      <c r="C1999" s="300">
        <v>1</v>
      </c>
      <c r="D1999" s="300">
        <v>3</v>
      </c>
      <c r="E1999" s="288">
        <v>1.2</v>
      </c>
      <c r="F1999" s="291"/>
      <c r="G1999" s="290">
        <v>2.1</v>
      </c>
      <c r="H1999" s="288">
        <f t="shared" ref="H1999:H2008" si="56">ROUND(PRODUCT(C1999:G1999),2)</f>
        <v>7.56</v>
      </c>
    </row>
    <row r="2000" spans="1:10" s="313" customFormat="1" ht="20.100000000000001" hidden="1" customHeight="1">
      <c r="A2000" s="295"/>
      <c r="B2000" s="299" t="s">
        <v>3734</v>
      </c>
      <c r="C2000" s="300">
        <v>1</v>
      </c>
      <c r="D2000" s="300">
        <v>2</v>
      </c>
      <c r="E2000" s="288">
        <v>1.2</v>
      </c>
      <c r="F2000" s="291"/>
      <c r="G2000" s="290">
        <v>2.1</v>
      </c>
      <c r="H2000" s="288">
        <f t="shared" si="56"/>
        <v>5.04</v>
      </c>
    </row>
    <row r="2001" spans="1:10" s="313" customFormat="1" ht="20.100000000000001" hidden="1" customHeight="1">
      <c r="A2001" s="295"/>
      <c r="B2001" s="299" t="s">
        <v>3735</v>
      </c>
      <c r="C2001" s="300">
        <v>1</v>
      </c>
      <c r="D2001" s="300">
        <v>3</v>
      </c>
      <c r="E2001" s="288">
        <v>1.2</v>
      </c>
      <c r="F2001" s="291"/>
      <c r="G2001" s="290">
        <v>2.1</v>
      </c>
      <c r="H2001" s="288">
        <f t="shared" si="56"/>
        <v>7.56</v>
      </c>
    </row>
    <row r="2002" spans="1:10" s="313" customFormat="1" ht="20.100000000000001" hidden="1" customHeight="1">
      <c r="A2002" s="295"/>
      <c r="B2002" s="299" t="s">
        <v>3736</v>
      </c>
      <c r="C2002" s="300">
        <v>1</v>
      </c>
      <c r="D2002" s="300">
        <v>2</v>
      </c>
      <c r="E2002" s="288">
        <v>1.2</v>
      </c>
      <c r="F2002" s="291"/>
      <c r="G2002" s="290">
        <v>2.1</v>
      </c>
      <c r="H2002" s="288">
        <f t="shared" si="56"/>
        <v>5.04</v>
      </c>
    </row>
    <row r="2003" spans="1:10" s="313" customFormat="1" ht="20.100000000000001" hidden="1" customHeight="1">
      <c r="A2003" s="295"/>
      <c r="B2003" s="299" t="s">
        <v>4200</v>
      </c>
      <c r="C2003" s="300"/>
      <c r="D2003" s="300"/>
      <c r="E2003" s="288"/>
      <c r="F2003" s="291"/>
      <c r="G2003" s="290"/>
      <c r="H2003" s="288">
        <f t="shared" si="56"/>
        <v>0</v>
      </c>
    </row>
    <row r="2004" spans="1:10" s="313" customFormat="1" ht="20.100000000000001" hidden="1" customHeight="1">
      <c r="A2004" s="295"/>
      <c r="B2004" s="299" t="s">
        <v>4199</v>
      </c>
      <c r="C2004" s="300">
        <v>1</v>
      </c>
      <c r="D2004" s="300">
        <v>1</v>
      </c>
      <c r="E2004" s="288">
        <v>1.2</v>
      </c>
      <c r="F2004" s="291"/>
      <c r="G2004" s="290">
        <v>2.1</v>
      </c>
      <c r="H2004" s="288">
        <f t="shared" si="56"/>
        <v>2.52</v>
      </c>
    </row>
    <row r="2005" spans="1:10" s="313" customFormat="1" ht="20.100000000000001" hidden="1" customHeight="1">
      <c r="A2005" s="295"/>
      <c r="B2005" s="299" t="s">
        <v>3737</v>
      </c>
      <c r="C2005" s="300">
        <v>1</v>
      </c>
      <c r="D2005" s="300">
        <v>2</v>
      </c>
      <c r="E2005" s="288">
        <v>1.2</v>
      </c>
      <c r="F2005" s="291"/>
      <c r="G2005" s="290">
        <v>2.1</v>
      </c>
      <c r="H2005" s="288">
        <f t="shared" si="56"/>
        <v>5.04</v>
      </c>
    </row>
    <row r="2006" spans="1:10" s="313" customFormat="1" ht="20.100000000000001" hidden="1" customHeight="1">
      <c r="A2006" s="295"/>
      <c r="B2006" s="299" t="s">
        <v>4201</v>
      </c>
      <c r="C2006" s="300">
        <v>1</v>
      </c>
      <c r="D2006" s="300">
        <v>1</v>
      </c>
      <c r="E2006" s="288">
        <v>1.2</v>
      </c>
      <c r="F2006" s="291"/>
      <c r="G2006" s="290">
        <v>2.1</v>
      </c>
      <c r="H2006" s="288">
        <f t="shared" si="56"/>
        <v>2.52</v>
      </c>
      <c r="J2006" s="313">
        <f>3.12/3</f>
        <v>1.04</v>
      </c>
    </row>
    <row r="2007" spans="1:10" s="313" customFormat="1" ht="20.100000000000001" hidden="1" customHeight="1">
      <c r="A2007" s="295"/>
      <c r="B2007" s="299" t="s">
        <v>3369</v>
      </c>
      <c r="C2007" s="300">
        <v>1</v>
      </c>
      <c r="D2007" s="300">
        <v>3</v>
      </c>
      <c r="E2007" s="288">
        <v>1.2</v>
      </c>
      <c r="F2007" s="291"/>
      <c r="G2007" s="290">
        <v>2.1</v>
      </c>
      <c r="H2007" s="288">
        <f t="shared" si="56"/>
        <v>7.56</v>
      </c>
    </row>
    <row r="2008" spans="1:10" s="313" customFormat="1" ht="20.100000000000001" hidden="1" customHeight="1">
      <c r="A2008" s="295"/>
      <c r="B2008" s="299" t="s">
        <v>4202</v>
      </c>
      <c r="C2008" s="300">
        <v>1</v>
      </c>
      <c r="D2008" s="300">
        <v>3</v>
      </c>
      <c r="E2008" s="288">
        <v>1.2</v>
      </c>
      <c r="F2008" s="291"/>
      <c r="G2008" s="290">
        <v>2.1</v>
      </c>
      <c r="H2008" s="288">
        <f t="shared" si="56"/>
        <v>7.56</v>
      </c>
    </row>
    <row r="2009" spans="1:10" s="297" customFormat="1" ht="20.100000000000001" hidden="1" customHeight="1">
      <c r="A2009" s="295"/>
      <c r="B2009" s="299"/>
      <c r="C2009" s="300"/>
      <c r="D2009" s="300"/>
      <c r="E2009" s="307"/>
      <c r="F2009" s="290"/>
      <c r="G2009" s="287"/>
      <c r="H2009" s="288">
        <f>J2010-I2010</f>
        <v>0.06</v>
      </c>
    </row>
    <row r="2010" spans="1:10" s="297" customFormat="1" ht="20.100000000000001" hidden="1" customHeight="1">
      <c r="A2010" s="295"/>
      <c r="B2010" s="299"/>
      <c r="C2010" s="300"/>
      <c r="D2010" s="300"/>
      <c r="E2010" s="307"/>
      <c r="F2010" s="290"/>
      <c r="G2010" s="287" t="s">
        <v>1827</v>
      </c>
      <c r="H2010" s="288">
        <f>J2010</f>
        <v>55.5</v>
      </c>
      <c r="I2010" s="297">
        <f>SUM(H1998:H2008)</f>
        <v>55.44</v>
      </c>
      <c r="J2010" s="297">
        <f>ROUNDUP(I2010,1)</f>
        <v>55.5</v>
      </c>
    </row>
    <row r="2011" spans="1:10" s="199" customFormat="1" ht="20.100000000000001" hidden="1" customHeight="1">
      <c r="A2011" s="182"/>
      <c r="B2011" s="216"/>
      <c r="C2011" s="220"/>
      <c r="D2011" s="220"/>
      <c r="E2011" s="252"/>
      <c r="F2011" s="197" t="s">
        <v>2560</v>
      </c>
      <c r="G2011" s="357"/>
      <c r="H2011" s="248" t="s">
        <v>1861</v>
      </c>
    </row>
    <row r="2012" spans="1:10" s="228" customFormat="1" ht="19.899999999999999" customHeight="1">
      <c r="A2012" s="187">
        <v>58.4</v>
      </c>
      <c r="B2012" s="989" t="s">
        <v>4203</v>
      </c>
      <c r="C2012" s="990"/>
      <c r="D2012" s="990"/>
      <c r="E2012" s="990"/>
      <c r="F2012" s="990"/>
      <c r="G2012" s="991"/>
      <c r="H2012" s="205"/>
    </row>
    <row r="2013" spans="1:10" s="186" customFormat="1" ht="19.899999999999999" customHeight="1">
      <c r="A2013" s="187"/>
      <c r="B2013" s="192" t="s">
        <v>4204</v>
      </c>
      <c r="C2013" s="190">
        <v>1</v>
      </c>
      <c r="D2013" s="190">
        <v>1</v>
      </c>
      <c r="E2013" s="205">
        <v>1.5</v>
      </c>
      <c r="F2013" s="187"/>
      <c r="G2013" s="213"/>
      <c r="H2013" s="205">
        <f>ROUND(PRODUCT(C2013:G2013),2)</f>
        <v>1.5</v>
      </c>
    </row>
    <row r="2014" spans="1:10" s="186" customFormat="1" ht="19.899999999999999" customHeight="1">
      <c r="A2014" s="187"/>
      <c r="B2014" s="192" t="s">
        <v>4205</v>
      </c>
      <c r="C2014" s="190">
        <v>1</v>
      </c>
      <c r="D2014" s="190">
        <v>2</v>
      </c>
      <c r="E2014" s="205">
        <v>1.5</v>
      </c>
      <c r="F2014" s="187"/>
      <c r="G2014" s="213"/>
      <c r="H2014" s="205">
        <f>ROUND(PRODUCT(C2014:G2014),2)</f>
        <v>3</v>
      </c>
    </row>
    <row r="2015" spans="1:10" s="186" customFormat="1" ht="33" customHeight="1">
      <c r="A2015" s="187"/>
      <c r="B2015" s="192" t="s">
        <v>4206</v>
      </c>
      <c r="C2015" s="190">
        <v>1</v>
      </c>
      <c r="D2015" s="190">
        <v>4</v>
      </c>
      <c r="E2015" s="205">
        <v>1.5</v>
      </c>
      <c r="F2015" s="187"/>
      <c r="G2015" s="213"/>
      <c r="H2015" s="205">
        <f>ROUND(PRODUCT(C2015:G2015),2)</f>
        <v>6</v>
      </c>
    </row>
    <row r="2016" spans="1:10" s="186" customFormat="1" ht="19.899999999999999" customHeight="1">
      <c r="A2016" s="187"/>
      <c r="B2016" s="192" t="s">
        <v>4207</v>
      </c>
      <c r="C2016" s="190">
        <v>1</v>
      </c>
      <c r="D2016" s="190">
        <v>10</v>
      </c>
      <c r="E2016" s="205">
        <v>1.5</v>
      </c>
      <c r="F2016" s="187"/>
      <c r="G2016" s="213"/>
      <c r="H2016" s="253">
        <f>PRODUCT(C2016:G2016)</f>
        <v>15</v>
      </c>
    </row>
    <row r="2017" spans="1:8" s="228" customFormat="1" ht="19.899999999999999" customHeight="1">
      <c r="A2017" s="187"/>
      <c r="B2017" s="192"/>
      <c r="C2017" s="190"/>
      <c r="D2017" s="190"/>
      <c r="E2017" s="250"/>
      <c r="F2017" s="187"/>
      <c r="G2017" s="213" t="s">
        <v>1827</v>
      </c>
      <c r="H2017" s="205">
        <f>SUM(H2013:H2016)</f>
        <v>25.5</v>
      </c>
    </row>
    <row r="2018" spans="1:8" s="228" customFormat="1" ht="19.899999999999999" customHeight="1">
      <c r="A2018" s="187"/>
      <c r="B2018" s="192"/>
      <c r="C2018" s="190"/>
      <c r="D2018" s="190"/>
      <c r="E2018" s="250"/>
      <c r="F2018" s="195" t="s">
        <v>2560</v>
      </c>
      <c r="G2018" s="357">
        <f>ROUNDUP(H2017,0)</f>
        <v>26</v>
      </c>
      <c r="H2018" s="248" t="s">
        <v>669</v>
      </c>
    </row>
    <row r="2019" spans="1:8" ht="19.899999999999999" customHeight="1">
      <c r="A2019" s="214">
        <v>448.1</v>
      </c>
      <c r="B2019" s="992" t="s">
        <v>2585</v>
      </c>
      <c r="C2019" s="993"/>
      <c r="D2019" s="993"/>
      <c r="E2019" s="993"/>
      <c r="F2019" s="993"/>
      <c r="G2019" s="994"/>
      <c r="H2019" s="205"/>
    </row>
    <row r="2020" spans="1:8" s="186" customFormat="1" ht="19.899999999999999" customHeight="1">
      <c r="A2020" s="187"/>
      <c r="B2020" s="192" t="s">
        <v>4008</v>
      </c>
      <c r="C2020" s="190">
        <v>1</v>
      </c>
      <c r="D2020" s="190">
        <v>1</v>
      </c>
      <c r="E2020" s="250"/>
      <c r="F2020" s="187"/>
      <c r="G2020" s="213"/>
      <c r="H2020" s="205">
        <f>ROUND(PRODUCT(C2020:G2020),2)</f>
        <v>1</v>
      </c>
    </row>
    <row r="2021" spans="1:8" s="186" customFormat="1" ht="19.899999999999999" customHeight="1">
      <c r="A2021" s="187"/>
      <c r="B2021" s="192" t="s">
        <v>4205</v>
      </c>
      <c r="C2021" s="190">
        <v>1</v>
      </c>
      <c r="D2021" s="190">
        <v>2</v>
      </c>
      <c r="E2021" s="250"/>
      <c r="F2021" s="187"/>
      <c r="G2021" s="213"/>
      <c r="H2021" s="205">
        <f>ROUND(PRODUCT(C2021:G2021),2)</f>
        <v>2</v>
      </c>
    </row>
    <row r="2022" spans="1:8" s="186" customFormat="1" ht="33" customHeight="1">
      <c r="A2022" s="187"/>
      <c r="B2022" s="192" t="s">
        <v>4208</v>
      </c>
      <c r="C2022" s="190">
        <v>1</v>
      </c>
      <c r="D2022" s="190">
        <v>4</v>
      </c>
      <c r="E2022" s="250"/>
      <c r="F2022" s="187"/>
      <c r="G2022" s="213"/>
      <c r="H2022" s="205">
        <f>ROUND(PRODUCT(C2022:G2022),2)</f>
        <v>4</v>
      </c>
    </row>
    <row r="2023" spans="1:8" s="228" customFormat="1" ht="19.899999999999999" customHeight="1">
      <c r="A2023" s="187"/>
      <c r="B2023" s="192"/>
      <c r="C2023" s="190"/>
      <c r="D2023" s="190"/>
      <c r="E2023" s="250"/>
      <c r="F2023" s="187"/>
      <c r="G2023" s="213" t="s">
        <v>1827</v>
      </c>
      <c r="H2023" s="205">
        <f>SUM(H2020:H2022)</f>
        <v>7</v>
      </c>
    </row>
    <row r="2024" spans="1:8" s="228" customFormat="1" ht="19.899999999999999" customHeight="1">
      <c r="A2024" s="187"/>
      <c r="B2024" s="192"/>
      <c r="C2024" s="190"/>
      <c r="D2024" s="190"/>
      <c r="E2024" s="250"/>
      <c r="F2024" s="195" t="s">
        <v>2560</v>
      </c>
      <c r="G2024" s="197">
        <f>ROUNDUP(H2023,1)</f>
        <v>7</v>
      </c>
      <c r="H2024" s="248" t="s">
        <v>1166</v>
      </c>
    </row>
    <row r="2025" spans="1:8" ht="34.9" hidden="1" customHeight="1">
      <c r="A2025" s="187" t="s">
        <v>4209</v>
      </c>
      <c r="B2025" s="1007" t="s">
        <v>2129</v>
      </c>
      <c r="C2025" s="1008"/>
      <c r="D2025" s="1008"/>
      <c r="E2025" s="1008"/>
      <c r="F2025" s="1008"/>
      <c r="G2025" s="1009"/>
      <c r="H2025" s="205"/>
    </row>
    <row r="2026" spans="1:8" ht="20.100000000000001" hidden="1" customHeight="1">
      <c r="A2026" s="187"/>
      <c r="B2026" s="192" t="s">
        <v>4210</v>
      </c>
      <c r="C2026" s="190">
        <v>1</v>
      </c>
      <c r="D2026" s="190">
        <v>2</v>
      </c>
      <c r="E2026" s="205">
        <v>14</v>
      </c>
      <c r="F2026" s="187"/>
      <c r="G2026" s="213"/>
      <c r="H2026" s="205">
        <f>ROUND(PRODUCT(C2026:G2026),2)</f>
        <v>28</v>
      </c>
    </row>
    <row r="2027" spans="1:8" ht="20.100000000000001" hidden="1" customHeight="1">
      <c r="A2027" s="187"/>
      <c r="B2027" s="192" t="s">
        <v>4211</v>
      </c>
      <c r="C2027" s="190">
        <v>1</v>
      </c>
      <c r="D2027" s="190">
        <v>3</v>
      </c>
      <c r="E2027" s="205">
        <v>10</v>
      </c>
      <c r="F2027" s="187"/>
      <c r="G2027" s="213"/>
      <c r="H2027" s="205">
        <f>ROUND(PRODUCT(C2027:G2027),2)</f>
        <v>30</v>
      </c>
    </row>
    <row r="2028" spans="1:8" ht="20.100000000000001" hidden="1" customHeight="1">
      <c r="A2028" s="187"/>
      <c r="B2028" s="192"/>
      <c r="C2028" s="190"/>
      <c r="D2028" s="190"/>
      <c r="E2028" s="250"/>
      <c r="F2028" s="187"/>
      <c r="G2028" s="213" t="s">
        <v>1827</v>
      </c>
      <c r="H2028" s="205">
        <f>SUM(H2026:H2027)</f>
        <v>58</v>
      </c>
    </row>
    <row r="2029" spans="1:8" s="316" customFormat="1" ht="20.100000000000001" hidden="1" customHeight="1">
      <c r="A2029" s="195"/>
      <c r="B2029" s="189"/>
      <c r="C2029" s="196"/>
      <c r="D2029" s="196"/>
      <c r="E2029" s="358"/>
      <c r="F2029" s="195" t="s">
        <v>2560</v>
      </c>
      <c r="G2029" s="197"/>
      <c r="H2029" s="248" t="s">
        <v>2155</v>
      </c>
    </row>
    <row r="2030" spans="1:8" ht="34.9" customHeight="1">
      <c r="A2030" s="244">
        <v>21.6</v>
      </c>
      <c r="B2030" s="992" t="s">
        <v>4212</v>
      </c>
      <c r="C2030" s="993"/>
      <c r="D2030" s="993"/>
      <c r="E2030" s="993"/>
      <c r="F2030" s="993"/>
      <c r="G2030" s="994"/>
      <c r="H2030" s="205"/>
    </row>
    <row r="2031" spans="1:8" ht="23.25" customHeight="1">
      <c r="A2031" s="244"/>
      <c r="B2031" s="216" t="s">
        <v>4213</v>
      </c>
      <c r="C2031" s="218"/>
      <c r="D2031" s="218"/>
      <c r="E2031" s="253"/>
      <c r="F2031" s="244"/>
      <c r="G2031" s="261"/>
      <c r="H2031" s="205"/>
    </row>
    <row r="2032" spans="1:8" ht="20.100000000000001" customHeight="1">
      <c r="A2032" s="244"/>
      <c r="B2032" s="218" t="s">
        <v>3483</v>
      </c>
      <c r="C2032" s="219"/>
      <c r="D2032" s="219"/>
      <c r="E2032" s="205"/>
      <c r="F2032" s="194"/>
      <c r="G2032" s="213"/>
      <c r="H2032" s="205"/>
    </row>
    <row r="2033" spans="1:10" ht="20.100000000000001" customHeight="1">
      <c r="A2033" s="244"/>
      <c r="B2033" s="218" t="s">
        <v>3771</v>
      </c>
      <c r="C2033" s="219">
        <v>1</v>
      </c>
      <c r="D2033" s="219">
        <v>2</v>
      </c>
      <c r="E2033" s="205"/>
      <c r="F2033" s="194"/>
      <c r="G2033" s="213"/>
      <c r="H2033" s="205">
        <f>ROUND(PRODUCT(C2033:G2033),2)</f>
        <v>2</v>
      </c>
    </row>
    <row r="2034" spans="1:10" ht="20.100000000000001" customHeight="1">
      <c r="A2034" s="244"/>
      <c r="B2034" s="218" t="s">
        <v>3772</v>
      </c>
      <c r="C2034" s="219">
        <v>1</v>
      </c>
      <c r="D2034" s="219">
        <v>5</v>
      </c>
      <c r="E2034" s="205"/>
      <c r="F2034" s="194"/>
      <c r="G2034" s="213"/>
      <c r="H2034" s="205">
        <f>ROUND(PRODUCT(C2034:G2034),2)</f>
        <v>5</v>
      </c>
    </row>
    <row r="2035" spans="1:10" ht="20.100000000000001" customHeight="1">
      <c r="A2035" s="244"/>
      <c r="B2035" s="218" t="s">
        <v>3773</v>
      </c>
      <c r="C2035" s="219">
        <v>1</v>
      </c>
      <c r="D2035" s="219">
        <v>6</v>
      </c>
      <c r="E2035" s="205"/>
      <c r="F2035" s="194"/>
      <c r="G2035" s="213"/>
      <c r="H2035" s="205">
        <f>ROUND(PRODUCT(C2035:G2035),2)</f>
        <v>6</v>
      </c>
    </row>
    <row r="2036" spans="1:10" ht="20.100000000000001" customHeight="1">
      <c r="A2036" s="244"/>
      <c r="B2036" s="218" t="s">
        <v>3774</v>
      </c>
      <c r="C2036" s="219">
        <v>1</v>
      </c>
      <c r="D2036" s="219">
        <v>1</v>
      </c>
      <c r="E2036" s="205"/>
      <c r="F2036" s="194"/>
      <c r="G2036" s="213"/>
      <c r="H2036" s="205">
        <f>ROUND(PRODUCT(C2036:G2036),2)</f>
        <v>1</v>
      </c>
    </row>
    <row r="2037" spans="1:10" s="186" customFormat="1" ht="20.100000000000001" customHeight="1">
      <c r="A2037" s="244"/>
      <c r="B2037" s="218"/>
      <c r="C2037" s="219"/>
      <c r="D2037" s="219"/>
      <c r="E2037" s="204"/>
      <c r="F2037" s="193"/>
      <c r="G2037" s="213" t="s">
        <v>1827</v>
      </c>
      <c r="H2037" s="205">
        <f>J2037</f>
        <v>14</v>
      </c>
      <c r="I2037" s="186">
        <f>SUM(H2033:H2036)</f>
        <v>14</v>
      </c>
      <c r="J2037" s="186">
        <f>ROUNDUP(I2037,1)</f>
        <v>14</v>
      </c>
    </row>
    <row r="2038" spans="1:10" s="199" customFormat="1" ht="20.100000000000001" customHeight="1">
      <c r="A2038" s="182"/>
      <c r="B2038" s="216"/>
      <c r="C2038" s="220"/>
      <c r="D2038" s="220"/>
      <c r="E2038" s="252"/>
      <c r="F2038" s="197" t="s">
        <v>2560</v>
      </c>
      <c r="G2038" s="197">
        <f>H2037</f>
        <v>14</v>
      </c>
      <c r="H2038" s="248" t="s">
        <v>838</v>
      </c>
    </row>
    <row r="2039" spans="1:10" ht="19.899999999999999" customHeight="1">
      <c r="A2039" s="244">
        <v>25</v>
      </c>
      <c r="B2039" s="992" t="s">
        <v>145</v>
      </c>
      <c r="C2039" s="993"/>
      <c r="D2039" s="993"/>
      <c r="E2039" s="993"/>
      <c r="F2039" s="993"/>
      <c r="G2039" s="994"/>
      <c r="H2039" s="205"/>
    </row>
    <row r="2040" spans="1:10" ht="20.100000000000001" customHeight="1">
      <c r="A2040" s="244"/>
      <c r="B2040" s="218" t="s">
        <v>3483</v>
      </c>
      <c r="C2040" s="219">
        <v>14</v>
      </c>
      <c r="D2040" s="219">
        <v>6</v>
      </c>
      <c r="E2040" s="205"/>
      <c r="F2040" s="194"/>
      <c r="G2040" s="213"/>
      <c r="H2040" s="205">
        <f>ROUND(PRODUCT(C2040:G2040),2)</f>
        <v>84</v>
      </c>
    </row>
    <row r="2041" spans="1:10" ht="20.100000000000001" customHeight="1">
      <c r="A2041" s="244"/>
      <c r="B2041" s="218" t="s">
        <v>3609</v>
      </c>
      <c r="C2041" s="219">
        <v>1</v>
      </c>
      <c r="D2041" s="219">
        <v>6</v>
      </c>
      <c r="E2041" s="205"/>
      <c r="F2041" s="194"/>
      <c r="G2041" s="213"/>
      <c r="H2041" s="205">
        <f>ROUND(PRODUCT(C2041:G2041),2)</f>
        <v>6</v>
      </c>
    </row>
    <row r="2042" spans="1:10" ht="20.100000000000001" customHeight="1">
      <c r="A2042" s="244"/>
      <c r="B2042" s="218" t="s">
        <v>3893</v>
      </c>
      <c r="C2042" s="219">
        <v>1</v>
      </c>
      <c r="D2042" s="219">
        <v>6</v>
      </c>
      <c r="E2042" s="205"/>
      <c r="F2042" s="194"/>
      <c r="G2042" s="213"/>
      <c r="H2042" s="205">
        <f>ROUND(PRODUCT(C2042:G2042),2)</f>
        <v>6</v>
      </c>
    </row>
    <row r="2043" spans="1:10" s="186" customFormat="1" ht="20.100000000000001" customHeight="1">
      <c r="A2043" s="244"/>
      <c r="B2043" s="218"/>
      <c r="C2043" s="219"/>
      <c r="D2043" s="219"/>
      <c r="E2043" s="204"/>
      <c r="F2043" s="193"/>
      <c r="G2043" s="213" t="s">
        <v>1827</v>
      </c>
      <c r="H2043" s="205">
        <f>J2043</f>
        <v>96</v>
      </c>
      <c r="I2043" s="186">
        <f>SUM(H2040:H2042)</f>
        <v>96</v>
      </c>
      <c r="J2043" s="186">
        <f>ROUNDUP(I2043,1)</f>
        <v>96</v>
      </c>
    </row>
    <row r="2044" spans="1:10" s="199" customFormat="1" ht="20.100000000000001" customHeight="1">
      <c r="A2044" s="182"/>
      <c r="B2044" s="216"/>
      <c r="C2044" s="220"/>
      <c r="D2044" s="220"/>
      <c r="E2044" s="252"/>
      <c r="F2044" s="197" t="s">
        <v>2560</v>
      </c>
      <c r="G2044" s="197">
        <f>H2043</f>
        <v>96</v>
      </c>
      <c r="H2044" s="248" t="s">
        <v>838</v>
      </c>
    </row>
    <row r="2045" spans="1:10" s="854" customFormat="1" ht="19.899999999999999" customHeight="1">
      <c r="A2045" s="961" t="s">
        <v>4922</v>
      </c>
      <c r="B2045" s="962" t="s">
        <v>4923</v>
      </c>
      <c r="C2045" s="956"/>
      <c r="D2045" s="956"/>
      <c r="E2045" s="956"/>
      <c r="F2045" s="956"/>
      <c r="G2045" s="956"/>
      <c r="H2045" s="326"/>
    </row>
    <row r="2046" spans="1:10" s="854" customFormat="1" ht="19.899999999999999" customHeight="1">
      <c r="A2046" s="957"/>
      <c r="B2046" s="958" t="s">
        <v>3506</v>
      </c>
      <c r="C2046" s="320">
        <v>1</v>
      </c>
      <c r="D2046" s="320">
        <v>1</v>
      </c>
      <c r="E2046" s="318">
        <v>1.25</v>
      </c>
      <c r="F2046" s="318"/>
      <c r="G2046" s="318">
        <v>2.15</v>
      </c>
      <c r="H2046" s="326">
        <f>PRODUCT(C2046:G2046)</f>
        <v>2.69</v>
      </c>
    </row>
    <row r="2047" spans="1:10" s="854" customFormat="1" ht="19.899999999999999" customHeight="1">
      <c r="A2047" s="957"/>
      <c r="B2047" s="958" t="s">
        <v>4949</v>
      </c>
      <c r="C2047" s="320">
        <v>1</v>
      </c>
      <c r="D2047" s="320">
        <v>1</v>
      </c>
      <c r="E2047" s="318">
        <v>1.25</v>
      </c>
      <c r="F2047" s="318"/>
      <c r="G2047" s="318">
        <v>2.15</v>
      </c>
      <c r="H2047" s="326">
        <f t="shared" ref="H2047:H2058" si="57">PRODUCT(C2047:G2047)</f>
        <v>2.69</v>
      </c>
    </row>
    <row r="2048" spans="1:10" s="854" customFormat="1" ht="19.899999999999999" customHeight="1">
      <c r="A2048" s="957"/>
      <c r="B2048" s="958" t="s">
        <v>4064</v>
      </c>
      <c r="C2048" s="320">
        <v>1</v>
      </c>
      <c r="D2048" s="320">
        <v>2</v>
      </c>
      <c r="E2048" s="318">
        <v>1.25</v>
      </c>
      <c r="F2048" s="318"/>
      <c r="G2048" s="318">
        <v>2.15</v>
      </c>
      <c r="H2048" s="326">
        <f t="shared" si="57"/>
        <v>5.38</v>
      </c>
    </row>
    <row r="2049" spans="1:10" s="854" customFormat="1" ht="19.899999999999999" customHeight="1">
      <c r="A2049" s="957"/>
      <c r="B2049" s="958" t="s">
        <v>3940</v>
      </c>
      <c r="C2049" s="320">
        <v>1</v>
      </c>
      <c r="D2049" s="320">
        <v>1</v>
      </c>
      <c r="E2049" s="318">
        <v>1.25</v>
      </c>
      <c r="F2049" s="318"/>
      <c r="G2049" s="318">
        <v>2.15</v>
      </c>
      <c r="H2049" s="326">
        <f t="shared" si="57"/>
        <v>2.69</v>
      </c>
    </row>
    <row r="2050" spans="1:10" s="854" customFormat="1" ht="19.899999999999999" customHeight="1">
      <c r="A2050" s="957"/>
      <c r="B2050" s="958" t="s">
        <v>3344</v>
      </c>
      <c r="C2050" s="320">
        <v>1</v>
      </c>
      <c r="D2050" s="320">
        <v>2</v>
      </c>
      <c r="E2050" s="318">
        <v>1.25</v>
      </c>
      <c r="F2050" s="318"/>
      <c r="G2050" s="318">
        <v>2.15</v>
      </c>
      <c r="H2050" s="326">
        <f t="shared" si="57"/>
        <v>5.38</v>
      </c>
    </row>
    <row r="2051" spans="1:10" s="854" customFormat="1" ht="19.899999999999999" customHeight="1">
      <c r="A2051" s="957"/>
      <c r="B2051" s="958" t="s">
        <v>3946</v>
      </c>
      <c r="C2051" s="320">
        <v>1</v>
      </c>
      <c r="D2051" s="320">
        <v>2</v>
      </c>
      <c r="E2051" s="318">
        <v>1.25</v>
      </c>
      <c r="F2051" s="318"/>
      <c r="G2051" s="318">
        <v>2.15</v>
      </c>
      <c r="H2051" s="326">
        <f t="shared" si="57"/>
        <v>5.38</v>
      </c>
    </row>
    <row r="2052" spans="1:10" s="854" customFormat="1" ht="19.899999999999999" customHeight="1">
      <c r="A2052" s="957"/>
      <c r="B2052" s="958" t="s">
        <v>4945</v>
      </c>
      <c r="C2052" s="320">
        <v>1</v>
      </c>
      <c r="D2052" s="320">
        <v>1</v>
      </c>
      <c r="E2052" s="318">
        <v>1.25</v>
      </c>
      <c r="F2052" s="318"/>
      <c r="G2052" s="318">
        <v>2.15</v>
      </c>
      <c r="H2052" s="326">
        <f t="shared" si="57"/>
        <v>2.69</v>
      </c>
    </row>
    <row r="2053" spans="1:10" s="854" customFormat="1" ht="19.899999999999999" customHeight="1">
      <c r="A2053" s="957"/>
      <c r="B2053" s="958" t="s">
        <v>3852</v>
      </c>
      <c r="C2053" s="320">
        <v>1</v>
      </c>
      <c r="D2053" s="320">
        <v>1</v>
      </c>
      <c r="E2053" s="318">
        <v>1.25</v>
      </c>
      <c r="F2053" s="318"/>
      <c r="G2053" s="318">
        <v>2.15</v>
      </c>
      <c r="H2053" s="326">
        <f t="shared" si="57"/>
        <v>2.69</v>
      </c>
    </row>
    <row r="2054" spans="1:10" s="854" customFormat="1" ht="19.899999999999999" customHeight="1">
      <c r="A2054" s="957"/>
      <c r="B2054" s="958" t="s">
        <v>4924</v>
      </c>
      <c r="C2054" s="320">
        <v>1</v>
      </c>
      <c r="D2054" s="320">
        <v>1</v>
      </c>
      <c r="E2054" s="318">
        <v>1.25</v>
      </c>
      <c r="F2054" s="318"/>
      <c r="G2054" s="318">
        <v>2.15</v>
      </c>
      <c r="H2054" s="326">
        <f t="shared" si="57"/>
        <v>2.69</v>
      </c>
    </row>
    <row r="2055" spans="1:10" s="854" customFormat="1" ht="19.899999999999999" customHeight="1">
      <c r="A2055" s="957"/>
      <c r="B2055" s="958" t="s">
        <v>4948</v>
      </c>
      <c r="C2055" s="320">
        <v>1</v>
      </c>
      <c r="D2055" s="320">
        <v>1</v>
      </c>
      <c r="E2055" s="318">
        <v>1.25</v>
      </c>
      <c r="F2055" s="318"/>
      <c r="G2055" s="318">
        <v>2.15</v>
      </c>
      <c r="H2055" s="326">
        <f t="shared" si="57"/>
        <v>2.69</v>
      </c>
    </row>
    <row r="2056" spans="1:10" s="854" customFormat="1" ht="19.899999999999999" customHeight="1">
      <c r="A2056" s="957"/>
      <c r="B2056" s="958" t="s">
        <v>3946</v>
      </c>
      <c r="C2056" s="320">
        <v>1</v>
      </c>
      <c r="D2056" s="320">
        <v>1</v>
      </c>
      <c r="E2056" s="318">
        <v>1.25</v>
      </c>
      <c r="F2056" s="318"/>
      <c r="G2056" s="318">
        <v>2.15</v>
      </c>
      <c r="H2056" s="326">
        <f t="shared" ref="H2056" si="58">PRODUCT(C2056:G2056)</f>
        <v>2.69</v>
      </c>
    </row>
    <row r="2057" spans="1:10" s="854" customFormat="1" ht="19.899999999999999" customHeight="1">
      <c r="A2057" s="957"/>
      <c r="B2057" s="958" t="s">
        <v>4946</v>
      </c>
      <c r="C2057" s="320">
        <v>1</v>
      </c>
      <c r="D2057" s="320">
        <v>2</v>
      </c>
      <c r="E2057" s="318">
        <v>1.25</v>
      </c>
      <c r="F2057" s="318"/>
      <c r="G2057" s="318">
        <v>2.15</v>
      </c>
      <c r="H2057" s="326">
        <f t="shared" si="57"/>
        <v>5.38</v>
      </c>
    </row>
    <row r="2058" spans="1:10" s="854" customFormat="1" ht="19.899999999999999" customHeight="1">
      <c r="A2058" s="957"/>
      <c r="B2058" s="958" t="s">
        <v>4947</v>
      </c>
      <c r="C2058" s="320">
        <v>1</v>
      </c>
      <c r="D2058" s="320">
        <v>2</v>
      </c>
      <c r="E2058" s="318">
        <v>1.25</v>
      </c>
      <c r="F2058" s="318"/>
      <c r="G2058" s="318">
        <v>2.15</v>
      </c>
      <c r="H2058" s="326">
        <f t="shared" si="57"/>
        <v>5.38</v>
      </c>
    </row>
    <row r="2059" spans="1:10" s="854" customFormat="1" ht="19.899999999999999" customHeight="1">
      <c r="A2059" s="957"/>
      <c r="B2059" s="958"/>
      <c r="C2059" s="320"/>
      <c r="D2059" s="320"/>
      <c r="E2059" s="318"/>
      <c r="F2059" s="318"/>
      <c r="G2059" s="318"/>
      <c r="H2059" s="326">
        <f>J2060-I2060</f>
        <v>0.08</v>
      </c>
    </row>
    <row r="2060" spans="1:10" s="854" customFormat="1" ht="19.899999999999999" customHeight="1">
      <c r="A2060" s="957"/>
      <c r="B2060" s="958"/>
      <c r="C2060" s="320"/>
      <c r="D2060" s="320"/>
      <c r="E2060" s="318"/>
      <c r="F2060" s="318"/>
      <c r="G2060" s="213" t="s">
        <v>1827</v>
      </c>
      <c r="H2060" s="205">
        <f>J2060</f>
        <v>48.5</v>
      </c>
      <c r="I2060" s="186">
        <f>SUM(H2046:H2058)</f>
        <v>48.42</v>
      </c>
      <c r="J2060" s="186">
        <f>ROUNDUP(I2060,1)</f>
        <v>48.5</v>
      </c>
    </row>
    <row r="2061" spans="1:10" s="854" customFormat="1" ht="19.899999999999999" customHeight="1">
      <c r="A2061" s="957"/>
      <c r="B2061" s="958"/>
      <c r="C2061" s="320"/>
      <c r="D2061" s="320"/>
      <c r="E2061" s="318"/>
      <c r="F2061" s="959" t="s">
        <v>2560</v>
      </c>
      <c r="G2061" s="197">
        <f>H2060</f>
        <v>48.5</v>
      </c>
      <c r="H2061" s="960" t="s">
        <v>1861</v>
      </c>
    </row>
    <row r="2062" spans="1:10" ht="19.899999999999999" customHeight="1">
      <c r="A2062" s="244"/>
      <c r="B2062" s="218"/>
      <c r="C2062" s="245"/>
      <c r="D2062" s="245"/>
      <c r="E2062" s="253"/>
      <c r="F2062" s="244"/>
      <c r="G2062" s="213"/>
      <c r="H2062" s="205"/>
    </row>
    <row r="2063" spans="1:10" s="973" customFormat="1" ht="19.899999999999999" customHeight="1">
      <c r="A2063" s="263" t="s">
        <v>1833</v>
      </c>
      <c r="B2063" s="992" t="s">
        <v>4959</v>
      </c>
      <c r="C2063" s="993"/>
      <c r="D2063" s="993"/>
      <c r="E2063" s="993"/>
      <c r="F2063" s="993"/>
      <c r="G2063" s="994"/>
      <c r="H2063" s="253"/>
    </row>
    <row r="2064" spans="1:10" s="973" customFormat="1" ht="19.899999999999999" customHeight="1">
      <c r="A2064" s="244"/>
      <c r="B2064" s="218" t="s">
        <v>4960</v>
      </c>
      <c r="C2064" s="219">
        <v>1</v>
      </c>
      <c r="D2064" s="219">
        <v>1</v>
      </c>
      <c r="E2064" s="253">
        <v>2.1</v>
      </c>
      <c r="F2064" s="244">
        <v>3.83</v>
      </c>
      <c r="G2064" s="213"/>
      <c r="H2064" s="205">
        <f>ROUND(PRODUCT(C2064:G2064),2)</f>
        <v>8.0399999999999991</v>
      </c>
    </row>
    <row r="2065" spans="1:9" s="973" customFormat="1" ht="19.899999999999999" customHeight="1">
      <c r="A2065" s="244"/>
      <c r="B2065" s="218" t="s">
        <v>4963</v>
      </c>
      <c r="C2065" s="219">
        <v>1</v>
      </c>
      <c r="D2065" s="219">
        <v>1</v>
      </c>
      <c r="E2065" s="253">
        <v>11.86</v>
      </c>
      <c r="F2065" s="244"/>
      <c r="G2065" s="213">
        <v>0.1</v>
      </c>
      <c r="H2065" s="205">
        <f t="shared" ref="H2065:H2071" si="59">ROUND(PRODUCT(C2065:G2065),2)</f>
        <v>1.19</v>
      </c>
    </row>
    <row r="2066" spans="1:9" s="973" customFormat="1" ht="19.899999999999999" customHeight="1">
      <c r="A2066" s="244"/>
      <c r="B2066" s="216" t="s">
        <v>3772</v>
      </c>
      <c r="C2066" s="219"/>
      <c r="D2066" s="219"/>
      <c r="E2066" s="253"/>
      <c r="F2066" s="244"/>
      <c r="G2066" s="213"/>
      <c r="H2066" s="205">
        <f t="shared" si="59"/>
        <v>0</v>
      </c>
    </row>
    <row r="2067" spans="1:9" s="973" customFormat="1" ht="19.899999999999999" customHeight="1">
      <c r="A2067" s="244"/>
      <c r="B2067" s="218" t="s">
        <v>4059</v>
      </c>
      <c r="C2067" s="219">
        <v>1</v>
      </c>
      <c r="D2067" s="219">
        <v>1</v>
      </c>
      <c r="E2067" s="253">
        <v>11.72</v>
      </c>
      <c r="F2067" s="244">
        <v>2.1</v>
      </c>
      <c r="G2067" s="213"/>
      <c r="H2067" s="205">
        <f t="shared" si="59"/>
        <v>24.61</v>
      </c>
    </row>
    <row r="2068" spans="1:9" s="973" customFormat="1" ht="19.899999999999999" customHeight="1">
      <c r="A2068" s="244"/>
      <c r="B2068" s="218" t="s">
        <v>4963</v>
      </c>
      <c r="C2068" s="219">
        <v>1</v>
      </c>
      <c r="D2068" s="219">
        <v>1</v>
      </c>
      <c r="E2068" s="253">
        <v>27.64</v>
      </c>
      <c r="F2068" s="244"/>
      <c r="G2068" s="213">
        <v>0.1</v>
      </c>
      <c r="H2068" s="205">
        <f t="shared" si="59"/>
        <v>2.76</v>
      </c>
    </row>
    <row r="2069" spans="1:9" s="973" customFormat="1" ht="19.899999999999999" customHeight="1">
      <c r="A2069" s="244"/>
      <c r="B2069" s="218" t="s">
        <v>4961</v>
      </c>
      <c r="C2069" s="219">
        <v>1</v>
      </c>
      <c r="D2069" s="219">
        <v>1</v>
      </c>
      <c r="E2069" s="253">
        <v>4.8</v>
      </c>
      <c r="F2069" s="244">
        <v>3</v>
      </c>
      <c r="G2069" s="213"/>
      <c r="H2069" s="205">
        <f t="shared" si="59"/>
        <v>14.4</v>
      </c>
    </row>
    <row r="2070" spans="1:9" s="973" customFormat="1" ht="19.899999999999999" customHeight="1">
      <c r="A2070" s="244"/>
      <c r="B2070" s="218" t="s">
        <v>4962</v>
      </c>
      <c r="C2070" s="219">
        <v>1</v>
      </c>
      <c r="D2070" s="219">
        <v>1</v>
      </c>
      <c r="E2070" s="253">
        <v>9.8800000000000008</v>
      </c>
      <c r="F2070" s="244">
        <v>2.1</v>
      </c>
      <c r="G2070" s="213"/>
      <c r="H2070" s="205">
        <f t="shared" si="59"/>
        <v>20.75</v>
      </c>
    </row>
    <row r="2071" spans="1:9" s="973" customFormat="1" ht="19.899999999999999" customHeight="1">
      <c r="A2071" s="244"/>
      <c r="B2071" s="218" t="s">
        <v>4963</v>
      </c>
      <c r="C2071" s="219">
        <v>1</v>
      </c>
      <c r="D2071" s="219">
        <v>1</v>
      </c>
      <c r="E2071" s="253">
        <v>35.44</v>
      </c>
      <c r="F2071" s="244"/>
      <c r="G2071" s="213">
        <v>0.1</v>
      </c>
      <c r="H2071" s="205">
        <f t="shared" si="59"/>
        <v>3.54</v>
      </c>
    </row>
    <row r="2072" spans="1:9" s="186" customFormat="1" ht="19.899999999999999" customHeight="1">
      <c r="A2072" s="244"/>
      <c r="B2072" s="218"/>
      <c r="C2072" s="219"/>
      <c r="D2072" s="219"/>
      <c r="E2072" s="253"/>
      <c r="F2072" s="244"/>
      <c r="G2072" s="213"/>
      <c r="H2072" s="253">
        <f>I2073-I2072</f>
        <v>0.05</v>
      </c>
      <c r="I2072" s="186">
        <f>SUM(H2064:H2070)</f>
        <v>71.75</v>
      </c>
    </row>
    <row r="2073" spans="1:9" s="186" customFormat="1" ht="19.899999999999999" customHeight="1">
      <c r="A2073" s="244"/>
      <c r="B2073" s="218"/>
      <c r="C2073" s="219"/>
      <c r="D2073" s="219"/>
      <c r="E2073" s="253"/>
      <c r="F2073" s="244"/>
      <c r="G2073" s="213" t="s">
        <v>1827</v>
      </c>
      <c r="H2073" s="253">
        <f>+I2073</f>
        <v>71.8</v>
      </c>
      <c r="I2073" s="186">
        <f>ROUNDUP(I2072,1)</f>
        <v>71.8</v>
      </c>
    </row>
    <row r="2074" spans="1:9" s="199" customFormat="1" ht="19.899999999999999" customHeight="1">
      <c r="A2074" s="182"/>
      <c r="B2074" s="216"/>
      <c r="C2074" s="220"/>
      <c r="D2074" s="220"/>
      <c r="E2074" s="262"/>
      <c r="F2074" s="182" t="s">
        <v>2560</v>
      </c>
      <c r="G2074" s="197">
        <f>H2073</f>
        <v>71.8</v>
      </c>
      <c r="H2074" s="262" t="s">
        <v>1861</v>
      </c>
      <c r="I2074" s="199">
        <v>161</v>
      </c>
    </row>
    <row r="2075" spans="1:9" s="973" customFormat="1" ht="20.100000000000001" customHeight="1">
      <c r="A2075" s="244" t="s">
        <v>1833</v>
      </c>
      <c r="B2075" s="992" t="s">
        <v>4964</v>
      </c>
      <c r="C2075" s="993"/>
      <c r="D2075" s="993"/>
      <c r="E2075" s="993"/>
      <c r="F2075" s="993"/>
      <c r="G2075" s="994"/>
      <c r="H2075" s="205"/>
    </row>
    <row r="2076" spans="1:9" s="973" customFormat="1" ht="20.100000000000001" customHeight="1">
      <c r="A2076" s="244"/>
      <c r="B2076" s="218" t="s">
        <v>3959</v>
      </c>
      <c r="C2076" s="219"/>
      <c r="D2076" s="219"/>
      <c r="E2076" s="205"/>
      <c r="F2076" s="194"/>
      <c r="G2076" s="213"/>
      <c r="H2076" s="205">
        <f>G1174</f>
        <v>1430.9</v>
      </c>
    </row>
    <row r="2077" spans="1:9" s="316" customFormat="1" ht="20.100000000000001" customHeight="1">
      <c r="A2077" s="182"/>
      <c r="B2077" s="216"/>
      <c r="C2077" s="220"/>
      <c r="D2077" s="220"/>
      <c r="E2077" s="248"/>
      <c r="F2077" s="182" t="s">
        <v>2560</v>
      </c>
      <c r="G2077" s="197">
        <f>H2076</f>
        <v>1430.9</v>
      </c>
      <c r="H2077" s="262" t="s">
        <v>1861</v>
      </c>
    </row>
    <row r="2078" spans="1:9" s="313" customFormat="1" ht="20.100000000000001" customHeight="1">
      <c r="A2078" s="244">
        <v>24</v>
      </c>
      <c r="B2078" s="992" t="s">
        <v>4969</v>
      </c>
      <c r="C2078" s="993"/>
      <c r="D2078" s="993"/>
      <c r="E2078" s="993"/>
      <c r="F2078" s="993"/>
      <c r="G2078" s="994"/>
      <c r="H2078" s="205"/>
    </row>
    <row r="2079" spans="1:9" s="289" customFormat="1" ht="20.100000000000001" customHeight="1">
      <c r="A2079" s="187"/>
      <c r="B2079" s="189" t="s">
        <v>3971</v>
      </c>
      <c r="C2079" s="190"/>
      <c r="D2079" s="190"/>
      <c r="E2079" s="250"/>
      <c r="F2079" s="187"/>
      <c r="G2079" s="213"/>
      <c r="H2079" s="205">
        <f>PRODUCT(C2079:G2079)</f>
        <v>0</v>
      </c>
    </row>
    <row r="2080" spans="1:9" s="297" customFormat="1" ht="20.100000000000001" customHeight="1">
      <c r="A2080" s="244"/>
      <c r="B2080" s="218" t="s">
        <v>3642</v>
      </c>
      <c r="C2080" s="219">
        <v>1</v>
      </c>
      <c r="D2080" s="219">
        <v>2</v>
      </c>
      <c r="E2080" s="204">
        <v>1.35</v>
      </c>
      <c r="F2080" s="193"/>
      <c r="G2080" s="193">
        <v>1.35</v>
      </c>
      <c r="H2080" s="205">
        <f t="shared" ref="H2080:H2098" si="60">ROUND(PRODUCT(C2080:G2080),2)</f>
        <v>3.65</v>
      </c>
      <c r="I2080" s="308" t="e">
        <f>SUM(#REF!)</f>
        <v>#REF!</v>
      </c>
    </row>
    <row r="2081" spans="1:9" s="297" customFormat="1" ht="20.100000000000001" customHeight="1">
      <c r="A2081" s="244"/>
      <c r="B2081" s="218" t="s">
        <v>3606</v>
      </c>
      <c r="C2081" s="219">
        <v>1</v>
      </c>
      <c r="D2081" s="219">
        <v>1</v>
      </c>
      <c r="E2081" s="204">
        <v>1.8</v>
      </c>
      <c r="F2081" s="193"/>
      <c r="G2081" s="193">
        <v>1.35</v>
      </c>
      <c r="H2081" s="205">
        <f t="shared" si="60"/>
        <v>2.4300000000000002</v>
      </c>
      <c r="I2081" s="308"/>
    </row>
    <row r="2082" spans="1:9" s="297" customFormat="1" ht="20.100000000000001" customHeight="1">
      <c r="A2082" s="244"/>
      <c r="B2082" s="218" t="s">
        <v>3605</v>
      </c>
      <c r="C2082" s="219">
        <v>1</v>
      </c>
      <c r="D2082" s="219">
        <v>2</v>
      </c>
      <c r="E2082" s="204">
        <v>1.5</v>
      </c>
      <c r="F2082" s="193"/>
      <c r="G2082" s="193">
        <v>1.35</v>
      </c>
      <c r="H2082" s="205">
        <f t="shared" si="60"/>
        <v>4.05</v>
      </c>
      <c r="I2082" s="308"/>
    </row>
    <row r="2083" spans="1:9" s="297" customFormat="1" ht="20.100000000000001" customHeight="1">
      <c r="A2083" s="244"/>
      <c r="B2083" s="218" t="s">
        <v>3607</v>
      </c>
      <c r="C2083" s="219">
        <v>1</v>
      </c>
      <c r="D2083" s="219">
        <v>1</v>
      </c>
      <c r="E2083" s="204">
        <v>1.05</v>
      </c>
      <c r="F2083" s="193"/>
      <c r="G2083" s="193">
        <v>1.35</v>
      </c>
      <c r="H2083" s="205">
        <f t="shared" si="60"/>
        <v>1.42</v>
      </c>
      <c r="I2083" s="308"/>
    </row>
    <row r="2084" spans="1:9" s="297" customFormat="1" ht="20.100000000000001" customHeight="1">
      <c r="A2084" s="244"/>
      <c r="B2084" s="218" t="s">
        <v>3894</v>
      </c>
      <c r="C2084" s="219">
        <v>1</v>
      </c>
      <c r="D2084" s="219">
        <v>3</v>
      </c>
      <c r="E2084" s="204">
        <v>0.9</v>
      </c>
      <c r="F2084" s="193"/>
      <c r="G2084" s="193">
        <v>0.6</v>
      </c>
      <c r="H2084" s="205">
        <f t="shared" si="60"/>
        <v>1.62</v>
      </c>
      <c r="I2084" s="308"/>
    </row>
    <row r="2085" spans="1:9" s="297" customFormat="1" ht="20.100000000000001" customHeight="1">
      <c r="A2085" s="244"/>
      <c r="B2085" s="216" t="s">
        <v>3972</v>
      </c>
      <c r="C2085" s="219"/>
      <c r="D2085" s="219"/>
      <c r="E2085" s="204"/>
      <c r="F2085" s="193"/>
      <c r="G2085" s="193"/>
      <c r="H2085" s="205">
        <f t="shared" si="60"/>
        <v>0</v>
      </c>
      <c r="I2085" s="308"/>
    </row>
    <row r="2086" spans="1:9" s="297" customFormat="1" ht="20.100000000000001" customHeight="1">
      <c r="A2086" s="244"/>
      <c r="B2086" s="218" t="s">
        <v>3606</v>
      </c>
      <c r="C2086" s="219">
        <v>1</v>
      </c>
      <c r="D2086" s="219">
        <v>2</v>
      </c>
      <c r="E2086" s="204">
        <v>1.8</v>
      </c>
      <c r="F2086" s="193"/>
      <c r="G2086" s="193">
        <v>1.35</v>
      </c>
      <c r="H2086" s="205">
        <f t="shared" si="60"/>
        <v>4.8600000000000003</v>
      </c>
      <c r="I2086" s="308">
        <f>SUM(D2078:D2082)</f>
        <v>5</v>
      </c>
    </row>
    <row r="2087" spans="1:9" s="297" customFormat="1" ht="20.100000000000001" customHeight="1">
      <c r="A2087" s="244"/>
      <c r="B2087" s="218" t="s">
        <v>3642</v>
      </c>
      <c r="C2087" s="219">
        <v>1</v>
      </c>
      <c r="D2087" s="219">
        <v>3</v>
      </c>
      <c r="E2087" s="204">
        <v>1.35</v>
      </c>
      <c r="F2087" s="193"/>
      <c r="G2087" s="193">
        <v>1.35</v>
      </c>
      <c r="H2087" s="205">
        <f t="shared" si="60"/>
        <v>5.47</v>
      </c>
      <c r="I2087" s="308"/>
    </row>
    <row r="2088" spans="1:9" s="297" customFormat="1" ht="20.100000000000001" customHeight="1">
      <c r="A2088" s="244"/>
      <c r="B2088" s="218" t="s">
        <v>3605</v>
      </c>
      <c r="C2088" s="219">
        <v>1</v>
      </c>
      <c r="D2088" s="219">
        <v>4</v>
      </c>
      <c r="E2088" s="204">
        <v>1.5</v>
      </c>
      <c r="F2088" s="193"/>
      <c r="G2088" s="193">
        <v>1.35</v>
      </c>
      <c r="H2088" s="205">
        <f t="shared" si="60"/>
        <v>8.1</v>
      </c>
      <c r="I2088" s="308"/>
    </row>
    <row r="2089" spans="1:9" s="297" customFormat="1" ht="20.100000000000001" customHeight="1">
      <c r="A2089" s="244"/>
      <c r="B2089" s="218" t="s">
        <v>3632</v>
      </c>
      <c r="C2089" s="219">
        <v>1</v>
      </c>
      <c r="D2089" s="219">
        <v>1</v>
      </c>
      <c r="E2089" s="204">
        <v>1.8</v>
      </c>
      <c r="F2089" s="193"/>
      <c r="G2089" s="193">
        <v>1.35</v>
      </c>
      <c r="H2089" s="205">
        <f t="shared" si="60"/>
        <v>2.4300000000000002</v>
      </c>
      <c r="I2089" s="308"/>
    </row>
    <row r="2090" spans="1:9" s="297" customFormat="1" ht="20.100000000000001" customHeight="1">
      <c r="A2090" s="244"/>
      <c r="B2090" s="218" t="s">
        <v>3897</v>
      </c>
      <c r="C2090" s="219">
        <v>1</v>
      </c>
      <c r="D2090" s="219">
        <v>2</v>
      </c>
      <c r="E2090" s="204">
        <v>0.75</v>
      </c>
      <c r="F2090" s="193"/>
      <c r="G2090" s="193">
        <v>0.6</v>
      </c>
      <c r="H2090" s="205">
        <f t="shared" si="60"/>
        <v>0.9</v>
      </c>
      <c r="I2090" s="308"/>
    </row>
    <row r="2091" spans="1:9" s="297" customFormat="1" ht="20.100000000000001" customHeight="1">
      <c r="A2091" s="244"/>
      <c r="B2091" s="216" t="s">
        <v>3973</v>
      </c>
      <c r="C2091" s="219"/>
      <c r="D2091" s="219"/>
      <c r="E2091" s="204"/>
      <c r="F2091" s="193"/>
      <c r="G2091" s="193"/>
      <c r="H2091" s="205">
        <f t="shared" si="60"/>
        <v>0</v>
      </c>
      <c r="I2091" s="308"/>
    </row>
    <row r="2092" spans="1:9" s="297" customFormat="1" ht="20.100000000000001" customHeight="1">
      <c r="A2092" s="244"/>
      <c r="B2092" s="218" t="s">
        <v>3606</v>
      </c>
      <c r="C2092" s="219">
        <v>1</v>
      </c>
      <c r="D2092" s="219">
        <v>1</v>
      </c>
      <c r="E2092" s="204">
        <v>1.8</v>
      </c>
      <c r="F2092" s="193"/>
      <c r="G2092" s="193">
        <v>1.35</v>
      </c>
      <c r="H2092" s="205">
        <f t="shared" si="60"/>
        <v>2.4300000000000002</v>
      </c>
      <c r="I2092" s="308">
        <f>SUM(D2081:D2088)</f>
        <v>16</v>
      </c>
    </row>
    <row r="2093" spans="1:9" s="297" customFormat="1" ht="20.100000000000001" customHeight="1">
      <c r="A2093" s="244"/>
      <c r="B2093" s="218" t="s">
        <v>3642</v>
      </c>
      <c r="C2093" s="219">
        <v>1</v>
      </c>
      <c r="D2093" s="219">
        <v>7</v>
      </c>
      <c r="E2093" s="204">
        <v>1.35</v>
      </c>
      <c r="F2093" s="193"/>
      <c r="G2093" s="193">
        <v>1.35</v>
      </c>
      <c r="H2093" s="205">
        <f t="shared" si="60"/>
        <v>12.76</v>
      </c>
      <c r="I2093" s="308"/>
    </row>
    <row r="2094" spans="1:9" s="297" customFormat="1" ht="20.100000000000001" customHeight="1">
      <c r="A2094" s="244"/>
      <c r="B2094" s="218" t="s">
        <v>3605</v>
      </c>
      <c r="C2094" s="219">
        <v>1</v>
      </c>
      <c r="D2094" s="219">
        <v>4</v>
      </c>
      <c r="E2094" s="204">
        <v>1.5</v>
      </c>
      <c r="F2094" s="193"/>
      <c r="G2094" s="193">
        <v>1.35</v>
      </c>
      <c r="H2094" s="205">
        <f t="shared" si="60"/>
        <v>8.1</v>
      </c>
      <c r="I2094" s="308"/>
    </row>
    <row r="2095" spans="1:9" s="297" customFormat="1" ht="20.100000000000001" customHeight="1">
      <c r="A2095" s="244"/>
      <c r="B2095" s="218" t="s">
        <v>3632</v>
      </c>
      <c r="C2095" s="219">
        <v>1</v>
      </c>
      <c r="D2095" s="219">
        <v>1</v>
      </c>
      <c r="E2095" s="204">
        <v>1.8</v>
      </c>
      <c r="F2095" s="193"/>
      <c r="G2095" s="193">
        <v>1.35</v>
      </c>
      <c r="H2095" s="205">
        <f t="shared" si="60"/>
        <v>2.4300000000000002</v>
      </c>
      <c r="I2095" s="308"/>
    </row>
    <row r="2096" spans="1:9" s="297" customFormat="1" ht="20.100000000000001" customHeight="1">
      <c r="A2096" s="244"/>
      <c r="B2096" s="218" t="s">
        <v>3897</v>
      </c>
      <c r="C2096" s="219">
        <v>1</v>
      </c>
      <c r="D2096" s="219">
        <v>7</v>
      </c>
      <c r="E2096" s="204">
        <v>0.75</v>
      </c>
      <c r="F2096" s="193"/>
      <c r="G2096" s="193">
        <v>0.6</v>
      </c>
      <c r="H2096" s="205">
        <f t="shared" si="60"/>
        <v>3.15</v>
      </c>
      <c r="I2096" s="308"/>
    </row>
    <row r="2097" spans="1:10" s="289" customFormat="1" ht="20.100000000000001" customHeight="1">
      <c r="A2097" s="187"/>
      <c r="B2097" s="189" t="s">
        <v>3974</v>
      </c>
      <c r="C2097" s="190"/>
      <c r="D2097" s="190"/>
      <c r="E2097" s="250"/>
      <c r="F2097" s="193"/>
      <c r="G2097" s="193"/>
      <c r="H2097" s="205">
        <f t="shared" si="60"/>
        <v>0</v>
      </c>
    </row>
    <row r="2098" spans="1:10" s="297" customFormat="1" ht="20.100000000000001" customHeight="1">
      <c r="A2098" s="244"/>
      <c r="B2098" s="218" t="s">
        <v>3605</v>
      </c>
      <c r="C2098" s="219">
        <v>1</v>
      </c>
      <c r="D2098" s="219">
        <v>1</v>
      </c>
      <c r="E2098" s="204">
        <v>1.5</v>
      </c>
      <c r="F2098" s="193"/>
      <c r="G2098" s="193">
        <v>1.35</v>
      </c>
      <c r="H2098" s="205">
        <f t="shared" si="60"/>
        <v>2.0299999999999998</v>
      </c>
      <c r="I2098" s="308"/>
    </row>
    <row r="2099" spans="1:10" s="297" customFormat="1" ht="20.100000000000001" customHeight="1">
      <c r="A2099" s="244"/>
      <c r="B2099" s="218"/>
      <c r="C2099" s="219"/>
      <c r="D2099" s="219"/>
      <c r="E2099" s="204"/>
      <c r="F2099" s="193"/>
      <c r="G2099" s="213"/>
      <c r="H2099" s="205">
        <f>J2100-I2100</f>
        <v>7.0000000000000007E-2</v>
      </c>
    </row>
    <row r="2100" spans="1:10" s="297" customFormat="1" ht="20.100000000000001" customHeight="1">
      <c r="A2100" s="244"/>
      <c r="B2100" s="218"/>
      <c r="C2100" s="219"/>
      <c r="D2100" s="219"/>
      <c r="E2100" s="204"/>
      <c r="F2100" s="193"/>
      <c r="G2100" s="213"/>
      <c r="H2100" s="205">
        <f>J2100</f>
        <v>65.900000000000006</v>
      </c>
      <c r="I2100" s="297">
        <f>SUM(H2080:H2098)</f>
        <v>65.83</v>
      </c>
      <c r="J2100" s="297">
        <f>ROUNDUP(I2100,1)</f>
        <v>65.900000000000006</v>
      </c>
    </row>
    <row r="2101" spans="1:10" s="297" customFormat="1" ht="20.100000000000001" customHeight="1">
      <c r="A2101" s="244"/>
      <c r="B2101" s="218"/>
      <c r="C2101" s="219"/>
      <c r="D2101" s="219"/>
      <c r="E2101" s="204"/>
      <c r="F2101" s="193">
        <f>H2100</f>
        <v>65.900000000000006</v>
      </c>
      <c r="G2101" s="213">
        <v>28</v>
      </c>
      <c r="H2101" s="205">
        <f>G2101*F2101</f>
        <v>1845.2</v>
      </c>
    </row>
    <row r="2102" spans="1:10" s="306" customFormat="1" ht="20.100000000000001" customHeight="1">
      <c r="A2102" s="182"/>
      <c r="B2102" s="216"/>
      <c r="C2102" s="220"/>
      <c r="D2102" s="220"/>
      <c r="E2102" s="252"/>
      <c r="F2102" s="197" t="s">
        <v>2560</v>
      </c>
      <c r="G2102" s="197">
        <f>H2101</f>
        <v>1845.2</v>
      </c>
      <c r="H2102" s="248" t="s">
        <v>4970</v>
      </c>
    </row>
    <row r="2103" spans="1:10" s="313" customFormat="1" ht="20.100000000000001" customHeight="1">
      <c r="A2103" s="244" t="s">
        <v>1833</v>
      </c>
      <c r="B2103" s="992" t="s">
        <v>4971</v>
      </c>
      <c r="C2103" s="993"/>
      <c r="D2103" s="993"/>
      <c r="E2103" s="993"/>
      <c r="F2103" s="993"/>
      <c r="G2103" s="994"/>
      <c r="H2103" s="205"/>
    </row>
    <row r="2104" spans="1:10" s="289" customFormat="1" ht="20.100000000000001" customHeight="1">
      <c r="A2104" s="187"/>
      <c r="B2104" s="189" t="s">
        <v>3971</v>
      </c>
      <c r="C2104" s="190"/>
      <c r="D2104" s="190"/>
      <c r="E2104" s="250"/>
      <c r="F2104" s="187"/>
      <c r="G2104" s="213"/>
      <c r="H2104" s="205">
        <f>PRODUCT(C2104:G2104)</f>
        <v>0</v>
      </c>
    </row>
    <row r="2105" spans="1:10" s="297" customFormat="1" ht="20.100000000000001" customHeight="1">
      <c r="A2105" s="244"/>
      <c r="B2105" s="218" t="s">
        <v>3642</v>
      </c>
      <c r="C2105" s="219">
        <v>1</v>
      </c>
      <c r="D2105" s="219">
        <v>2</v>
      </c>
      <c r="E2105" s="204">
        <v>1.35</v>
      </c>
      <c r="F2105" s="193"/>
      <c r="G2105" s="193">
        <v>1.35</v>
      </c>
      <c r="H2105" s="205">
        <f t="shared" ref="H2105:H2123" si="61">ROUND(PRODUCT(C2105:G2105),2)</f>
        <v>3.65</v>
      </c>
      <c r="I2105" s="308" t="e">
        <f>SUM(#REF!)</f>
        <v>#REF!</v>
      </c>
    </row>
    <row r="2106" spans="1:10" s="297" customFormat="1" ht="20.100000000000001" customHeight="1">
      <c r="A2106" s="244"/>
      <c r="B2106" s="218" t="s">
        <v>3606</v>
      </c>
      <c r="C2106" s="219">
        <v>1</v>
      </c>
      <c r="D2106" s="219">
        <v>1</v>
      </c>
      <c r="E2106" s="204">
        <v>1.8</v>
      </c>
      <c r="F2106" s="193"/>
      <c r="G2106" s="193">
        <v>1.35</v>
      </c>
      <c r="H2106" s="205">
        <f t="shared" si="61"/>
        <v>2.4300000000000002</v>
      </c>
      <c r="I2106" s="308"/>
    </row>
    <row r="2107" spans="1:10" s="297" customFormat="1" ht="20.100000000000001" customHeight="1">
      <c r="A2107" s="244"/>
      <c r="B2107" s="218" t="s">
        <v>3605</v>
      </c>
      <c r="C2107" s="219">
        <v>1</v>
      </c>
      <c r="D2107" s="219">
        <v>2</v>
      </c>
      <c r="E2107" s="204">
        <v>1.5</v>
      </c>
      <c r="F2107" s="193"/>
      <c r="G2107" s="193">
        <v>1.35</v>
      </c>
      <c r="H2107" s="205">
        <f t="shared" si="61"/>
        <v>4.05</v>
      </c>
      <c r="I2107" s="308"/>
    </row>
    <row r="2108" spans="1:10" s="297" customFormat="1" ht="20.100000000000001" customHeight="1">
      <c r="A2108" s="244"/>
      <c r="B2108" s="218" t="s">
        <v>3607</v>
      </c>
      <c r="C2108" s="219">
        <v>1</v>
      </c>
      <c r="D2108" s="219">
        <v>1</v>
      </c>
      <c r="E2108" s="204">
        <v>1.05</v>
      </c>
      <c r="F2108" s="193"/>
      <c r="G2108" s="193">
        <v>1.35</v>
      </c>
      <c r="H2108" s="205">
        <f t="shared" si="61"/>
        <v>1.42</v>
      </c>
      <c r="I2108" s="308"/>
    </row>
    <row r="2109" spans="1:10" s="297" customFormat="1" ht="20.100000000000001" customHeight="1">
      <c r="A2109" s="244"/>
      <c r="B2109" s="218" t="s">
        <v>3894</v>
      </c>
      <c r="C2109" s="219">
        <v>1</v>
      </c>
      <c r="D2109" s="219">
        <v>3</v>
      </c>
      <c r="E2109" s="204">
        <v>0.9</v>
      </c>
      <c r="F2109" s="193"/>
      <c r="G2109" s="193">
        <v>0.6</v>
      </c>
      <c r="H2109" s="205">
        <f t="shared" si="61"/>
        <v>1.62</v>
      </c>
      <c r="I2109" s="308"/>
    </row>
    <row r="2110" spans="1:10" s="297" customFormat="1" ht="20.100000000000001" customHeight="1">
      <c r="A2110" s="244"/>
      <c r="B2110" s="216" t="s">
        <v>3972</v>
      </c>
      <c r="C2110" s="219"/>
      <c r="D2110" s="219"/>
      <c r="E2110" s="204"/>
      <c r="F2110" s="193"/>
      <c r="G2110" s="193"/>
      <c r="H2110" s="205">
        <f t="shared" si="61"/>
        <v>0</v>
      </c>
      <c r="I2110" s="308"/>
    </row>
    <row r="2111" spans="1:10" s="297" customFormat="1" ht="20.100000000000001" customHeight="1">
      <c r="A2111" s="244"/>
      <c r="B2111" s="218" t="s">
        <v>3606</v>
      </c>
      <c r="C2111" s="219">
        <v>1</v>
      </c>
      <c r="D2111" s="219">
        <v>2</v>
      </c>
      <c r="E2111" s="204">
        <v>1.8</v>
      </c>
      <c r="F2111" s="193"/>
      <c r="G2111" s="193">
        <v>1.35</v>
      </c>
      <c r="H2111" s="205">
        <f t="shared" si="61"/>
        <v>4.8600000000000003</v>
      </c>
      <c r="I2111" s="308">
        <f>SUM(D2103:D2107)</f>
        <v>5</v>
      </c>
    </row>
    <row r="2112" spans="1:10" s="297" customFormat="1" ht="20.100000000000001" customHeight="1">
      <c r="A2112" s="244"/>
      <c r="B2112" s="218" t="s">
        <v>3642</v>
      </c>
      <c r="C2112" s="219">
        <v>1</v>
      </c>
      <c r="D2112" s="219">
        <v>3</v>
      </c>
      <c r="E2112" s="204">
        <v>1.35</v>
      </c>
      <c r="F2112" s="193"/>
      <c r="G2112" s="193">
        <v>1.35</v>
      </c>
      <c r="H2112" s="205">
        <f t="shared" si="61"/>
        <v>5.47</v>
      </c>
      <c r="I2112" s="308"/>
    </row>
    <row r="2113" spans="1:10" s="297" customFormat="1" ht="20.100000000000001" customHeight="1">
      <c r="A2113" s="244"/>
      <c r="B2113" s="218" t="s">
        <v>3605</v>
      </c>
      <c r="C2113" s="219">
        <v>1</v>
      </c>
      <c r="D2113" s="219">
        <v>4</v>
      </c>
      <c r="E2113" s="204">
        <v>1.5</v>
      </c>
      <c r="F2113" s="193"/>
      <c r="G2113" s="193">
        <v>1.35</v>
      </c>
      <c r="H2113" s="205">
        <f t="shared" si="61"/>
        <v>8.1</v>
      </c>
      <c r="I2113" s="308"/>
    </row>
    <row r="2114" spans="1:10" s="297" customFormat="1" ht="20.100000000000001" customHeight="1">
      <c r="A2114" s="244"/>
      <c r="B2114" s="218" t="s">
        <v>3632</v>
      </c>
      <c r="C2114" s="219">
        <v>1</v>
      </c>
      <c r="D2114" s="219">
        <v>1</v>
      </c>
      <c r="E2114" s="204">
        <v>1.8</v>
      </c>
      <c r="F2114" s="193"/>
      <c r="G2114" s="193">
        <v>1.35</v>
      </c>
      <c r="H2114" s="205">
        <f t="shared" si="61"/>
        <v>2.4300000000000002</v>
      </c>
      <c r="I2114" s="308"/>
    </row>
    <row r="2115" spans="1:10" s="297" customFormat="1" ht="20.100000000000001" customHeight="1">
      <c r="A2115" s="244"/>
      <c r="B2115" s="218" t="s">
        <v>3897</v>
      </c>
      <c r="C2115" s="219">
        <v>1</v>
      </c>
      <c r="D2115" s="219">
        <v>2</v>
      </c>
      <c r="E2115" s="204">
        <v>0.75</v>
      </c>
      <c r="F2115" s="193"/>
      <c r="G2115" s="193">
        <v>0.6</v>
      </c>
      <c r="H2115" s="205">
        <f t="shared" si="61"/>
        <v>0.9</v>
      </c>
      <c r="I2115" s="308"/>
    </row>
    <row r="2116" spans="1:10" s="297" customFormat="1" ht="20.100000000000001" customHeight="1">
      <c r="A2116" s="244"/>
      <c r="B2116" s="216" t="s">
        <v>3973</v>
      </c>
      <c r="C2116" s="219"/>
      <c r="D2116" s="219"/>
      <c r="E2116" s="204"/>
      <c r="F2116" s="193"/>
      <c r="G2116" s="193"/>
      <c r="H2116" s="205">
        <f t="shared" si="61"/>
        <v>0</v>
      </c>
      <c r="I2116" s="308"/>
    </row>
    <row r="2117" spans="1:10" s="297" customFormat="1" ht="20.100000000000001" customHeight="1">
      <c r="A2117" s="244"/>
      <c r="B2117" s="218" t="s">
        <v>3606</v>
      </c>
      <c r="C2117" s="219">
        <v>1</v>
      </c>
      <c r="D2117" s="219">
        <v>1</v>
      </c>
      <c r="E2117" s="204">
        <v>1.8</v>
      </c>
      <c r="F2117" s="193"/>
      <c r="G2117" s="193">
        <v>1.35</v>
      </c>
      <c r="H2117" s="205">
        <f t="shared" si="61"/>
        <v>2.4300000000000002</v>
      </c>
      <c r="I2117" s="308">
        <f>SUM(D2106:D2113)</f>
        <v>16</v>
      </c>
    </row>
    <row r="2118" spans="1:10" s="297" customFormat="1" ht="20.100000000000001" customHeight="1">
      <c r="A2118" s="244"/>
      <c r="B2118" s="218" t="s">
        <v>3642</v>
      </c>
      <c r="C2118" s="219">
        <v>1</v>
      </c>
      <c r="D2118" s="219">
        <v>7</v>
      </c>
      <c r="E2118" s="204">
        <v>1.35</v>
      </c>
      <c r="F2118" s="193"/>
      <c r="G2118" s="193">
        <v>1.35</v>
      </c>
      <c r="H2118" s="205">
        <f t="shared" si="61"/>
        <v>12.76</v>
      </c>
      <c r="I2118" s="308"/>
    </row>
    <row r="2119" spans="1:10" s="297" customFormat="1" ht="20.100000000000001" customHeight="1">
      <c r="A2119" s="244"/>
      <c r="B2119" s="218" t="s">
        <v>3605</v>
      </c>
      <c r="C2119" s="219">
        <v>1</v>
      </c>
      <c r="D2119" s="219">
        <v>4</v>
      </c>
      <c r="E2119" s="204">
        <v>1.5</v>
      </c>
      <c r="F2119" s="193"/>
      <c r="G2119" s="193">
        <v>1.35</v>
      </c>
      <c r="H2119" s="205">
        <f t="shared" si="61"/>
        <v>8.1</v>
      </c>
      <c r="I2119" s="308"/>
    </row>
    <row r="2120" spans="1:10" s="297" customFormat="1" ht="20.100000000000001" customHeight="1">
      <c r="A2120" s="244"/>
      <c r="B2120" s="218" t="s">
        <v>3632</v>
      </c>
      <c r="C2120" s="219">
        <v>1</v>
      </c>
      <c r="D2120" s="219">
        <v>1</v>
      </c>
      <c r="E2120" s="204">
        <v>1.8</v>
      </c>
      <c r="F2120" s="193"/>
      <c r="G2120" s="193">
        <v>1.35</v>
      </c>
      <c r="H2120" s="205">
        <f t="shared" si="61"/>
        <v>2.4300000000000002</v>
      </c>
      <c r="I2120" s="308"/>
    </row>
    <row r="2121" spans="1:10" s="297" customFormat="1" ht="20.100000000000001" customHeight="1">
      <c r="A2121" s="244"/>
      <c r="B2121" s="218" t="s">
        <v>3897</v>
      </c>
      <c r="C2121" s="219">
        <v>1</v>
      </c>
      <c r="D2121" s="219">
        <v>7</v>
      </c>
      <c r="E2121" s="204">
        <v>0.75</v>
      </c>
      <c r="F2121" s="193"/>
      <c r="G2121" s="193">
        <v>0.6</v>
      </c>
      <c r="H2121" s="205">
        <f t="shared" si="61"/>
        <v>3.15</v>
      </c>
      <c r="I2121" s="308"/>
    </row>
    <row r="2122" spans="1:10" s="289" customFormat="1" ht="20.100000000000001" customHeight="1">
      <c r="A2122" s="187"/>
      <c r="B2122" s="189" t="s">
        <v>3974</v>
      </c>
      <c r="C2122" s="190"/>
      <c r="D2122" s="190"/>
      <c r="E2122" s="250"/>
      <c r="F2122" s="193"/>
      <c r="G2122" s="193"/>
      <c r="H2122" s="205">
        <f t="shared" si="61"/>
        <v>0</v>
      </c>
    </row>
    <row r="2123" spans="1:10" s="297" customFormat="1" ht="20.100000000000001" customHeight="1">
      <c r="A2123" s="244"/>
      <c r="B2123" s="218" t="s">
        <v>3605</v>
      </c>
      <c r="C2123" s="219">
        <v>1</v>
      </c>
      <c r="D2123" s="219">
        <v>1</v>
      </c>
      <c r="E2123" s="204">
        <v>1.5</v>
      </c>
      <c r="F2123" s="193"/>
      <c r="G2123" s="193">
        <v>1.35</v>
      </c>
      <c r="H2123" s="205">
        <f t="shared" si="61"/>
        <v>2.0299999999999998</v>
      </c>
      <c r="I2123" s="308"/>
    </row>
    <row r="2124" spans="1:10" s="297" customFormat="1" ht="20.100000000000001" customHeight="1">
      <c r="A2124" s="244"/>
      <c r="B2124" s="218"/>
      <c r="C2124" s="219"/>
      <c r="D2124" s="219"/>
      <c r="E2124" s="204"/>
      <c r="F2124" s="193"/>
      <c r="G2124" s="213"/>
      <c r="H2124" s="205">
        <f>J2125-I2125</f>
        <v>7.0000000000000007E-2</v>
      </c>
    </row>
    <row r="2125" spans="1:10" s="297" customFormat="1" ht="20.100000000000001" customHeight="1">
      <c r="A2125" s="244"/>
      <c r="B2125" s="218"/>
      <c r="C2125" s="219"/>
      <c r="D2125" s="219"/>
      <c r="E2125" s="204"/>
      <c r="F2125" s="193"/>
      <c r="G2125" s="213"/>
      <c r="H2125" s="205">
        <f>J2125</f>
        <v>65.900000000000006</v>
      </c>
      <c r="I2125" s="297">
        <f>SUM(H2105:H2123)</f>
        <v>65.83</v>
      </c>
      <c r="J2125" s="297">
        <f>ROUNDUP(I2125,1)</f>
        <v>65.900000000000006</v>
      </c>
    </row>
    <row r="2126" spans="1:10" s="306" customFormat="1" ht="20.100000000000001" customHeight="1">
      <c r="A2126" s="182"/>
      <c r="B2126" s="216"/>
      <c r="C2126" s="220"/>
      <c r="D2126" s="220"/>
      <c r="E2126" s="252"/>
      <c r="F2126" s="197" t="s">
        <v>2560</v>
      </c>
      <c r="G2126" s="197">
        <f>H2125</f>
        <v>65.900000000000006</v>
      </c>
      <c r="H2126" s="248" t="s">
        <v>1494</v>
      </c>
    </row>
  </sheetData>
  <mergeCells count="102">
    <mergeCell ref="B7:G7"/>
    <mergeCell ref="A1:H1"/>
    <mergeCell ref="A2:H2"/>
    <mergeCell ref="A4:B4"/>
    <mergeCell ref="B5:H5"/>
    <mergeCell ref="B6:H6"/>
    <mergeCell ref="B495:G495"/>
    <mergeCell ref="C8:D8"/>
    <mergeCell ref="B9:G9"/>
    <mergeCell ref="B185:G185"/>
    <mergeCell ref="B330:G330"/>
    <mergeCell ref="B386:G386"/>
    <mergeCell ref="B407:G407"/>
    <mergeCell ref="B426:G426"/>
    <mergeCell ref="B443:G443"/>
    <mergeCell ref="B465:G465"/>
    <mergeCell ref="B480:G480"/>
    <mergeCell ref="B485:G485"/>
    <mergeCell ref="B737:G737"/>
    <mergeCell ref="B500:G500"/>
    <mergeCell ref="B509:G509"/>
    <mergeCell ref="B515:G515"/>
    <mergeCell ref="B519:G519"/>
    <mergeCell ref="B526:G526"/>
    <mergeCell ref="B542:G542"/>
    <mergeCell ref="B548:G548"/>
    <mergeCell ref="B566:G566"/>
    <mergeCell ref="B602:G602"/>
    <mergeCell ref="B691:G691"/>
    <mergeCell ref="B730:G730"/>
    <mergeCell ref="B1203:G1203"/>
    <mergeCell ref="B746:G746"/>
    <mergeCell ref="B1028:G1028"/>
    <mergeCell ref="B1037:G1037"/>
    <mergeCell ref="B1151:G1151"/>
    <mergeCell ref="B1164:G1164"/>
    <mergeCell ref="B1167:G1167"/>
    <mergeCell ref="B1175:G1175"/>
    <mergeCell ref="B1178:G1178"/>
    <mergeCell ref="B1181:G1181"/>
    <mergeCell ref="B1188:G1188"/>
    <mergeCell ref="B1194:G1194"/>
    <mergeCell ref="B1302:G1302"/>
    <mergeCell ref="B1237:G1237"/>
    <mergeCell ref="B1243:G1243"/>
    <mergeCell ref="B1248:G1248"/>
    <mergeCell ref="B1253:G1253"/>
    <mergeCell ref="B1258:G1258"/>
    <mergeCell ref="B1264:G1264"/>
    <mergeCell ref="B1270:G1270"/>
    <mergeCell ref="B1273:G1273"/>
    <mergeCell ref="B1283:G1283"/>
    <mergeCell ref="B1290:G1290"/>
    <mergeCell ref="B1296:G1296"/>
    <mergeCell ref="B1432:G1432"/>
    <mergeCell ref="B1308:G1308"/>
    <mergeCell ref="B1311:G1311"/>
    <mergeCell ref="B1316:G1316"/>
    <mergeCell ref="B1322:G1322"/>
    <mergeCell ref="B1346:G1346"/>
    <mergeCell ref="B1352:G1352"/>
    <mergeCell ref="B1355:G1355"/>
    <mergeCell ref="B1356:G1356"/>
    <mergeCell ref="B1366:G1366"/>
    <mergeCell ref="B1369:G1369"/>
    <mergeCell ref="B1372:G1372"/>
    <mergeCell ref="B1576:G1576"/>
    <mergeCell ref="B1438:G1438"/>
    <mergeCell ref="B1460:G1460"/>
    <mergeCell ref="B1463:G1463"/>
    <mergeCell ref="B1485:G1485"/>
    <mergeCell ref="B1503:G1503"/>
    <mergeCell ref="B1518:G1518"/>
    <mergeCell ref="B1523:G1523"/>
    <mergeCell ref="B1564:G1564"/>
    <mergeCell ref="B1567:G1567"/>
    <mergeCell ref="B1570:G1570"/>
    <mergeCell ref="B1573:G1573"/>
    <mergeCell ref="B1670:G1670"/>
    <mergeCell ref="B1580:G1580"/>
    <mergeCell ref="B1583:G1583"/>
    <mergeCell ref="B1588:G1588"/>
    <mergeCell ref="B1593:G1593"/>
    <mergeCell ref="B1596:G1596"/>
    <mergeCell ref="B1599:G1599"/>
    <mergeCell ref="B1606:G1606"/>
    <mergeCell ref="B1611:G1611"/>
    <mergeCell ref="B1616:G1616"/>
    <mergeCell ref="B1646:G1646"/>
    <mergeCell ref="B1654:G1654"/>
    <mergeCell ref="B2078:G2078"/>
    <mergeCell ref="B2103:G2103"/>
    <mergeCell ref="B2030:G2030"/>
    <mergeCell ref="B2039:G2039"/>
    <mergeCell ref="B1916:G1916"/>
    <mergeCell ref="B1991:G1991"/>
    <mergeCell ref="B1996:G1996"/>
    <mergeCell ref="B2012:G2012"/>
    <mergeCell ref="B2019:G2019"/>
    <mergeCell ref="B2025:G2025"/>
    <mergeCell ref="B2063:G2063"/>
    <mergeCell ref="B2075:G2075"/>
  </mergeCells>
  <pageMargins left="0.6" right="0.6" top="0.6" bottom="0.4" header="0.15748031496063" footer="0.15748031496063"/>
  <pageSetup paperSize="9" orientation="portrait" verticalDpi="300" r:id="rId1"/>
  <headerFooter>
    <oddHeader>Page &amp;P</oddHeader>
  </headerFooter>
</worksheet>
</file>

<file path=xl/worksheets/sheet6.xml><?xml version="1.0" encoding="utf-8"?>
<worksheet xmlns="http://schemas.openxmlformats.org/spreadsheetml/2006/main" xmlns:r="http://schemas.openxmlformats.org/officeDocument/2006/relationships">
  <dimension ref="A1:H105"/>
  <sheetViews>
    <sheetView workbookViewId="0">
      <selection activeCell="B102" sqref="B102"/>
    </sheetView>
  </sheetViews>
  <sheetFormatPr defaultRowHeight="15.75"/>
  <cols>
    <col min="1" max="1" width="4.6640625" customWidth="1"/>
    <col min="2" max="2" width="30.77734375" customWidth="1"/>
    <col min="3" max="4" width="3.6640625" customWidth="1"/>
    <col min="5" max="8" width="7.6640625" customWidth="1"/>
    <col min="257" max="257" width="4.6640625" customWidth="1"/>
    <col min="258" max="258" width="30.77734375" customWidth="1"/>
    <col min="259" max="260" width="3.6640625" customWidth="1"/>
    <col min="261" max="264" width="7.6640625" customWidth="1"/>
    <col min="513" max="513" width="4.6640625" customWidth="1"/>
    <col min="514" max="514" width="30.77734375" customWidth="1"/>
    <col min="515" max="516" width="3.6640625" customWidth="1"/>
    <col min="517" max="520" width="7.6640625" customWidth="1"/>
    <col min="769" max="769" width="4.6640625" customWidth="1"/>
    <col min="770" max="770" width="30.77734375" customWidth="1"/>
    <col min="771" max="772" width="3.6640625" customWidth="1"/>
    <col min="773" max="776" width="7.6640625" customWidth="1"/>
    <col min="1025" max="1025" width="4.6640625" customWidth="1"/>
    <col min="1026" max="1026" width="30.77734375" customWidth="1"/>
    <col min="1027" max="1028" width="3.6640625" customWidth="1"/>
    <col min="1029" max="1032" width="7.6640625" customWidth="1"/>
    <col min="1281" max="1281" width="4.6640625" customWidth="1"/>
    <col min="1282" max="1282" width="30.77734375" customWidth="1"/>
    <col min="1283" max="1284" width="3.6640625" customWidth="1"/>
    <col min="1285" max="1288" width="7.6640625" customWidth="1"/>
    <col min="1537" max="1537" width="4.6640625" customWidth="1"/>
    <col min="1538" max="1538" width="30.77734375" customWidth="1"/>
    <col min="1539" max="1540" width="3.6640625" customWidth="1"/>
    <col min="1541" max="1544" width="7.6640625" customWidth="1"/>
    <col min="1793" max="1793" width="4.6640625" customWidth="1"/>
    <col min="1794" max="1794" width="30.77734375" customWidth="1"/>
    <col min="1795" max="1796" width="3.6640625" customWidth="1"/>
    <col min="1797" max="1800" width="7.6640625" customWidth="1"/>
    <col min="2049" max="2049" width="4.6640625" customWidth="1"/>
    <col min="2050" max="2050" width="30.77734375" customWidth="1"/>
    <col min="2051" max="2052" width="3.6640625" customWidth="1"/>
    <col min="2053" max="2056" width="7.6640625" customWidth="1"/>
    <col min="2305" max="2305" width="4.6640625" customWidth="1"/>
    <col min="2306" max="2306" width="30.77734375" customWidth="1"/>
    <col min="2307" max="2308" width="3.6640625" customWidth="1"/>
    <col min="2309" max="2312" width="7.6640625" customWidth="1"/>
    <col min="2561" max="2561" width="4.6640625" customWidth="1"/>
    <col min="2562" max="2562" width="30.77734375" customWidth="1"/>
    <col min="2563" max="2564" width="3.6640625" customWidth="1"/>
    <col min="2565" max="2568" width="7.6640625" customWidth="1"/>
    <col min="2817" max="2817" width="4.6640625" customWidth="1"/>
    <col min="2818" max="2818" width="30.77734375" customWidth="1"/>
    <col min="2819" max="2820" width="3.6640625" customWidth="1"/>
    <col min="2821" max="2824" width="7.6640625" customWidth="1"/>
    <col min="3073" max="3073" width="4.6640625" customWidth="1"/>
    <col min="3074" max="3074" width="30.77734375" customWidth="1"/>
    <col min="3075" max="3076" width="3.6640625" customWidth="1"/>
    <col min="3077" max="3080" width="7.6640625" customWidth="1"/>
    <col min="3329" max="3329" width="4.6640625" customWidth="1"/>
    <col min="3330" max="3330" width="30.77734375" customWidth="1"/>
    <col min="3331" max="3332" width="3.6640625" customWidth="1"/>
    <col min="3333" max="3336" width="7.6640625" customWidth="1"/>
    <col min="3585" max="3585" width="4.6640625" customWidth="1"/>
    <col min="3586" max="3586" width="30.77734375" customWidth="1"/>
    <col min="3587" max="3588" width="3.6640625" customWidth="1"/>
    <col min="3589" max="3592" width="7.6640625" customWidth="1"/>
    <col min="3841" max="3841" width="4.6640625" customWidth="1"/>
    <col min="3842" max="3842" width="30.77734375" customWidth="1"/>
    <col min="3843" max="3844" width="3.6640625" customWidth="1"/>
    <col min="3845" max="3848" width="7.6640625" customWidth="1"/>
    <col min="4097" max="4097" width="4.6640625" customWidth="1"/>
    <col min="4098" max="4098" width="30.77734375" customWidth="1"/>
    <col min="4099" max="4100" width="3.6640625" customWidth="1"/>
    <col min="4101" max="4104" width="7.6640625" customWidth="1"/>
    <col min="4353" max="4353" width="4.6640625" customWidth="1"/>
    <col min="4354" max="4354" width="30.77734375" customWidth="1"/>
    <col min="4355" max="4356" width="3.6640625" customWidth="1"/>
    <col min="4357" max="4360" width="7.6640625" customWidth="1"/>
    <col min="4609" max="4609" width="4.6640625" customWidth="1"/>
    <col min="4610" max="4610" width="30.77734375" customWidth="1"/>
    <col min="4611" max="4612" width="3.6640625" customWidth="1"/>
    <col min="4613" max="4616" width="7.6640625" customWidth="1"/>
    <col min="4865" max="4865" width="4.6640625" customWidth="1"/>
    <col min="4866" max="4866" width="30.77734375" customWidth="1"/>
    <col min="4867" max="4868" width="3.6640625" customWidth="1"/>
    <col min="4869" max="4872" width="7.6640625" customWidth="1"/>
    <col min="5121" max="5121" width="4.6640625" customWidth="1"/>
    <col min="5122" max="5122" width="30.77734375" customWidth="1"/>
    <col min="5123" max="5124" width="3.6640625" customWidth="1"/>
    <col min="5125" max="5128" width="7.6640625" customWidth="1"/>
    <col min="5377" max="5377" width="4.6640625" customWidth="1"/>
    <col min="5378" max="5378" width="30.77734375" customWidth="1"/>
    <col min="5379" max="5380" width="3.6640625" customWidth="1"/>
    <col min="5381" max="5384" width="7.6640625" customWidth="1"/>
    <col min="5633" max="5633" width="4.6640625" customWidth="1"/>
    <col min="5634" max="5634" width="30.77734375" customWidth="1"/>
    <col min="5635" max="5636" width="3.6640625" customWidth="1"/>
    <col min="5637" max="5640" width="7.6640625" customWidth="1"/>
    <col min="5889" max="5889" width="4.6640625" customWidth="1"/>
    <col min="5890" max="5890" width="30.77734375" customWidth="1"/>
    <col min="5891" max="5892" width="3.6640625" customWidth="1"/>
    <col min="5893" max="5896" width="7.6640625" customWidth="1"/>
    <col min="6145" max="6145" width="4.6640625" customWidth="1"/>
    <col min="6146" max="6146" width="30.77734375" customWidth="1"/>
    <col min="6147" max="6148" width="3.6640625" customWidth="1"/>
    <col min="6149" max="6152" width="7.6640625" customWidth="1"/>
    <col min="6401" max="6401" width="4.6640625" customWidth="1"/>
    <col min="6402" max="6402" width="30.77734375" customWidth="1"/>
    <col min="6403" max="6404" width="3.6640625" customWidth="1"/>
    <col min="6405" max="6408" width="7.6640625" customWidth="1"/>
    <col min="6657" max="6657" width="4.6640625" customWidth="1"/>
    <col min="6658" max="6658" width="30.77734375" customWidth="1"/>
    <col min="6659" max="6660" width="3.6640625" customWidth="1"/>
    <col min="6661" max="6664" width="7.6640625" customWidth="1"/>
    <col min="6913" max="6913" width="4.6640625" customWidth="1"/>
    <col min="6914" max="6914" width="30.77734375" customWidth="1"/>
    <col min="6915" max="6916" width="3.6640625" customWidth="1"/>
    <col min="6917" max="6920" width="7.6640625" customWidth="1"/>
    <col min="7169" max="7169" width="4.6640625" customWidth="1"/>
    <col min="7170" max="7170" width="30.77734375" customWidth="1"/>
    <col min="7171" max="7172" width="3.6640625" customWidth="1"/>
    <col min="7173" max="7176" width="7.6640625" customWidth="1"/>
    <col min="7425" max="7425" width="4.6640625" customWidth="1"/>
    <col min="7426" max="7426" width="30.77734375" customWidth="1"/>
    <col min="7427" max="7428" width="3.6640625" customWidth="1"/>
    <col min="7429" max="7432" width="7.6640625" customWidth="1"/>
    <col min="7681" max="7681" width="4.6640625" customWidth="1"/>
    <col min="7682" max="7682" width="30.77734375" customWidth="1"/>
    <col min="7683" max="7684" width="3.6640625" customWidth="1"/>
    <col min="7685" max="7688" width="7.6640625" customWidth="1"/>
    <col min="7937" max="7937" width="4.6640625" customWidth="1"/>
    <col min="7938" max="7938" width="30.77734375" customWidth="1"/>
    <col min="7939" max="7940" width="3.6640625" customWidth="1"/>
    <col min="7941" max="7944" width="7.6640625" customWidth="1"/>
    <col min="8193" max="8193" width="4.6640625" customWidth="1"/>
    <col min="8194" max="8194" width="30.77734375" customWidth="1"/>
    <col min="8195" max="8196" width="3.6640625" customWidth="1"/>
    <col min="8197" max="8200" width="7.6640625" customWidth="1"/>
    <col min="8449" max="8449" width="4.6640625" customWidth="1"/>
    <col min="8450" max="8450" width="30.77734375" customWidth="1"/>
    <col min="8451" max="8452" width="3.6640625" customWidth="1"/>
    <col min="8453" max="8456" width="7.6640625" customWidth="1"/>
    <col min="8705" max="8705" width="4.6640625" customWidth="1"/>
    <col min="8706" max="8706" width="30.77734375" customWidth="1"/>
    <col min="8707" max="8708" width="3.6640625" customWidth="1"/>
    <col min="8709" max="8712" width="7.6640625" customWidth="1"/>
    <col min="8961" max="8961" width="4.6640625" customWidth="1"/>
    <col min="8962" max="8962" width="30.77734375" customWidth="1"/>
    <col min="8963" max="8964" width="3.6640625" customWidth="1"/>
    <col min="8965" max="8968" width="7.6640625" customWidth="1"/>
    <col min="9217" max="9217" width="4.6640625" customWidth="1"/>
    <col min="9218" max="9218" width="30.77734375" customWidth="1"/>
    <col min="9219" max="9220" width="3.6640625" customWidth="1"/>
    <col min="9221" max="9224" width="7.6640625" customWidth="1"/>
    <col min="9473" max="9473" width="4.6640625" customWidth="1"/>
    <col min="9474" max="9474" width="30.77734375" customWidth="1"/>
    <col min="9475" max="9476" width="3.6640625" customWidth="1"/>
    <col min="9477" max="9480" width="7.6640625" customWidth="1"/>
    <col min="9729" max="9729" width="4.6640625" customWidth="1"/>
    <col min="9730" max="9730" width="30.77734375" customWidth="1"/>
    <col min="9731" max="9732" width="3.6640625" customWidth="1"/>
    <col min="9733" max="9736" width="7.6640625" customWidth="1"/>
    <col min="9985" max="9985" width="4.6640625" customWidth="1"/>
    <col min="9986" max="9986" width="30.77734375" customWidth="1"/>
    <col min="9987" max="9988" width="3.6640625" customWidth="1"/>
    <col min="9989" max="9992" width="7.6640625" customWidth="1"/>
    <col min="10241" max="10241" width="4.6640625" customWidth="1"/>
    <col min="10242" max="10242" width="30.77734375" customWidth="1"/>
    <col min="10243" max="10244" width="3.6640625" customWidth="1"/>
    <col min="10245" max="10248" width="7.6640625" customWidth="1"/>
    <col min="10497" max="10497" width="4.6640625" customWidth="1"/>
    <col min="10498" max="10498" width="30.77734375" customWidth="1"/>
    <col min="10499" max="10500" width="3.6640625" customWidth="1"/>
    <col min="10501" max="10504" width="7.6640625" customWidth="1"/>
    <col min="10753" max="10753" width="4.6640625" customWidth="1"/>
    <col min="10754" max="10754" width="30.77734375" customWidth="1"/>
    <col min="10755" max="10756" width="3.6640625" customWidth="1"/>
    <col min="10757" max="10760" width="7.6640625" customWidth="1"/>
    <col min="11009" max="11009" width="4.6640625" customWidth="1"/>
    <col min="11010" max="11010" width="30.77734375" customWidth="1"/>
    <col min="11011" max="11012" width="3.6640625" customWidth="1"/>
    <col min="11013" max="11016" width="7.6640625" customWidth="1"/>
    <col min="11265" max="11265" width="4.6640625" customWidth="1"/>
    <col min="11266" max="11266" width="30.77734375" customWidth="1"/>
    <col min="11267" max="11268" width="3.6640625" customWidth="1"/>
    <col min="11269" max="11272" width="7.6640625" customWidth="1"/>
    <col min="11521" max="11521" width="4.6640625" customWidth="1"/>
    <col min="11522" max="11522" width="30.77734375" customWidth="1"/>
    <col min="11523" max="11524" width="3.6640625" customWidth="1"/>
    <col min="11525" max="11528" width="7.6640625" customWidth="1"/>
    <col min="11777" max="11777" width="4.6640625" customWidth="1"/>
    <col min="11778" max="11778" width="30.77734375" customWidth="1"/>
    <col min="11779" max="11780" width="3.6640625" customWidth="1"/>
    <col min="11781" max="11784" width="7.6640625" customWidth="1"/>
    <col min="12033" max="12033" width="4.6640625" customWidth="1"/>
    <col min="12034" max="12034" width="30.77734375" customWidth="1"/>
    <col min="12035" max="12036" width="3.6640625" customWidth="1"/>
    <col min="12037" max="12040" width="7.6640625" customWidth="1"/>
    <col min="12289" max="12289" width="4.6640625" customWidth="1"/>
    <col min="12290" max="12290" width="30.77734375" customWidth="1"/>
    <col min="12291" max="12292" width="3.6640625" customWidth="1"/>
    <col min="12293" max="12296" width="7.6640625" customWidth="1"/>
    <col min="12545" max="12545" width="4.6640625" customWidth="1"/>
    <col min="12546" max="12546" width="30.77734375" customWidth="1"/>
    <col min="12547" max="12548" width="3.6640625" customWidth="1"/>
    <col min="12549" max="12552" width="7.6640625" customWidth="1"/>
    <col min="12801" max="12801" width="4.6640625" customWidth="1"/>
    <col min="12802" max="12802" width="30.77734375" customWidth="1"/>
    <col min="12803" max="12804" width="3.6640625" customWidth="1"/>
    <col min="12805" max="12808" width="7.6640625" customWidth="1"/>
    <col min="13057" max="13057" width="4.6640625" customWidth="1"/>
    <col min="13058" max="13058" width="30.77734375" customWidth="1"/>
    <col min="13059" max="13060" width="3.6640625" customWidth="1"/>
    <col min="13061" max="13064" width="7.6640625" customWidth="1"/>
    <col min="13313" max="13313" width="4.6640625" customWidth="1"/>
    <col min="13314" max="13314" width="30.77734375" customWidth="1"/>
    <col min="13315" max="13316" width="3.6640625" customWidth="1"/>
    <col min="13317" max="13320" width="7.6640625" customWidth="1"/>
    <col min="13569" max="13569" width="4.6640625" customWidth="1"/>
    <col min="13570" max="13570" width="30.77734375" customWidth="1"/>
    <col min="13571" max="13572" width="3.6640625" customWidth="1"/>
    <col min="13573" max="13576" width="7.6640625" customWidth="1"/>
    <col min="13825" max="13825" width="4.6640625" customWidth="1"/>
    <col min="13826" max="13826" width="30.77734375" customWidth="1"/>
    <col min="13827" max="13828" width="3.6640625" customWidth="1"/>
    <col min="13829" max="13832" width="7.6640625" customWidth="1"/>
    <col min="14081" max="14081" width="4.6640625" customWidth="1"/>
    <col min="14082" max="14082" width="30.77734375" customWidth="1"/>
    <col min="14083" max="14084" width="3.6640625" customWidth="1"/>
    <col min="14085" max="14088" width="7.6640625" customWidth="1"/>
    <col min="14337" max="14337" width="4.6640625" customWidth="1"/>
    <col min="14338" max="14338" width="30.77734375" customWidth="1"/>
    <col min="14339" max="14340" width="3.6640625" customWidth="1"/>
    <col min="14341" max="14344" width="7.6640625" customWidth="1"/>
    <col min="14593" max="14593" width="4.6640625" customWidth="1"/>
    <col min="14594" max="14594" width="30.77734375" customWidth="1"/>
    <col min="14595" max="14596" width="3.6640625" customWidth="1"/>
    <col min="14597" max="14600" width="7.6640625" customWidth="1"/>
    <col min="14849" max="14849" width="4.6640625" customWidth="1"/>
    <col min="14850" max="14850" width="30.77734375" customWidth="1"/>
    <col min="14851" max="14852" width="3.6640625" customWidth="1"/>
    <col min="14853" max="14856" width="7.6640625" customWidth="1"/>
    <col min="15105" max="15105" width="4.6640625" customWidth="1"/>
    <col min="15106" max="15106" width="30.77734375" customWidth="1"/>
    <col min="15107" max="15108" width="3.6640625" customWidth="1"/>
    <col min="15109" max="15112" width="7.6640625" customWidth="1"/>
    <col min="15361" max="15361" width="4.6640625" customWidth="1"/>
    <col min="15362" max="15362" width="30.77734375" customWidth="1"/>
    <col min="15363" max="15364" width="3.6640625" customWidth="1"/>
    <col min="15365" max="15368" width="7.6640625" customWidth="1"/>
    <col min="15617" max="15617" width="4.6640625" customWidth="1"/>
    <col min="15618" max="15618" width="30.77734375" customWidth="1"/>
    <col min="15619" max="15620" width="3.6640625" customWidth="1"/>
    <col min="15621" max="15624" width="7.6640625" customWidth="1"/>
    <col min="15873" max="15873" width="4.6640625" customWidth="1"/>
    <col min="15874" max="15874" width="30.77734375" customWidth="1"/>
    <col min="15875" max="15876" width="3.6640625" customWidth="1"/>
    <col min="15877" max="15880" width="7.6640625" customWidth="1"/>
    <col min="16129" max="16129" width="4.6640625" customWidth="1"/>
    <col min="16130" max="16130" width="30.77734375" customWidth="1"/>
    <col min="16131" max="16132" width="3.6640625" customWidth="1"/>
    <col min="16133" max="16136" width="7.6640625" customWidth="1"/>
  </cols>
  <sheetData>
    <row r="1" spans="1:8" ht="18.75">
      <c r="A1" s="1044" t="s">
        <v>2403</v>
      </c>
      <c r="B1" s="1044"/>
      <c r="C1" s="1044"/>
      <c r="D1" s="1044"/>
      <c r="E1" s="1044"/>
      <c r="F1" s="1044"/>
      <c r="G1" s="1044"/>
      <c r="H1" s="1044"/>
    </row>
    <row r="2" spans="1:8" ht="18.75">
      <c r="A2" s="1044" t="s">
        <v>4214</v>
      </c>
      <c r="B2" s="1044"/>
      <c r="C2" s="1044"/>
      <c r="D2" s="1044"/>
      <c r="E2" s="1044"/>
      <c r="F2" s="1044"/>
      <c r="G2" s="1044"/>
      <c r="H2" s="1044"/>
    </row>
    <row r="3" spans="1:8" ht="18.75">
      <c r="A3" s="1045" t="s">
        <v>4215</v>
      </c>
      <c r="B3" s="1045"/>
      <c r="C3" s="1045"/>
      <c r="D3" s="1045"/>
      <c r="E3" s="1045"/>
      <c r="F3" s="1045"/>
      <c r="G3" s="1045"/>
      <c r="H3" s="1045"/>
    </row>
    <row r="4" spans="1:8" ht="7.9" customHeight="1">
      <c r="A4" s="361"/>
      <c r="B4" s="362"/>
      <c r="C4" s="363"/>
      <c r="D4" s="363"/>
      <c r="E4" s="361"/>
      <c r="F4" s="361"/>
      <c r="G4" s="361"/>
      <c r="H4" s="361"/>
    </row>
    <row r="5" spans="1:8" ht="64.900000000000006" customHeight="1">
      <c r="A5" s="1046" t="s">
        <v>4371</v>
      </c>
      <c r="B5" s="1046"/>
      <c r="C5" s="1046"/>
      <c r="D5" s="1046"/>
      <c r="E5" s="1046"/>
      <c r="F5" s="1046"/>
      <c r="G5" s="1046"/>
      <c r="H5" s="1046"/>
    </row>
    <row r="6" spans="1:8" ht="7.9" customHeight="1">
      <c r="A6" s="364"/>
      <c r="B6" s="365"/>
      <c r="C6" s="366"/>
      <c r="D6" s="366"/>
      <c r="E6" s="364"/>
      <c r="F6" s="364"/>
      <c r="G6" s="364"/>
      <c r="H6" s="364"/>
    </row>
    <row r="7" spans="1:8" ht="30">
      <c r="A7" s="367" t="s">
        <v>4216</v>
      </c>
      <c r="B7" s="368" t="s">
        <v>4217</v>
      </c>
      <c r="C7" s="1047" t="s">
        <v>838</v>
      </c>
      <c r="D7" s="1047"/>
      <c r="E7" s="368" t="s">
        <v>3292</v>
      </c>
      <c r="F7" s="368" t="s">
        <v>4218</v>
      </c>
      <c r="G7" s="368" t="s">
        <v>3294</v>
      </c>
      <c r="H7" s="368" t="s">
        <v>1720</v>
      </c>
    </row>
    <row r="8" spans="1:8" ht="19.899999999999999" customHeight="1">
      <c r="A8" s="369">
        <v>1.5</v>
      </c>
      <c r="B8" s="1048" t="s">
        <v>4219</v>
      </c>
      <c r="C8" s="1049"/>
      <c r="D8" s="1049"/>
      <c r="E8" s="1049"/>
      <c r="F8" s="1049"/>
      <c r="G8" s="1050"/>
      <c r="H8" s="370"/>
    </row>
    <row r="9" spans="1:8" ht="19.899999999999999" customHeight="1">
      <c r="A9" s="369"/>
      <c r="B9" s="371" t="s">
        <v>4220</v>
      </c>
      <c r="C9" s="372"/>
      <c r="D9" s="373"/>
      <c r="E9" s="370"/>
      <c r="F9" s="370"/>
      <c r="G9" s="370"/>
      <c r="H9" s="370"/>
    </row>
    <row r="10" spans="1:8" ht="19.899999999999999" customHeight="1">
      <c r="A10" s="374"/>
      <c r="B10" s="375" t="s">
        <v>4221</v>
      </c>
      <c r="C10" s="376">
        <v>1</v>
      </c>
      <c r="D10" s="376">
        <v>1</v>
      </c>
      <c r="E10" s="374">
        <v>5.75</v>
      </c>
      <c r="F10" s="374">
        <v>2.5</v>
      </c>
      <c r="G10" s="374">
        <v>2</v>
      </c>
      <c r="H10" s="374">
        <f>PRODUCT(C10:G10)</f>
        <v>28.75</v>
      </c>
    </row>
    <row r="11" spans="1:8" ht="19.899999999999999" customHeight="1">
      <c r="A11" s="374"/>
      <c r="B11" s="375" t="s">
        <v>4222</v>
      </c>
      <c r="C11" s="376">
        <v>1</v>
      </c>
      <c r="D11" s="376">
        <v>2</v>
      </c>
      <c r="E11" s="374">
        <v>1.36</v>
      </c>
      <c r="F11" s="374">
        <v>1.36</v>
      </c>
      <c r="G11" s="374">
        <v>0.3</v>
      </c>
      <c r="H11" s="374">
        <f>PRODUCT(C11:G11)</f>
        <v>1.1100000000000001</v>
      </c>
    </row>
    <row r="12" spans="1:8" ht="19.899999999999999" customHeight="1">
      <c r="A12" s="374"/>
      <c r="B12" s="375" t="s">
        <v>4223</v>
      </c>
      <c r="C12" s="376">
        <v>1</v>
      </c>
      <c r="D12" s="376">
        <v>1</v>
      </c>
      <c r="E12" s="374">
        <v>10</v>
      </c>
      <c r="F12" s="374">
        <v>1</v>
      </c>
      <c r="G12" s="374">
        <v>1.3</v>
      </c>
      <c r="H12" s="374">
        <f>PRODUCT(C12:G12)</f>
        <v>13</v>
      </c>
    </row>
    <row r="13" spans="1:8" ht="19.899999999999999" customHeight="1">
      <c r="A13" s="377"/>
      <c r="B13" s="378"/>
      <c r="C13" s="379"/>
      <c r="D13" s="379"/>
      <c r="E13" s="377"/>
      <c r="F13" s="377"/>
      <c r="G13" s="377"/>
      <c r="H13" s="377">
        <v>0.04</v>
      </c>
    </row>
    <row r="14" spans="1:8" ht="19.899999999999999" customHeight="1">
      <c r="A14" s="377"/>
      <c r="B14" s="378"/>
      <c r="C14" s="379"/>
      <c r="D14" s="379"/>
      <c r="E14" s="377"/>
      <c r="F14" s="380"/>
      <c r="G14" s="380" t="s">
        <v>2560</v>
      </c>
      <c r="H14" s="381">
        <f>SUM(H10:H13)</f>
        <v>42.9</v>
      </c>
    </row>
    <row r="15" spans="1:8" ht="19.899999999999999" customHeight="1">
      <c r="A15" s="382">
        <v>2.1</v>
      </c>
      <c r="B15" s="375" t="s">
        <v>4224</v>
      </c>
      <c r="C15" s="373"/>
      <c r="D15" s="373"/>
      <c r="E15" s="370"/>
      <c r="F15" s="383"/>
      <c r="G15" s="383"/>
      <c r="H15" s="383"/>
    </row>
    <row r="16" spans="1:8" ht="19.899999999999999" customHeight="1">
      <c r="A16" s="374"/>
      <c r="B16" s="375" t="s">
        <v>4225</v>
      </c>
      <c r="C16" s="376">
        <v>1</v>
      </c>
      <c r="D16" s="376">
        <v>1</v>
      </c>
      <c r="E16" s="374">
        <v>9</v>
      </c>
      <c r="F16" s="374">
        <v>1</v>
      </c>
      <c r="G16" s="374">
        <v>0.2</v>
      </c>
      <c r="H16" s="370">
        <f>PRODUCT(E16:G16)</f>
        <v>1.8</v>
      </c>
    </row>
    <row r="17" spans="1:8" ht="19.899999999999999" customHeight="1">
      <c r="A17" s="369"/>
      <c r="B17" s="371"/>
      <c r="C17" s="373"/>
      <c r="D17" s="373"/>
      <c r="E17" s="370"/>
      <c r="F17" s="370"/>
      <c r="G17" s="383" t="s">
        <v>2560</v>
      </c>
      <c r="H17" s="383">
        <f>SUM(H16:H16)</f>
        <v>1.8</v>
      </c>
    </row>
    <row r="18" spans="1:8" ht="19.899999999999999" customHeight="1">
      <c r="A18" s="382">
        <v>2.6</v>
      </c>
      <c r="B18" s="375" t="s">
        <v>4288</v>
      </c>
      <c r="C18" s="373"/>
      <c r="D18" s="373"/>
      <c r="E18" s="370"/>
      <c r="F18" s="370"/>
      <c r="G18" s="370"/>
      <c r="H18" s="383"/>
    </row>
    <row r="19" spans="1:8" ht="19.899999999999999" customHeight="1">
      <c r="A19" s="384"/>
      <c r="B19" s="371" t="s">
        <v>4223</v>
      </c>
      <c r="C19" s="376">
        <v>1</v>
      </c>
      <c r="D19" s="376">
        <v>1</v>
      </c>
      <c r="E19" s="374">
        <v>10</v>
      </c>
      <c r="F19" s="374">
        <v>1</v>
      </c>
      <c r="G19" s="374">
        <v>0.3</v>
      </c>
      <c r="H19" s="374">
        <f>PRODUCT(C19:G19)</f>
        <v>3</v>
      </c>
    </row>
    <row r="20" spans="1:8" ht="19.899999999999999" customHeight="1">
      <c r="A20" s="385"/>
      <c r="B20" s="375"/>
      <c r="C20" s="373"/>
      <c r="D20" s="373"/>
      <c r="E20" s="370"/>
      <c r="F20" s="383" t="s">
        <v>2560</v>
      </c>
      <c r="G20" s="383">
        <f>+H19</f>
        <v>3</v>
      </c>
      <c r="H20" s="386" t="s">
        <v>1749</v>
      </c>
    </row>
    <row r="21" spans="1:8" ht="19.899999999999999" customHeight="1">
      <c r="A21" s="385">
        <v>2.7</v>
      </c>
      <c r="B21" s="375" t="s">
        <v>4289</v>
      </c>
      <c r="C21" s="373"/>
      <c r="D21" s="373"/>
      <c r="E21" s="370"/>
      <c r="F21" s="370"/>
      <c r="G21" s="370"/>
      <c r="H21" s="370"/>
    </row>
    <row r="22" spans="1:8" ht="19.899999999999999" customHeight="1">
      <c r="A22" s="374"/>
      <c r="B22" s="371" t="s">
        <v>4223</v>
      </c>
      <c r="C22" s="376">
        <v>1</v>
      </c>
      <c r="D22" s="376">
        <v>1</v>
      </c>
      <c r="E22" s="374">
        <v>10</v>
      </c>
      <c r="F22" s="374">
        <v>1</v>
      </c>
      <c r="G22" s="374">
        <v>0.3</v>
      </c>
      <c r="H22" s="374">
        <f>PRODUCT(C22:G22)</f>
        <v>3</v>
      </c>
    </row>
    <row r="23" spans="1:8" ht="19.899999999999999" customHeight="1">
      <c r="A23" s="369"/>
      <c r="B23" s="375"/>
      <c r="C23" s="373"/>
      <c r="D23" s="373"/>
      <c r="E23" s="370"/>
      <c r="F23" s="383" t="s">
        <v>2560</v>
      </c>
      <c r="G23" s="383">
        <f>+H22</f>
        <v>3</v>
      </c>
      <c r="H23" s="386" t="s">
        <v>1749</v>
      </c>
    </row>
    <row r="24" spans="1:8" ht="19.899999999999999" customHeight="1">
      <c r="A24" s="369">
        <v>3.1</v>
      </c>
      <c r="B24" s="375" t="s">
        <v>4226</v>
      </c>
      <c r="C24" s="373"/>
      <c r="D24" s="373"/>
      <c r="E24" s="370"/>
      <c r="F24" s="370"/>
      <c r="G24" s="370"/>
      <c r="H24" s="370"/>
    </row>
    <row r="25" spans="1:8" ht="19.899999999999999" customHeight="1">
      <c r="A25" s="374"/>
      <c r="B25" s="375" t="s">
        <v>4221</v>
      </c>
      <c r="C25" s="376">
        <v>1</v>
      </c>
      <c r="D25" s="376">
        <v>1</v>
      </c>
      <c r="E25" s="374">
        <v>5.75</v>
      </c>
      <c r="F25" s="374">
        <v>2.5</v>
      </c>
      <c r="G25" s="374">
        <v>0.1</v>
      </c>
      <c r="H25" s="370">
        <f>PRODUCT(C25:G25)</f>
        <v>1.44</v>
      </c>
    </row>
    <row r="26" spans="1:8" ht="19.899999999999999" customHeight="1">
      <c r="A26" s="374"/>
      <c r="B26" s="375" t="s">
        <v>4222</v>
      </c>
      <c r="C26" s="376">
        <v>1</v>
      </c>
      <c r="D26" s="376">
        <v>2</v>
      </c>
      <c r="E26" s="374">
        <v>1.36</v>
      </c>
      <c r="F26" s="374">
        <v>1.36</v>
      </c>
      <c r="G26" s="374">
        <v>0.1</v>
      </c>
      <c r="H26" s="370">
        <f>PRODUCT(C26:G26)</f>
        <v>0.37</v>
      </c>
    </row>
    <row r="27" spans="1:8" ht="19.899999999999999" customHeight="1">
      <c r="A27" s="374"/>
      <c r="B27" s="375"/>
      <c r="C27" s="376"/>
      <c r="D27" s="376"/>
      <c r="E27" s="374"/>
      <c r="F27" s="374"/>
      <c r="G27" s="374"/>
      <c r="H27" s="370">
        <v>0.09</v>
      </c>
    </row>
    <row r="28" spans="1:8" ht="19.899999999999999" customHeight="1">
      <c r="A28" s="369"/>
      <c r="B28" s="375"/>
      <c r="C28" s="373"/>
      <c r="D28" s="373"/>
      <c r="E28" s="370"/>
      <c r="F28" s="370"/>
      <c r="G28" s="383" t="s">
        <v>2560</v>
      </c>
      <c r="H28" s="383">
        <f>SUM(H25:H27)</f>
        <v>1.9</v>
      </c>
    </row>
    <row r="29" spans="1:8" ht="33" customHeight="1">
      <c r="A29" s="382">
        <v>6.5</v>
      </c>
      <c r="B29" s="1041" t="s">
        <v>4227</v>
      </c>
      <c r="C29" s="1042"/>
      <c r="D29" s="1042"/>
      <c r="E29" s="1042"/>
      <c r="F29" s="1042"/>
      <c r="G29" s="1043"/>
      <c r="H29" s="383"/>
    </row>
    <row r="30" spans="1:8" ht="19.899999999999999" customHeight="1">
      <c r="A30" s="374"/>
      <c r="B30" s="375" t="s">
        <v>4228</v>
      </c>
      <c r="C30" s="376"/>
      <c r="D30" s="376"/>
      <c r="E30" s="374"/>
      <c r="F30" s="374"/>
      <c r="G30" s="374"/>
      <c r="H30" s="374"/>
    </row>
    <row r="31" spans="1:8" ht="19.899999999999999" customHeight="1">
      <c r="A31" s="374"/>
      <c r="B31" s="375" t="s">
        <v>4229</v>
      </c>
      <c r="C31" s="376">
        <v>1</v>
      </c>
      <c r="D31" s="376">
        <v>1</v>
      </c>
      <c r="E31" s="374">
        <v>14.3</v>
      </c>
      <c r="F31" s="374">
        <v>0.45</v>
      </c>
      <c r="G31" s="374">
        <v>0.9</v>
      </c>
      <c r="H31" s="374">
        <f>PRODUCT(C31:G31)</f>
        <v>5.79</v>
      </c>
    </row>
    <row r="32" spans="1:8" ht="19.899999999999999" customHeight="1">
      <c r="A32" s="374"/>
      <c r="B32" s="375" t="s">
        <v>4230</v>
      </c>
      <c r="C32" s="376">
        <v>1</v>
      </c>
      <c r="D32" s="376">
        <v>1</v>
      </c>
      <c r="E32" s="374">
        <v>13.86</v>
      </c>
      <c r="F32" s="374">
        <v>0.34</v>
      </c>
      <c r="G32" s="374">
        <v>0.8</v>
      </c>
      <c r="H32" s="374">
        <f>PRODUCT(C32:G32)</f>
        <v>3.77</v>
      </c>
    </row>
    <row r="33" spans="1:8" ht="19.899999999999999" customHeight="1">
      <c r="A33" s="374"/>
      <c r="B33" s="375" t="s">
        <v>4231</v>
      </c>
      <c r="C33" s="376">
        <v>1</v>
      </c>
      <c r="D33" s="376">
        <v>1</v>
      </c>
      <c r="E33" s="374">
        <v>13.42</v>
      </c>
      <c r="F33" s="374">
        <v>0.23</v>
      </c>
      <c r="G33" s="374">
        <v>0.3</v>
      </c>
      <c r="H33" s="374">
        <f>PRODUCT(C33:G33)</f>
        <v>0.93</v>
      </c>
    </row>
    <row r="34" spans="1:8" ht="19.899999999999999" customHeight="1">
      <c r="A34" s="374"/>
      <c r="B34" s="375" t="s">
        <v>4222</v>
      </c>
      <c r="C34" s="376">
        <v>1</v>
      </c>
      <c r="D34" s="376">
        <v>2</v>
      </c>
      <c r="E34" s="374">
        <v>3.32</v>
      </c>
      <c r="F34" s="374">
        <v>0.23</v>
      </c>
      <c r="G34" s="374">
        <v>0.6</v>
      </c>
      <c r="H34" s="374">
        <f>PRODUCT(C34:G34)</f>
        <v>0.92</v>
      </c>
    </row>
    <row r="35" spans="1:8" ht="19.899999999999999" customHeight="1">
      <c r="A35" s="370"/>
      <c r="B35" s="375" t="s">
        <v>4232</v>
      </c>
      <c r="C35" s="373">
        <v>1</v>
      </c>
      <c r="D35" s="373">
        <v>2</v>
      </c>
      <c r="E35" s="370">
        <v>3</v>
      </c>
      <c r="F35" s="370">
        <v>0.23</v>
      </c>
      <c r="G35" s="370">
        <v>1.2</v>
      </c>
      <c r="H35" s="374">
        <f>PRODUCT(C35:G35)</f>
        <v>1.66</v>
      </c>
    </row>
    <row r="36" spans="1:8" ht="19.899999999999999" customHeight="1">
      <c r="A36" s="377"/>
      <c r="B36" s="378" t="s">
        <v>10</v>
      </c>
      <c r="C36" s="379"/>
      <c r="D36" s="379"/>
      <c r="E36" s="377"/>
      <c r="F36" s="377"/>
      <c r="G36" s="377"/>
      <c r="H36" s="377">
        <v>0.03</v>
      </c>
    </row>
    <row r="37" spans="1:8" ht="19.899999999999999" customHeight="1">
      <c r="A37" s="377"/>
      <c r="B37" s="378"/>
      <c r="C37" s="379"/>
      <c r="D37" s="379"/>
      <c r="E37" s="377"/>
      <c r="F37" s="377"/>
      <c r="G37" s="380" t="s">
        <v>2560</v>
      </c>
      <c r="H37" s="380">
        <f>SUM(H31:H36)</f>
        <v>13.1</v>
      </c>
    </row>
    <row r="38" spans="1:8" ht="19.899999999999999" customHeight="1">
      <c r="A38" s="382">
        <v>4.0999999999999996</v>
      </c>
      <c r="B38" s="1041" t="s">
        <v>2407</v>
      </c>
      <c r="C38" s="1042"/>
      <c r="D38" s="1042"/>
      <c r="E38" s="1042"/>
      <c r="F38" s="1042"/>
      <c r="G38" s="1043"/>
      <c r="H38" s="370"/>
    </row>
    <row r="39" spans="1:8" ht="19.899999999999999" customHeight="1">
      <c r="A39" s="369"/>
      <c r="B39" s="375" t="s">
        <v>4233</v>
      </c>
      <c r="C39" s="373">
        <v>1</v>
      </c>
      <c r="D39" s="373">
        <v>1</v>
      </c>
      <c r="E39" s="370">
        <v>5.75</v>
      </c>
      <c r="F39" s="370">
        <v>2.5</v>
      </c>
      <c r="G39" s="370">
        <v>0.15</v>
      </c>
      <c r="H39" s="370">
        <f>PRODUCT(C39:G39)</f>
        <v>2.16</v>
      </c>
    </row>
    <row r="40" spans="1:8" ht="19.899999999999999" customHeight="1">
      <c r="A40" s="370"/>
      <c r="B40" s="375" t="s">
        <v>4234</v>
      </c>
      <c r="C40" s="373">
        <v>1</v>
      </c>
      <c r="D40" s="373">
        <v>1</v>
      </c>
      <c r="E40" s="370">
        <v>4.96</v>
      </c>
      <c r="F40" s="370">
        <v>1.96</v>
      </c>
      <c r="G40" s="387">
        <v>0.15</v>
      </c>
      <c r="H40" s="370">
        <f>PRODUCT(C40:G40)</f>
        <v>1.46</v>
      </c>
    </row>
    <row r="41" spans="1:8" ht="19.899999999999999" customHeight="1">
      <c r="A41" s="370"/>
      <c r="B41" s="375" t="s">
        <v>4235</v>
      </c>
      <c r="C41" s="373">
        <v>1</v>
      </c>
      <c r="D41" s="373">
        <v>-2</v>
      </c>
      <c r="E41" s="370">
        <v>0.6</v>
      </c>
      <c r="F41" s="370">
        <v>0.6</v>
      </c>
      <c r="G41" s="370">
        <v>0.15</v>
      </c>
      <c r="H41" s="370">
        <f>PRODUCT(C41:G41)</f>
        <v>-0.11</v>
      </c>
    </row>
    <row r="42" spans="1:8" ht="19.899999999999999" customHeight="1">
      <c r="A42" s="374"/>
      <c r="B42" s="375" t="s">
        <v>4236</v>
      </c>
      <c r="C42" s="376">
        <v>1</v>
      </c>
      <c r="D42" s="376">
        <v>1</v>
      </c>
      <c r="E42" s="374">
        <v>1.96</v>
      </c>
      <c r="F42" s="374">
        <v>0.23</v>
      </c>
      <c r="G42" s="374">
        <v>0.23</v>
      </c>
      <c r="H42" s="374">
        <v>0.09</v>
      </c>
    </row>
    <row r="43" spans="1:8" ht="19.899999999999999" customHeight="1">
      <c r="A43" s="377"/>
      <c r="B43" s="378"/>
      <c r="C43" s="379"/>
      <c r="D43" s="379"/>
      <c r="E43" s="377"/>
      <c r="F43" s="377"/>
      <c r="G43" s="377"/>
      <c r="H43" s="377">
        <f>SUM(H39:H42)</f>
        <v>3.6</v>
      </c>
    </row>
    <row r="44" spans="1:8" ht="19.899999999999999" customHeight="1">
      <c r="A44" s="369"/>
      <c r="B44" s="375"/>
      <c r="C44" s="373"/>
      <c r="D44" s="373"/>
      <c r="E44" s="370"/>
      <c r="F44" s="383" t="s">
        <v>2560</v>
      </c>
      <c r="G44" s="383">
        <f>H43</f>
        <v>3.6</v>
      </c>
      <c r="H44" s="386" t="s">
        <v>1749</v>
      </c>
    </row>
    <row r="45" spans="1:8" ht="19.899999999999999" customHeight="1">
      <c r="A45" s="382">
        <v>18.100000000000001</v>
      </c>
      <c r="B45" s="375" t="s">
        <v>4237</v>
      </c>
      <c r="C45" s="373"/>
      <c r="D45" s="373"/>
      <c r="E45" s="370"/>
      <c r="F45" s="383"/>
      <c r="G45" s="383"/>
      <c r="H45" s="383"/>
    </row>
    <row r="46" spans="1:8" ht="33" customHeight="1">
      <c r="A46" s="370"/>
      <c r="B46" s="1051" t="s">
        <v>4238</v>
      </c>
      <c r="C46" s="1052"/>
      <c r="D46" s="1052"/>
      <c r="E46" s="1052"/>
      <c r="F46" s="1052"/>
      <c r="G46" s="1053"/>
      <c r="H46" s="383"/>
    </row>
    <row r="47" spans="1:8" ht="19.899999999999999" customHeight="1">
      <c r="A47" s="370"/>
      <c r="B47" s="375" t="s">
        <v>4239</v>
      </c>
      <c r="C47" s="373">
        <v>1</v>
      </c>
      <c r="D47" s="373">
        <v>1</v>
      </c>
      <c r="E47" s="370">
        <v>4.75</v>
      </c>
      <c r="F47" s="370">
        <v>1.5</v>
      </c>
      <c r="G47" s="388" t="s">
        <v>1288</v>
      </c>
      <c r="H47" s="370">
        <f>PRODUCT(C47:G47)</f>
        <v>7.13</v>
      </c>
    </row>
    <row r="48" spans="1:8" ht="19.899999999999999" customHeight="1">
      <c r="A48" s="370"/>
      <c r="B48" s="375" t="s">
        <v>4240</v>
      </c>
      <c r="C48" s="373">
        <v>1</v>
      </c>
      <c r="D48" s="373">
        <v>1</v>
      </c>
      <c r="E48" s="370">
        <v>13.84</v>
      </c>
      <c r="F48" s="388" t="s">
        <v>1288</v>
      </c>
      <c r="G48" s="370">
        <v>0.15</v>
      </c>
      <c r="H48" s="370">
        <f>PRODUCT(C48:G48)</f>
        <v>2.08</v>
      </c>
    </row>
    <row r="49" spans="1:8" ht="19.899999999999999" customHeight="1">
      <c r="A49" s="370"/>
      <c r="B49" s="375" t="s">
        <v>4235</v>
      </c>
      <c r="C49" s="373">
        <v>1</v>
      </c>
      <c r="D49" s="373">
        <v>-2</v>
      </c>
      <c r="E49" s="370">
        <v>0.6</v>
      </c>
      <c r="F49" s="370">
        <v>0.6</v>
      </c>
      <c r="G49" s="388" t="s">
        <v>1288</v>
      </c>
      <c r="H49" s="370">
        <f>PRODUCT(C49:G49)</f>
        <v>-0.72</v>
      </c>
    </row>
    <row r="50" spans="1:8" ht="19.899999999999999" customHeight="1">
      <c r="A50" s="370"/>
      <c r="B50" s="375" t="s">
        <v>4241</v>
      </c>
      <c r="C50" s="373">
        <v>1</v>
      </c>
      <c r="D50" s="373">
        <v>2</v>
      </c>
      <c r="E50" s="370">
        <f>0.6*4</f>
        <v>2.4</v>
      </c>
      <c r="F50" s="388" t="s">
        <v>1288</v>
      </c>
      <c r="G50" s="370">
        <v>0.15</v>
      </c>
      <c r="H50" s="370">
        <f>PRODUCT(C50:G50)</f>
        <v>0.72</v>
      </c>
    </row>
    <row r="51" spans="1:8" ht="19.899999999999999" customHeight="1">
      <c r="A51" s="370"/>
      <c r="B51" s="375" t="s">
        <v>4242</v>
      </c>
      <c r="C51" s="373">
        <v>1</v>
      </c>
      <c r="D51" s="373">
        <v>1</v>
      </c>
      <c r="E51" s="370">
        <v>3</v>
      </c>
      <c r="F51" s="388" t="s">
        <v>1288</v>
      </c>
      <c r="G51" s="370">
        <f>0.23+0.3+0.3</f>
        <v>0.83</v>
      </c>
      <c r="H51" s="370">
        <f>PRODUCT(C51:G51)</f>
        <v>2.4900000000000002</v>
      </c>
    </row>
    <row r="52" spans="1:8" ht="19.899999999999999" customHeight="1">
      <c r="A52" s="377"/>
      <c r="B52" s="378"/>
      <c r="C52" s="379"/>
      <c r="D52" s="379"/>
      <c r="E52" s="377"/>
      <c r="F52" s="377"/>
      <c r="G52" s="377"/>
      <c r="H52" s="377"/>
    </row>
    <row r="53" spans="1:8" ht="19.899999999999999" customHeight="1">
      <c r="A53" s="377"/>
      <c r="B53" s="378"/>
      <c r="C53" s="379"/>
      <c r="D53" s="379"/>
      <c r="E53" s="377"/>
      <c r="F53" s="377"/>
      <c r="G53" s="377"/>
      <c r="H53" s="377">
        <f>SUM(H47:H52)</f>
        <v>11.7</v>
      </c>
    </row>
    <row r="54" spans="1:8" ht="19.899999999999999" customHeight="1">
      <c r="A54" s="369"/>
      <c r="B54" s="375"/>
      <c r="C54" s="373"/>
      <c r="D54" s="373"/>
      <c r="E54" s="370"/>
      <c r="F54" s="383" t="s">
        <v>2560</v>
      </c>
      <c r="G54" s="383">
        <f>H53</f>
        <v>11.7</v>
      </c>
      <c r="H54" s="386" t="s">
        <v>1861</v>
      </c>
    </row>
    <row r="55" spans="1:8" ht="33" customHeight="1">
      <c r="A55" s="382">
        <v>53.4</v>
      </c>
      <c r="B55" s="375" t="s">
        <v>51</v>
      </c>
      <c r="C55" s="373">
        <v>1</v>
      </c>
      <c r="D55" s="373">
        <v>2</v>
      </c>
      <c r="E55" s="388" t="s">
        <v>1288</v>
      </c>
      <c r="F55" s="388" t="s">
        <v>1288</v>
      </c>
      <c r="G55" s="388" t="s">
        <v>1288</v>
      </c>
      <c r="H55" s="370">
        <f>PRODUCT(C55:G55)</f>
        <v>2</v>
      </c>
    </row>
    <row r="56" spans="1:8" ht="19.899999999999999" customHeight="1">
      <c r="A56" s="370"/>
      <c r="B56" s="375"/>
      <c r="C56" s="373"/>
      <c r="D56" s="373"/>
      <c r="E56" s="370"/>
      <c r="F56" s="383" t="s">
        <v>2560</v>
      </c>
      <c r="G56" s="383">
        <f>+H55</f>
        <v>2</v>
      </c>
      <c r="H56" s="386" t="s">
        <v>1166</v>
      </c>
    </row>
    <row r="57" spans="1:8" ht="33" customHeight="1">
      <c r="A57" s="370" t="s">
        <v>917</v>
      </c>
      <c r="B57" s="1041" t="s">
        <v>4243</v>
      </c>
      <c r="C57" s="1042"/>
      <c r="D57" s="1042"/>
      <c r="E57" s="1042"/>
      <c r="F57" s="1042"/>
      <c r="G57" s="1043"/>
      <c r="H57" s="370"/>
    </row>
    <row r="58" spans="1:8" ht="19.899999999999999" customHeight="1">
      <c r="A58" s="370"/>
      <c r="B58" s="375" t="s">
        <v>4244</v>
      </c>
      <c r="C58" s="373">
        <v>1</v>
      </c>
      <c r="D58" s="373">
        <v>2</v>
      </c>
      <c r="E58" s="370">
        <v>0.83</v>
      </c>
      <c r="F58" s="370">
        <v>1.06</v>
      </c>
      <c r="G58" s="388" t="s">
        <v>1288</v>
      </c>
      <c r="H58" s="370">
        <f>PRODUCT(C58:G58)</f>
        <v>1.76</v>
      </c>
    </row>
    <row r="59" spans="1:8" ht="19.899999999999999" customHeight="1">
      <c r="A59" s="377"/>
      <c r="B59" s="378" t="s">
        <v>10</v>
      </c>
      <c r="C59" s="379"/>
      <c r="D59" s="379"/>
      <c r="E59" s="377"/>
      <c r="F59" s="377"/>
      <c r="G59" s="377"/>
      <c r="H59" s="377">
        <v>0.04</v>
      </c>
    </row>
    <row r="60" spans="1:8" ht="19.899999999999999" customHeight="1">
      <c r="A60" s="377"/>
      <c r="B60" s="378"/>
      <c r="C60" s="379"/>
      <c r="D60" s="379"/>
      <c r="E60" s="377"/>
      <c r="F60" s="377"/>
      <c r="G60" s="377"/>
      <c r="H60" s="380">
        <f>SUM(H58:H59)</f>
        <v>1.8</v>
      </c>
    </row>
    <row r="61" spans="1:8" ht="19.899999999999999" customHeight="1">
      <c r="A61" s="369"/>
      <c r="B61" s="375"/>
      <c r="C61" s="373"/>
      <c r="D61" s="373"/>
      <c r="E61" s="370"/>
      <c r="F61" s="383" t="s">
        <v>2560</v>
      </c>
      <c r="G61" s="383">
        <f>+H60</f>
        <v>1.8</v>
      </c>
      <c r="H61" s="386" t="s">
        <v>1861</v>
      </c>
    </row>
    <row r="62" spans="1:8" ht="19.899999999999999" customHeight="1">
      <c r="A62" s="382">
        <v>28</v>
      </c>
      <c r="B62" s="375" t="s">
        <v>4245</v>
      </c>
      <c r="C62" s="373"/>
      <c r="D62" s="373"/>
      <c r="E62" s="370"/>
      <c r="F62" s="370"/>
      <c r="G62" s="370"/>
      <c r="H62" s="370"/>
    </row>
    <row r="63" spans="1:8" ht="19.899999999999999" customHeight="1">
      <c r="A63" s="374"/>
      <c r="B63" s="371" t="s">
        <v>4246</v>
      </c>
      <c r="C63" s="376">
        <v>1</v>
      </c>
      <c r="D63" s="376">
        <v>2</v>
      </c>
      <c r="E63" s="374">
        <v>0.6</v>
      </c>
      <c r="F63" s="374">
        <v>0.6</v>
      </c>
      <c r="G63" s="388" t="s">
        <v>1288</v>
      </c>
      <c r="H63" s="370">
        <f>PRODUCT(C63:G63)</f>
        <v>0.72</v>
      </c>
    </row>
    <row r="64" spans="1:8" ht="19.899999999999999" customHeight="1">
      <c r="A64" s="377"/>
      <c r="B64" s="378"/>
      <c r="C64" s="379"/>
      <c r="D64" s="379"/>
      <c r="E64" s="377"/>
      <c r="F64" s="377"/>
      <c r="G64" s="377"/>
      <c r="H64" s="389">
        <v>0.08</v>
      </c>
    </row>
    <row r="65" spans="1:8" ht="19.899999999999999" customHeight="1">
      <c r="A65" s="377"/>
      <c r="B65" s="378"/>
      <c r="C65" s="379"/>
      <c r="D65" s="379"/>
      <c r="E65" s="377"/>
      <c r="F65" s="377"/>
      <c r="G65" s="380" t="s">
        <v>2560</v>
      </c>
      <c r="H65" s="380">
        <f>SUM(H63:H64)</f>
        <v>0.8</v>
      </c>
    </row>
    <row r="66" spans="1:8" ht="19.899999999999999" customHeight="1">
      <c r="A66" s="382">
        <v>30</v>
      </c>
      <c r="B66" s="375" t="s">
        <v>4247</v>
      </c>
      <c r="C66" s="373"/>
      <c r="D66" s="373"/>
      <c r="E66" s="370"/>
      <c r="F66" s="370"/>
      <c r="G66" s="370"/>
      <c r="H66" s="370"/>
    </row>
    <row r="67" spans="1:8" ht="19.899999999999999" customHeight="1">
      <c r="A67" s="370"/>
      <c r="B67" s="375" t="s">
        <v>4248</v>
      </c>
      <c r="C67" s="373">
        <v>1</v>
      </c>
      <c r="D67" s="373">
        <v>1</v>
      </c>
      <c r="E67" s="370">
        <v>4.96</v>
      </c>
      <c r="F67" s="370">
        <v>1.96</v>
      </c>
      <c r="G67" s="388" t="s">
        <v>1288</v>
      </c>
      <c r="H67" s="370">
        <f>PRODUCT(C67:G67)</f>
        <v>9.7200000000000006</v>
      </c>
    </row>
    <row r="68" spans="1:8" ht="19.899999999999999" customHeight="1">
      <c r="A68" s="370"/>
      <c r="B68" s="375" t="s">
        <v>4249</v>
      </c>
      <c r="C68" s="373">
        <v>1</v>
      </c>
      <c r="D68" s="373">
        <v>-2</v>
      </c>
      <c r="E68" s="370">
        <v>0.6</v>
      </c>
      <c r="F68" s="370">
        <v>0.6</v>
      </c>
      <c r="G68" s="388" t="s">
        <v>1288</v>
      </c>
      <c r="H68" s="370">
        <f>PRODUCT(C68:G68)</f>
        <v>-0.72</v>
      </c>
    </row>
    <row r="69" spans="1:8" ht="19.899999999999999" customHeight="1">
      <c r="A69" s="377"/>
      <c r="B69" s="378"/>
      <c r="C69" s="379"/>
      <c r="D69" s="379"/>
      <c r="E69" s="377"/>
      <c r="F69" s="377"/>
      <c r="G69" s="380" t="s">
        <v>2560</v>
      </c>
      <c r="H69" s="380">
        <f>SUM(H67:H68)</f>
        <v>9</v>
      </c>
    </row>
    <row r="70" spans="1:8" ht="19.899999999999999" customHeight="1">
      <c r="A70" s="369">
        <v>33</v>
      </c>
      <c r="B70" s="375" t="s">
        <v>4250</v>
      </c>
      <c r="C70" s="373"/>
      <c r="D70" s="373"/>
      <c r="E70" s="370"/>
      <c r="F70" s="370"/>
      <c r="G70" s="370"/>
      <c r="H70" s="370"/>
    </row>
    <row r="71" spans="1:8" ht="19.899999999999999" customHeight="1">
      <c r="A71" s="374"/>
      <c r="B71" s="375" t="s">
        <v>4251</v>
      </c>
      <c r="C71" s="376"/>
      <c r="D71" s="376"/>
      <c r="E71" s="374"/>
      <c r="F71" s="374"/>
      <c r="G71" s="374"/>
      <c r="H71" s="374"/>
    </row>
    <row r="72" spans="1:8" ht="19.899999999999999" customHeight="1">
      <c r="A72" s="374"/>
      <c r="B72" s="375" t="s">
        <v>4229</v>
      </c>
      <c r="C72" s="376">
        <v>1</v>
      </c>
      <c r="D72" s="376">
        <v>1</v>
      </c>
      <c r="E72" s="374">
        <v>16.100000000000001</v>
      </c>
      <c r="F72" s="388" t="s">
        <v>1288</v>
      </c>
      <c r="G72" s="374">
        <v>0.9</v>
      </c>
      <c r="H72" s="374">
        <v>9.4499999999999993</v>
      </c>
    </row>
    <row r="73" spans="1:8" ht="19.899999999999999" customHeight="1">
      <c r="A73" s="374"/>
      <c r="B73" s="375" t="s">
        <v>4230</v>
      </c>
      <c r="C73" s="376">
        <v>1</v>
      </c>
      <c r="D73" s="376">
        <v>1</v>
      </c>
      <c r="E73" s="374">
        <v>15.22</v>
      </c>
      <c r="F73" s="388" t="s">
        <v>1288</v>
      </c>
      <c r="G73" s="374">
        <v>0.8</v>
      </c>
      <c r="H73" s="374">
        <v>10.55</v>
      </c>
    </row>
    <row r="74" spans="1:8" ht="19.899999999999999" customHeight="1">
      <c r="A74" s="374"/>
      <c r="B74" s="375" t="s">
        <v>4231</v>
      </c>
      <c r="C74" s="376">
        <v>1</v>
      </c>
      <c r="D74" s="376">
        <v>1</v>
      </c>
      <c r="E74" s="374">
        <v>13.84</v>
      </c>
      <c r="F74" s="388" t="s">
        <v>1288</v>
      </c>
      <c r="G74" s="374">
        <v>0.3</v>
      </c>
      <c r="H74" s="374">
        <v>7.59</v>
      </c>
    </row>
    <row r="75" spans="1:8" ht="19.899999999999999" customHeight="1">
      <c r="A75" s="374"/>
      <c r="B75" s="375" t="s">
        <v>4252</v>
      </c>
      <c r="C75" s="376">
        <v>1</v>
      </c>
      <c r="D75" s="376">
        <v>1</v>
      </c>
      <c r="E75" s="374">
        <v>16.100000000000001</v>
      </c>
      <c r="F75" s="374">
        <v>0.11</v>
      </c>
      <c r="G75" s="388" t="s">
        <v>1288</v>
      </c>
      <c r="H75" s="374">
        <v>1.39</v>
      </c>
    </row>
    <row r="76" spans="1:8" ht="19.899999999999999" customHeight="1">
      <c r="A76" s="374"/>
      <c r="B76" s="375" t="s">
        <v>4253</v>
      </c>
      <c r="C76" s="376">
        <v>1</v>
      </c>
      <c r="D76" s="376">
        <v>1</v>
      </c>
      <c r="E76" s="374">
        <v>15.22</v>
      </c>
      <c r="F76" s="374">
        <v>0.11</v>
      </c>
      <c r="G76" s="388" t="s">
        <v>1288</v>
      </c>
      <c r="H76" s="374">
        <v>1.29</v>
      </c>
    </row>
    <row r="77" spans="1:8" ht="19.899999999999999" customHeight="1">
      <c r="A77" s="374"/>
      <c r="B77" s="375" t="s">
        <v>4254</v>
      </c>
      <c r="C77" s="376">
        <v>1</v>
      </c>
      <c r="D77" s="376">
        <v>7</v>
      </c>
      <c r="E77" s="374">
        <v>4.24</v>
      </c>
      <c r="F77" s="388" t="s">
        <v>1288</v>
      </c>
      <c r="G77" s="374">
        <v>0.6</v>
      </c>
      <c r="H77" s="374">
        <v>17.809999999999999</v>
      </c>
    </row>
    <row r="78" spans="1:8" ht="19.899999999999999" customHeight="1">
      <c r="A78" s="374"/>
      <c r="B78" s="375"/>
      <c r="C78" s="376"/>
      <c r="D78" s="376"/>
      <c r="E78" s="374"/>
      <c r="F78" s="374"/>
      <c r="G78" s="374"/>
      <c r="H78" s="374">
        <v>0.02</v>
      </c>
    </row>
    <row r="79" spans="1:8" ht="19.899999999999999" customHeight="1">
      <c r="A79" s="374"/>
      <c r="B79" s="375"/>
      <c r="C79" s="376"/>
      <c r="D79" s="376"/>
      <c r="E79" s="374"/>
      <c r="F79" s="374"/>
      <c r="G79" s="390" t="s">
        <v>2560</v>
      </c>
      <c r="H79" s="390">
        <f>SUM(H72:H78)</f>
        <v>48.1</v>
      </c>
    </row>
    <row r="80" spans="1:8" ht="19.899999999999999" customHeight="1">
      <c r="A80" s="369">
        <v>34</v>
      </c>
      <c r="B80" s="375" t="s">
        <v>4255</v>
      </c>
      <c r="C80" s="373"/>
      <c r="D80" s="373"/>
      <c r="E80" s="370"/>
      <c r="F80" s="370"/>
      <c r="G80" s="370"/>
      <c r="H80" s="383"/>
    </row>
    <row r="81" spans="1:8" ht="19.899999999999999" customHeight="1">
      <c r="A81" s="374"/>
      <c r="B81" s="375" t="s">
        <v>4256</v>
      </c>
      <c r="C81" s="376">
        <v>1</v>
      </c>
      <c r="D81" s="376">
        <v>1</v>
      </c>
      <c r="E81" s="374">
        <v>12.5</v>
      </c>
      <c r="F81" s="388" t="s">
        <v>1288</v>
      </c>
      <c r="G81" s="374">
        <v>2</v>
      </c>
      <c r="H81" s="374">
        <v>21.15</v>
      </c>
    </row>
    <row r="82" spans="1:8" ht="19.899999999999999" customHeight="1">
      <c r="A82" s="374"/>
      <c r="B82" s="375" t="s">
        <v>4257</v>
      </c>
      <c r="C82" s="376">
        <v>1</v>
      </c>
      <c r="D82" s="376">
        <v>2</v>
      </c>
      <c r="E82" s="374">
        <v>1.5</v>
      </c>
      <c r="F82" s="388" t="s">
        <v>1288</v>
      </c>
      <c r="G82" s="374">
        <v>2</v>
      </c>
      <c r="H82" s="374">
        <v>6</v>
      </c>
    </row>
    <row r="83" spans="1:8" ht="19.899999999999999" customHeight="1">
      <c r="A83" s="374"/>
      <c r="B83" s="375" t="s">
        <v>4257</v>
      </c>
      <c r="C83" s="376">
        <v>1</v>
      </c>
      <c r="D83" s="376">
        <v>2</v>
      </c>
      <c r="E83" s="374">
        <v>1.5</v>
      </c>
      <c r="F83" s="388" t="s">
        <v>1288</v>
      </c>
      <c r="G83" s="374">
        <v>1</v>
      </c>
      <c r="H83" s="374">
        <v>3</v>
      </c>
    </row>
    <row r="84" spans="1:8" ht="19.899999999999999" customHeight="1">
      <c r="A84" s="374"/>
      <c r="B84" s="375" t="s">
        <v>4258</v>
      </c>
      <c r="C84" s="376">
        <v>1</v>
      </c>
      <c r="D84" s="376">
        <v>2</v>
      </c>
      <c r="E84" s="374">
        <v>1.5</v>
      </c>
      <c r="F84" s="374">
        <v>0.115</v>
      </c>
      <c r="G84" s="388" t="s">
        <v>1288</v>
      </c>
      <c r="H84" s="374">
        <v>0.35</v>
      </c>
    </row>
    <row r="85" spans="1:8" ht="19.899999999999999" customHeight="1">
      <c r="A85" s="369"/>
      <c r="B85" s="375" t="s">
        <v>4259</v>
      </c>
      <c r="C85" s="373">
        <v>1</v>
      </c>
      <c r="D85" s="373">
        <v>1</v>
      </c>
      <c r="E85" s="370">
        <v>4.75</v>
      </c>
      <c r="F85" s="370">
        <v>1.5</v>
      </c>
      <c r="G85" s="388" t="s">
        <v>1288</v>
      </c>
      <c r="H85" s="370">
        <f>PRODUCT(C85:G85)</f>
        <v>7.13</v>
      </c>
    </row>
    <row r="86" spans="1:8" ht="19.899999999999999" customHeight="1">
      <c r="A86" s="369"/>
      <c r="B86" s="375" t="s">
        <v>4260</v>
      </c>
      <c r="C86" s="373">
        <v>1</v>
      </c>
      <c r="D86" s="373">
        <v>2</v>
      </c>
      <c r="E86" s="370">
        <v>2.4</v>
      </c>
      <c r="F86" s="370">
        <v>0.6</v>
      </c>
      <c r="G86" s="388" t="s">
        <v>1288</v>
      </c>
      <c r="H86" s="370">
        <f>PRODUCT(C86:G86)</f>
        <v>2.88</v>
      </c>
    </row>
    <row r="87" spans="1:8" ht="19.899999999999999" customHeight="1">
      <c r="A87" s="369"/>
      <c r="B87" s="375" t="s">
        <v>4258</v>
      </c>
      <c r="C87" s="373">
        <v>1</v>
      </c>
      <c r="D87" s="373">
        <v>1</v>
      </c>
      <c r="E87" s="370">
        <v>2.2599999999999998</v>
      </c>
      <c r="F87" s="370">
        <v>0.23</v>
      </c>
      <c r="G87" s="388"/>
      <c r="H87" s="370">
        <f>PRODUCT(C87:G87)</f>
        <v>0.52</v>
      </c>
    </row>
    <row r="88" spans="1:8" ht="19.899999999999999" customHeight="1">
      <c r="A88" s="369"/>
      <c r="B88" s="375"/>
      <c r="C88" s="373"/>
      <c r="D88" s="373"/>
      <c r="E88" s="370"/>
      <c r="F88" s="370"/>
      <c r="G88" s="370"/>
      <c r="H88" s="370">
        <v>7.0000000000000007E-2</v>
      </c>
    </row>
    <row r="89" spans="1:8" ht="19.899999999999999" customHeight="1">
      <c r="A89" s="369"/>
      <c r="B89" s="375"/>
      <c r="C89" s="373"/>
      <c r="D89" s="373"/>
      <c r="E89" s="370"/>
      <c r="F89" s="370"/>
      <c r="G89" s="383" t="s">
        <v>2560</v>
      </c>
      <c r="H89" s="383">
        <f>SUM(H81:H88)</f>
        <v>41.1</v>
      </c>
    </row>
    <row r="90" spans="1:8" ht="19.899999999999999" customHeight="1">
      <c r="A90" s="369">
        <v>58.5</v>
      </c>
      <c r="B90" s="1041" t="s">
        <v>4261</v>
      </c>
      <c r="C90" s="1042"/>
      <c r="D90" s="1042"/>
      <c r="E90" s="1042"/>
      <c r="F90" s="1042"/>
      <c r="G90" s="1043"/>
      <c r="H90" s="370"/>
    </row>
    <row r="91" spans="1:8" ht="19.899999999999999" customHeight="1">
      <c r="A91" s="369"/>
      <c r="B91" s="375" t="s">
        <v>4262</v>
      </c>
      <c r="C91" s="373">
        <v>1</v>
      </c>
      <c r="D91" s="373">
        <v>1</v>
      </c>
      <c r="E91" s="370"/>
      <c r="F91" s="370"/>
      <c r="G91" s="370"/>
      <c r="H91" s="370">
        <f>PRODUCT(C91:G91)</f>
        <v>1</v>
      </c>
    </row>
    <row r="92" spans="1:8" ht="19.899999999999999" customHeight="1">
      <c r="A92" s="369"/>
      <c r="B92" s="375"/>
      <c r="C92" s="373"/>
      <c r="D92" s="373"/>
      <c r="E92" s="370"/>
      <c r="F92" s="383" t="s">
        <v>2560</v>
      </c>
      <c r="G92" s="383">
        <f>+H91</f>
        <v>1</v>
      </c>
      <c r="H92" s="386" t="s">
        <v>1130</v>
      </c>
    </row>
    <row r="93" spans="1:8" ht="19.899999999999999" customHeight="1">
      <c r="A93" s="369">
        <v>43.1</v>
      </c>
      <c r="B93" s="1041" t="s">
        <v>4263</v>
      </c>
      <c r="C93" s="1042"/>
      <c r="D93" s="1042"/>
      <c r="E93" s="1042"/>
      <c r="F93" s="1042"/>
      <c r="G93" s="1043"/>
      <c r="H93" s="370"/>
    </row>
    <row r="94" spans="1:8" ht="19.899999999999999" customHeight="1">
      <c r="A94" s="369"/>
      <c r="B94" s="375" t="s">
        <v>4264</v>
      </c>
      <c r="C94" s="391"/>
      <c r="D94" s="391"/>
      <c r="E94" s="370"/>
      <c r="F94" s="370">
        <f>G44</f>
        <v>3.6</v>
      </c>
      <c r="G94" s="370">
        <v>120</v>
      </c>
      <c r="H94" s="370">
        <f>G94*F94</f>
        <v>432</v>
      </c>
    </row>
    <row r="95" spans="1:8" ht="19.899999999999999" customHeight="1">
      <c r="A95" s="369"/>
      <c r="B95" s="375"/>
      <c r="C95" s="373"/>
      <c r="D95" s="373"/>
      <c r="E95" s="370"/>
      <c r="F95" s="383" t="s">
        <v>2560</v>
      </c>
      <c r="G95" s="392">
        <f>H94/1000</f>
        <v>0.432</v>
      </c>
      <c r="H95" s="386" t="s">
        <v>427</v>
      </c>
    </row>
    <row r="96" spans="1:8" ht="19.899999999999999" customHeight="1">
      <c r="A96" s="369">
        <v>61.1</v>
      </c>
      <c r="B96" s="375" t="s">
        <v>4265</v>
      </c>
      <c r="C96" s="373"/>
      <c r="D96" s="373"/>
      <c r="E96" s="370"/>
      <c r="F96" s="370"/>
      <c r="G96" s="370"/>
      <c r="H96" s="370"/>
    </row>
    <row r="97" spans="1:8" ht="19.899999999999999" customHeight="1">
      <c r="A97" s="369"/>
      <c r="B97" s="375" t="s">
        <v>4266</v>
      </c>
      <c r="C97" s="373"/>
      <c r="D97" s="373"/>
      <c r="E97" s="370"/>
      <c r="F97" s="370"/>
      <c r="G97" s="370"/>
      <c r="H97" s="370"/>
    </row>
    <row r="98" spans="1:8" ht="19.899999999999999" customHeight="1">
      <c r="A98" s="369"/>
      <c r="B98" s="375" t="s">
        <v>3313</v>
      </c>
      <c r="C98" s="373">
        <v>1</v>
      </c>
      <c r="D98" s="373">
        <v>1</v>
      </c>
      <c r="E98" s="370">
        <v>5</v>
      </c>
      <c r="F98" s="388" t="s">
        <v>1288</v>
      </c>
      <c r="G98" s="388" t="s">
        <v>1288</v>
      </c>
      <c r="H98" s="370">
        <f>PRODUCT(C98:G98)</f>
        <v>5</v>
      </c>
    </row>
    <row r="99" spans="1:8" ht="19.899999999999999" customHeight="1">
      <c r="A99" s="369"/>
      <c r="B99" s="375" t="s">
        <v>4267</v>
      </c>
      <c r="C99" s="373">
        <v>1</v>
      </c>
      <c r="D99" s="373">
        <v>1</v>
      </c>
      <c r="E99" s="370">
        <v>10</v>
      </c>
      <c r="F99" s="388" t="s">
        <v>1288</v>
      </c>
      <c r="G99" s="388" t="s">
        <v>1288</v>
      </c>
      <c r="H99" s="370">
        <f>PRODUCT(C99:G99)</f>
        <v>10</v>
      </c>
    </row>
    <row r="100" spans="1:8" ht="19.899999999999999" customHeight="1">
      <c r="A100" s="377"/>
      <c r="B100" s="378"/>
      <c r="C100" s="379"/>
      <c r="D100" s="379"/>
      <c r="E100" s="377"/>
      <c r="F100" s="377"/>
      <c r="G100" s="377"/>
      <c r="H100" s="377">
        <f>SUM(H98:H99)</f>
        <v>15</v>
      </c>
    </row>
    <row r="101" spans="1:8" ht="19.899999999999999" customHeight="1">
      <c r="A101" s="369"/>
      <c r="B101" s="375"/>
      <c r="C101" s="373"/>
      <c r="D101" s="373"/>
      <c r="E101" s="370"/>
      <c r="F101" s="383" t="s">
        <v>2560</v>
      </c>
      <c r="G101" s="383">
        <f>+H100</f>
        <v>15</v>
      </c>
      <c r="H101" s="386" t="s">
        <v>669</v>
      </c>
    </row>
    <row r="102" spans="1:8" ht="19.899999999999999" customHeight="1">
      <c r="A102" s="369"/>
      <c r="B102" s="375" t="s">
        <v>4268</v>
      </c>
      <c r="C102" s="373"/>
      <c r="D102" s="373"/>
      <c r="E102" s="370"/>
      <c r="F102" s="383"/>
      <c r="G102" s="383"/>
      <c r="H102" s="383"/>
    </row>
    <row r="103" spans="1:8" ht="19.899999999999999" customHeight="1">
      <c r="A103" s="369"/>
      <c r="B103" s="375" t="s">
        <v>4269</v>
      </c>
      <c r="C103" s="373">
        <v>1</v>
      </c>
      <c r="D103" s="373">
        <v>1</v>
      </c>
      <c r="E103" s="370">
        <v>10</v>
      </c>
      <c r="F103" s="388" t="s">
        <v>1288</v>
      </c>
      <c r="G103" s="388" t="s">
        <v>1288</v>
      </c>
      <c r="H103" s="370">
        <f>PRODUCT(C103:G103)</f>
        <v>10</v>
      </c>
    </row>
    <row r="104" spans="1:8" ht="19.899999999999999" customHeight="1">
      <c r="A104" s="369"/>
      <c r="B104" s="375"/>
      <c r="C104" s="373"/>
      <c r="D104" s="373"/>
      <c r="E104" s="370"/>
      <c r="F104" s="383" t="s">
        <v>2560</v>
      </c>
      <c r="G104" s="383">
        <f>+H103</f>
        <v>10</v>
      </c>
      <c r="H104" s="386" t="s">
        <v>669</v>
      </c>
    </row>
    <row r="105" spans="1:8" ht="19.899999999999999" customHeight="1">
      <c r="A105" s="377"/>
      <c r="B105" s="378"/>
      <c r="C105" s="379"/>
      <c r="D105" s="379"/>
      <c r="E105" s="377"/>
      <c r="F105" s="377"/>
      <c r="G105" s="377"/>
      <c r="H105" s="377"/>
    </row>
  </sheetData>
  <mergeCells count="12">
    <mergeCell ref="B93:G93"/>
    <mergeCell ref="A1:H1"/>
    <mergeCell ref="A2:H2"/>
    <mergeCell ref="A3:H3"/>
    <mergeCell ref="A5:H5"/>
    <mergeCell ref="C7:D7"/>
    <mergeCell ref="B8:G8"/>
    <mergeCell ref="B29:G29"/>
    <mergeCell ref="B38:G38"/>
    <mergeCell ref="B46:G46"/>
    <mergeCell ref="B57:G57"/>
    <mergeCell ref="B90:G90"/>
  </mergeCells>
  <pageMargins left="0.7" right="0.7" top="0.75" bottom="0.5" header="0.3" footer="0.3"/>
  <pageSetup paperSize="9" orientation="portrait" r:id="rId1"/>
  <headerFooter>
    <oddHeader>Page &amp;P</oddHeader>
  </headerFooter>
</worksheet>
</file>

<file path=xl/worksheets/sheet7.xml><?xml version="1.0" encoding="utf-8"?>
<worksheet xmlns="http://schemas.openxmlformats.org/spreadsheetml/2006/main" xmlns:r="http://schemas.openxmlformats.org/officeDocument/2006/relationships">
  <dimension ref="A1:IV66"/>
  <sheetViews>
    <sheetView workbookViewId="0">
      <selection sqref="A1:J1"/>
    </sheetView>
  </sheetViews>
  <sheetFormatPr defaultRowHeight="15"/>
  <cols>
    <col min="1" max="1" width="4" style="509" customWidth="1"/>
    <col min="2" max="2" width="27.109375" style="538" customWidth="1"/>
    <col min="3" max="5" width="3.21875" style="539" customWidth="1"/>
    <col min="6" max="9" width="7.21875" style="540" customWidth="1"/>
    <col min="10" max="10" width="4.109375" style="511" customWidth="1"/>
    <col min="11" max="256" width="8.77734375" style="509"/>
    <col min="257" max="257" width="4" style="509" customWidth="1"/>
    <col min="258" max="258" width="27.109375" style="509" customWidth="1"/>
    <col min="259" max="261" width="3.21875" style="509" customWidth="1"/>
    <col min="262" max="265" width="7.21875" style="509" customWidth="1"/>
    <col min="266" max="266" width="4.109375" style="509" customWidth="1"/>
    <col min="267" max="512" width="8.77734375" style="509"/>
    <col min="513" max="513" width="4" style="509" customWidth="1"/>
    <col min="514" max="514" width="27.109375" style="509" customWidth="1"/>
    <col min="515" max="517" width="3.21875" style="509" customWidth="1"/>
    <col min="518" max="521" width="7.21875" style="509" customWidth="1"/>
    <col min="522" max="522" width="4.109375" style="509" customWidth="1"/>
    <col min="523" max="768" width="8.77734375" style="509"/>
    <col min="769" max="769" width="4" style="509" customWidth="1"/>
    <col min="770" max="770" width="27.109375" style="509" customWidth="1"/>
    <col min="771" max="773" width="3.21875" style="509" customWidth="1"/>
    <col min="774" max="777" width="7.21875" style="509" customWidth="1"/>
    <col min="778" max="778" width="4.109375" style="509" customWidth="1"/>
    <col min="779" max="1024" width="8.77734375" style="509"/>
    <col min="1025" max="1025" width="4" style="509" customWidth="1"/>
    <col min="1026" max="1026" width="27.109375" style="509" customWidth="1"/>
    <col min="1027" max="1029" width="3.21875" style="509" customWidth="1"/>
    <col min="1030" max="1033" width="7.21875" style="509" customWidth="1"/>
    <col min="1034" max="1034" width="4.109375" style="509" customWidth="1"/>
    <col min="1035" max="1280" width="8.77734375" style="509"/>
    <col min="1281" max="1281" width="4" style="509" customWidth="1"/>
    <col min="1282" max="1282" width="27.109375" style="509" customWidth="1"/>
    <col min="1283" max="1285" width="3.21875" style="509" customWidth="1"/>
    <col min="1286" max="1289" width="7.21875" style="509" customWidth="1"/>
    <col min="1290" max="1290" width="4.109375" style="509" customWidth="1"/>
    <col min="1291" max="1536" width="8.77734375" style="509"/>
    <col min="1537" max="1537" width="4" style="509" customWidth="1"/>
    <col min="1538" max="1538" width="27.109375" style="509" customWidth="1"/>
    <col min="1539" max="1541" width="3.21875" style="509" customWidth="1"/>
    <col min="1542" max="1545" width="7.21875" style="509" customWidth="1"/>
    <col min="1546" max="1546" width="4.109375" style="509" customWidth="1"/>
    <col min="1547" max="1792" width="8.77734375" style="509"/>
    <col min="1793" max="1793" width="4" style="509" customWidth="1"/>
    <col min="1794" max="1794" width="27.109375" style="509" customWidth="1"/>
    <col min="1795" max="1797" width="3.21875" style="509" customWidth="1"/>
    <col min="1798" max="1801" width="7.21875" style="509" customWidth="1"/>
    <col min="1802" max="1802" width="4.109375" style="509" customWidth="1"/>
    <col min="1803" max="2048" width="8.77734375" style="509"/>
    <col min="2049" max="2049" width="4" style="509" customWidth="1"/>
    <col min="2050" max="2050" width="27.109375" style="509" customWidth="1"/>
    <col min="2051" max="2053" width="3.21875" style="509" customWidth="1"/>
    <col min="2054" max="2057" width="7.21875" style="509" customWidth="1"/>
    <col min="2058" max="2058" width="4.109375" style="509" customWidth="1"/>
    <col min="2059" max="2304" width="8.77734375" style="509"/>
    <col min="2305" max="2305" width="4" style="509" customWidth="1"/>
    <col min="2306" max="2306" width="27.109375" style="509" customWidth="1"/>
    <col min="2307" max="2309" width="3.21875" style="509" customWidth="1"/>
    <col min="2310" max="2313" width="7.21875" style="509" customWidth="1"/>
    <col min="2314" max="2314" width="4.109375" style="509" customWidth="1"/>
    <col min="2315" max="2560" width="8.77734375" style="509"/>
    <col min="2561" max="2561" width="4" style="509" customWidth="1"/>
    <col min="2562" max="2562" width="27.109375" style="509" customWidth="1"/>
    <col min="2563" max="2565" width="3.21875" style="509" customWidth="1"/>
    <col min="2566" max="2569" width="7.21875" style="509" customWidth="1"/>
    <col min="2570" max="2570" width="4.109375" style="509" customWidth="1"/>
    <col min="2571" max="2816" width="8.77734375" style="509"/>
    <col min="2817" max="2817" width="4" style="509" customWidth="1"/>
    <col min="2818" max="2818" width="27.109375" style="509" customWidth="1"/>
    <col min="2819" max="2821" width="3.21875" style="509" customWidth="1"/>
    <col min="2822" max="2825" width="7.21875" style="509" customWidth="1"/>
    <col min="2826" max="2826" width="4.109375" style="509" customWidth="1"/>
    <col min="2827" max="3072" width="8.77734375" style="509"/>
    <col min="3073" max="3073" width="4" style="509" customWidth="1"/>
    <col min="3074" max="3074" width="27.109375" style="509" customWidth="1"/>
    <col min="3075" max="3077" width="3.21875" style="509" customWidth="1"/>
    <col min="3078" max="3081" width="7.21875" style="509" customWidth="1"/>
    <col min="3082" max="3082" width="4.109375" style="509" customWidth="1"/>
    <col min="3083" max="3328" width="8.77734375" style="509"/>
    <col min="3329" max="3329" width="4" style="509" customWidth="1"/>
    <col min="3330" max="3330" width="27.109375" style="509" customWidth="1"/>
    <col min="3331" max="3333" width="3.21875" style="509" customWidth="1"/>
    <col min="3334" max="3337" width="7.21875" style="509" customWidth="1"/>
    <col min="3338" max="3338" width="4.109375" style="509" customWidth="1"/>
    <col min="3339" max="3584" width="8.77734375" style="509"/>
    <col min="3585" max="3585" width="4" style="509" customWidth="1"/>
    <col min="3586" max="3586" width="27.109375" style="509" customWidth="1"/>
    <col min="3587" max="3589" width="3.21875" style="509" customWidth="1"/>
    <col min="3590" max="3593" width="7.21875" style="509" customWidth="1"/>
    <col min="3594" max="3594" width="4.109375" style="509" customWidth="1"/>
    <col min="3595" max="3840" width="8.77734375" style="509"/>
    <col min="3841" max="3841" width="4" style="509" customWidth="1"/>
    <col min="3842" max="3842" width="27.109375" style="509" customWidth="1"/>
    <col min="3843" max="3845" width="3.21875" style="509" customWidth="1"/>
    <col min="3846" max="3849" width="7.21875" style="509" customWidth="1"/>
    <col min="3850" max="3850" width="4.109375" style="509" customWidth="1"/>
    <col min="3851" max="4096" width="8.77734375" style="509"/>
    <col min="4097" max="4097" width="4" style="509" customWidth="1"/>
    <col min="4098" max="4098" width="27.109375" style="509" customWidth="1"/>
    <col min="4099" max="4101" width="3.21875" style="509" customWidth="1"/>
    <col min="4102" max="4105" width="7.21875" style="509" customWidth="1"/>
    <col min="4106" max="4106" width="4.109375" style="509" customWidth="1"/>
    <col min="4107" max="4352" width="8.77734375" style="509"/>
    <col min="4353" max="4353" width="4" style="509" customWidth="1"/>
    <col min="4354" max="4354" width="27.109375" style="509" customWidth="1"/>
    <col min="4355" max="4357" width="3.21875" style="509" customWidth="1"/>
    <col min="4358" max="4361" width="7.21875" style="509" customWidth="1"/>
    <col min="4362" max="4362" width="4.109375" style="509" customWidth="1"/>
    <col min="4363" max="4608" width="8.77734375" style="509"/>
    <col min="4609" max="4609" width="4" style="509" customWidth="1"/>
    <col min="4610" max="4610" width="27.109375" style="509" customWidth="1"/>
    <col min="4611" max="4613" width="3.21875" style="509" customWidth="1"/>
    <col min="4614" max="4617" width="7.21875" style="509" customWidth="1"/>
    <col min="4618" max="4618" width="4.109375" style="509" customWidth="1"/>
    <col min="4619" max="4864" width="8.77734375" style="509"/>
    <col min="4865" max="4865" width="4" style="509" customWidth="1"/>
    <col min="4866" max="4866" width="27.109375" style="509" customWidth="1"/>
    <col min="4867" max="4869" width="3.21875" style="509" customWidth="1"/>
    <col min="4870" max="4873" width="7.21875" style="509" customWidth="1"/>
    <col min="4874" max="4874" width="4.109375" style="509" customWidth="1"/>
    <col min="4875" max="5120" width="8.77734375" style="509"/>
    <col min="5121" max="5121" width="4" style="509" customWidth="1"/>
    <col min="5122" max="5122" width="27.109375" style="509" customWidth="1"/>
    <col min="5123" max="5125" width="3.21875" style="509" customWidth="1"/>
    <col min="5126" max="5129" width="7.21875" style="509" customWidth="1"/>
    <col min="5130" max="5130" width="4.109375" style="509" customWidth="1"/>
    <col min="5131" max="5376" width="8.77734375" style="509"/>
    <col min="5377" max="5377" width="4" style="509" customWidth="1"/>
    <col min="5378" max="5378" width="27.109375" style="509" customWidth="1"/>
    <col min="5379" max="5381" width="3.21875" style="509" customWidth="1"/>
    <col min="5382" max="5385" width="7.21875" style="509" customWidth="1"/>
    <col min="5386" max="5386" width="4.109375" style="509" customWidth="1"/>
    <col min="5387" max="5632" width="8.77734375" style="509"/>
    <col min="5633" max="5633" width="4" style="509" customWidth="1"/>
    <col min="5634" max="5634" width="27.109375" style="509" customWidth="1"/>
    <col min="5635" max="5637" width="3.21875" style="509" customWidth="1"/>
    <col min="5638" max="5641" width="7.21875" style="509" customWidth="1"/>
    <col min="5642" max="5642" width="4.109375" style="509" customWidth="1"/>
    <col min="5643" max="5888" width="8.77734375" style="509"/>
    <col min="5889" max="5889" width="4" style="509" customWidth="1"/>
    <col min="5890" max="5890" width="27.109375" style="509" customWidth="1"/>
    <col min="5891" max="5893" width="3.21875" style="509" customWidth="1"/>
    <col min="5894" max="5897" width="7.21875" style="509" customWidth="1"/>
    <col min="5898" max="5898" width="4.109375" style="509" customWidth="1"/>
    <col min="5899" max="6144" width="8.77734375" style="509"/>
    <col min="6145" max="6145" width="4" style="509" customWidth="1"/>
    <col min="6146" max="6146" width="27.109375" style="509" customWidth="1"/>
    <col min="6147" max="6149" width="3.21875" style="509" customWidth="1"/>
    <col min="6150" max="6153" width="7.21875" style="509" customWidth="1"/>
    <col min="6154" max="6154" width="4.109375" style="509" customWidth="1"/>
    <col min="6155" max="6400" width="8.77734375" style="509"/>
    <col min="6401" max="6401" width="4" style="509" customWidth="1"/>
    <col min="6402" max="6402" width="27.109375" style="509" customWidth="1"/>
    <col min="6403" max="6405" width="3.21875" style="509" customWidth="1"/>
    <col min="6406" max="6409" width="7.21875" style="509" customWidth="1"/>
    <col min="6410" max="6410" width="4.109375" style="509" customWidth="1"/>
    <col min="6411" max="6656" width="8.77734375" style="509"/>
    <col min="6657" max="6657" width="4" style="509" customWidth="1"/>
    <col min="6658" max="6658" width="27.109375" style="509" customWidth="1"/>
    <col min="6659" max="6661" width="3.21875" style="509" customWidth="1"/>
    <col min="6662" max="6665" width="7.21875" style="509" customWidth="1"/>
    <col min="6666" max="6666" width="4.109375" style="509" customWidth="1"/>
    <col min="6667" max="6912" width="8.77734375" style="509"/>
    <col min="6913" max="6913" width="4" style="509" customWidth="1"/>
    <col min="6914" max="6914" width="27.109375" style="509" customWidth="1"/>
    <col min="6915" max="6917" width="3.21875" style="509" customWidth="1"/>
    <col min="6918" max="6921" width="7.21875" style="509" customWidth="1"/>
    <col min="6922" max="6922" width="4.109375" style="509" customWidth="1"/>
    <col min="6923" max="7168" width="8.77734375" style="509"/>
    <col min="7169" max="7169" width="4" style="509" customWidth="1"/>
    <col min="7170" max="7170" width="27.109375" style="509" customWidth="1"/>
    <col min="7171" max="7173" width="3.21875" style="509" customWidth="1"/>
    <col min="7174" max="7177" width="7.21875" style="509" customWidth="1"/>
    <col min="7178" max="7178" width="4.109375" style="509" customWidth="1"/>
    <col min="7179" max="7424" width="8.77734375" style="509"/>
    <col min="7425" max="7425" width="4" style="509" customWidth="1"/>
    <col min="7426" max="7426" width="27.109375" style="509" customWidth="1"/>
    <col min="7427" max="7429" width="3.21875" style="509" customWidth="1"/>
    <col min="7430" max="7433" width="7.21875" style="509" customWidth="1"/>
    <col min="7434" max="7434" width="4.109375" style="509" customWidth="1"/>
    <col min="7435" max="7680" width="8.77734375" style="509"/>
    <col min="7681" max="7681" width="4" style="509" customWidth="1"/>
    <col min="7682" max="7682" width="27.109375" style="509" customWidth="1"/>
    <col min="7683" max="7685" width="3.21875" style="509" customWidth="1"/>
    <col min="7686" max="7689" width="7.21875" style="509" customWidth="1"/>
    <col min="7690" max="7690" width="4.109375" style="509" customWidth="1"/>
    <col min="7691" max="7936" width="8.77734375" style="509"/>
    <col min="7937" max="7937" width="4" style="509" customWidth="1"/>
    <col min="7938" max="7938" width="27.109375" style="509" customWidth="1"/>
    <col min="7939" max="7941" width="3.21875" style="509" customWidth="1"/>
    <col min="7942" max="7945" width="7.21875" style="509" customWidth="1"/>
    <col min="7946" max="7946" width="4.109375" style="509" customWidth="1"/>
    <col min="7947" max="8192" width="8.77734375" style="509"/>
    <col min="8193" max="8193" width="4" style="509" customWidth="1"/>
    <col min="8194" max="8194" width="27.109375" style="509" customWidth="1"/>
    <col min="8195" max="8197" width="3.21875" style="509" customWidth="1"/>
    <col min="8198" max="8201" width="7.21875" style="509" customWidth="1"/>
    <col min="8202" max="8202" width="4.109375" style="509" customWidth="1"/>
    <col min="8203" max="8448" width="8.77734375" style="509"/>
    <col min="8449" max="8449" width="4" style="509" customWidth="1"/>
    <col min="8450" max="8450" width="27.109375" style="509" customWidth="1"/>
    <col min="8451" max="8453" width="3.21875" style="509" customWidth="1"/>
    <col min="8454" max="8457" width="7.21875" style="509" customWidth="1"/>
    <col min="8458" max="8458" width="4.109375" style="509" customWidth="1"/>
    <col min="8459" max="8704" width="8.77734375" style="509"/>
    <col min="8705" max="8705" width="4" style="509" customWidth="1"/>
    <col min="8706" max="8706" width="27.109375" style="509" customWidth="1"/>
    <col min="8707" max="8709" width="3.21875" style="509" customWidth="1"/>
    <col min="8710" max="8713" width="7.21875" style="509" customWidth="1"/>
    <col min="8714" max="8714" width="4.109375" style="509" customWidth="1"/>
    <col min="8715" max="8960" width="8.77734375" style="509"/>
    <col min="8961" max="8961" width="4" style="509" customWidth="1"/>
    <col min="8962" max="8962" width="27.109375" style="509" customWidth="1"/>
    <col min="8963" max="8965" width="3.21875" style="509" customWidth="1"/>
    <col min="8966" max="8969" width="7.21875" style="509" customWidth="1"/>
    <col min="8970" max="8970" width="4.109375" style="509" customWidth="1"/>
    <col min="8971" max="9216" width="8.77734375" style="509"/>
    <col min="9217" max="9217" width="4" style="509" customWidth="1"/>
    <col min="9218" max="9218" width="27.109375" style="509" customWidth="1"/>
    <col min="9219" max="9221" width="3.21875" style="509" customWidth="1"/>
    <col min="9222" max="9225" width="7.21875" style="509" customWidth="1"/>
    <col min="9226" max="9226" width="4.109375" style="509" customWidth="1"/>
    <col min="9227" max="9472" width="8.77734375" style="509"/>
    <col min="9473" max="9473" width="4" style="509" customWidth="1"/>
    <col min="9474" max="9474" width="27.109375" style="509" customWidth="1"/>
    <col min="9475" max="9477" width="3.21875" style="509" customWidth="1"/>
    <col min="9478" max="9481" width="7.21875" style="509" customWidth="1"/>
    <col min="9482" max="9482" width="4.109375" style="509" customWidth="1"/>
    <col min="9483" max="9728" width="8.77734375" style="509"/>
    <col min="9729" max="9729" width="4" style="509" customWidth="1"/>
    <col min="9730" max="9730" width="27.109375" style="509" customWidth="1"/>
    <col min="9731" max="9733" width="3.21875" style="509" customWidth="1"/>
    <col min="9734" max="9737" width="7.21875" style="509" customWidth="1"/>
    <col min="9738" max="9738" width="4.109375" style="509" customWidth="1"/>
    <col min="9739" max="9984" width="8.77734375" style="509"/>
    <col min="9985" max="9985" width="4" style="509" customWidth="1"/>
    <col min="9986" max="9986" width="27.109375" style="509" customWidth="1"/>
    <col min="9987" max="9989" width="3.21875" style="509" customWidth="1"/>
    <col min="9990" max="9993" width="7.21875" style="509" customWidth="1"/>
    <col min="9994" max="9994" width="4.109375" style="509" customWidth="1"/>
    <col min="9995" max="10240" width="8.77734375" style="509"/>
    <col min="10241" max="10241" width="4" style="509" customWidth="1"/>
    <col min="10242" max="10242" width="27.109375" style="509" customWidth="1"/>
    <col min="10243" max="10245" width="3.21875" style="509" customWidth="1"/>
    <col min="10246" max="10249" width="7.21875" style="509" customWidth="1"/>
    <col min="10250" max="10250" width="4.109375" style="509" customWidth="1"/>
    <col min="10251" max="10496" width="8.77734375" style="509"/>
    <col min="10497" max="10497" width="4" style="509" customWidth="1"/>
    <col min="10498" max="10498" width="27.109375" style="509" customWidth="1"/>
    <col min="10499" max="10501" width="3.21875" style="509" customWidth="1"/>
    <col min="10502" max="10505" width="7.21875" style="509" customWidth="1"/>
    <col min="10506" max="10506" width="4.109375" style="509" customWidth="1"/>
    <col min="10507" max="10752" width="8.77734375" style="509"/>
    <col min="10753" max="10753" width="4" style="509" customWidth="1"/>
    <col min="10754" max="10754" width="27.109375" style="509" customWidth="1"/>
    <col min="10755" max="10757" width="3.21875" style="509" customWidth="1"/>
    <col min="10758" max="10761" width="7.21875" style="509" customWidth="1"/>
    <col min="10762" max="10762" width="4.109375" style="509" customWidth="1"/>
    <col min="10763" max="11008" width="8.77734375" style="509"/>
    <col min="11009" max="11009" width="4" style="509" customWidth="1"/>
    <col min="11010" max="11010" width="27.109375" style="509" customWidth="1"/>
    <col min="11011" max="11013" width="3.21875" style="509" customWidth="1"/>
    <col min="11014" max="11017" width="7.21875" style="509" customWidth="1"/>
    <col min="11018" max="11018" width="4.109375" style="509" customWidth="1"/>
    <col min="11019" max="11264" width="8.77734375" style="509"/>
    <col min="11265" max="11265" width="4" style="509" customWidth="1"/>
    <col min="11266" max="11266" width="27.109375" style="509" customWidth="1"/>
    <col min="11267" max="11269" width="3.21875" style="509" customWidth="1"/>
    <col min="11270" max="11273" width="7.21875" style="509" customWidth="1"/>
    <col min="11274" max="11274" width="4.109375" style="509" customWidth="1"/>
    <col min="11275" max="11520" width="8.77734375" style="509"/>
    <col min="11521" max="11521" width="4" style="509" customWidth="1"/>
    <col min="11522" max="11522" width="27.109375" style="509" customWidth="1"/>
    <col min="11523" max="11525" width="3.21875" style="509" customWidth="1"/>
    <col min="11526" max="11529" width="7.21875" style="509" customWidth="1"/>
    <col min="11530" max="11530" width="4.109375" style="509" customWidth="1"/>
    <col min="11531" max="11776" width="8.77734375" style="509"/>
    <col min="11777" max="11777" width="4" style="509" customWidth="1"/>
    <col min="11778" max="11778" width="27.109375" style="509" customWidth="1"/>
    <col min="11779" max="11781" width="3.21875" style="509" customWidth="1"/>
    <col min="11782" max="11785" width="7.21875" style="509" customWidth="1"/>
    <col min="11786" max="11786" width="4.109375" style="509" customWidth="1"/>
    <col min="11787" max="12032" width="8.77734375" style="509"/>
    <col min="12033" max="12033" width="4" style="509" customWidth="1"/>
    <col min="12034" max="12034" width="27.109375" style="509" customWidth="1"/>
    <col min="12035" max="12037" width="3.21875" style="509" customWidth="1"/>
    <col min="12038" max="12041" width="7.21875" style="509" customWidth="1"/>
    <col min="12042" max="12042" width="4.109375" style="509" customWidth="1"/>
    <col min="12043" max="12288" width="8.77734375" style="509"/>
    <col min="12289" max="12289" width="4" style="509" customWidth="1"/>
    <col min="12290" max="12290" width="27.109375" style="509" customWidth="1"/>
    <col min="12291" max="12293" width="3.21875" style="509" customWidth="1"/>
    <col min="12294" max="12297" width="7.21875" style="509" customWidth="1"/>
    <col min="12298" max="12298" width="4.109375" style="509" customWidth="1"/>
    <col min="12299" max="12544" width="8.77734375" style="509"/>
    <col min="12545" max="12545" width="4" style="509" customWidth="1"/>
    <col min="12546" max="12546" width="27.109375" style="509" customWidth="1"/>
    <col min="12547" max="12549" width="3.21875" style="509" customWidth="1"/>
    <col min="12550" max="12553" width="7.21875" style="509" customWidth="1"/>
    <col min="12554" max="12554" width="4.109375" style="509" customWidth="1"/>
    <col min="12555" max="12800" width="8.77734375" style="509"/>
    <col min="12801" max="12801" width="4" style="509" customWidth="1"/>
    <col min="12802" max="12802" width="27.109375" style="509" customWidth="1"/>
    <col min="12803" max="12805" width="3.21875" style="509" customWidth="1"/>
    <col min="12806" max="12809" width="7.21875" style="509" customWidth="1"/>
    <col min="12810" max="12810" width="4.109375" style="509" customWidth="1"/>
    <col min="12811" max="13056" width="8.77734375" style="509"/>
    <col min="13057" max="13057" width="4" style="509" customWidth="1"/>
    <col min="13058" max="13058" width="27.109375" style="509" customWidth="1"/>
    <col min="13059" max="13061" width="3.21875" style="509" customWidth="1"/>
    <col min="13062" max="13065" width="7.21875" style="509" customWidth="1"/>
    <col min="13066" max="13066" width="4.109375" style="509" customWidth="1"/>
    <col min="13067" max="13312" width="8.77734375" style="509"/>
    <col min="13313" max="13313" width="4" style="509" customWidth="1"/>
    <col min="13314" max="13314" width="27.109375" style="509" customWidth="1"/>
    <col min="13315" max="13317" width="3.21875" style="509" customWidth="1"/>
    <col min="13318" max="13321" width="7.21875" style="509" customWidth="1"/>
    <col min="13322" max="13322" width="4.109375" style="509" customWidth="1"/>
    <col min="13323" max="13568" width="8.77734375" style="509"/>
    <col min="13569" max="13569" width="4" style="509" customWidth="1"/>
    <col min="13570" max="13570" width="27.109375" style="509" customWidth="1"/>
    <col min="13571" max="13573" width="3.21875" style="509" customWidth="1"/>
    <col min="13574" max="13577" width="7.21875" style="509" customWidth="1"/>
    <col min="13578" max="13578" width="4.109375" style="509" customWidth="1"/>
    <col min="13579" max="13824" width="8.77734375" style="509"/>
    <col min="13825" max="13825" width="4" style="509" customWidth="1"/>
    <col min="13826" max="13826" width="27.109375" style="509" customWidth="1"/>
    <col min="13827" max="13829" width="3.21875" style="509" customWidth="1"/>
    <col min="13830" max="13833" width="7.21875" style="509" customWidth="1"/>
    <col min="13834" max="13834" width="4.109375" style="509" customWidth="1"/>
    <col min="13835" max="14080" width="8.77734375" style="509"/>
    <col min="14081" max="14081" width="4" style="509" customWidth="1"/>
    <col min="14082" max="14082" width="27.109375" style="509" customWidth="1"/>
    <col min="14083" max="14085" width="3.21875" style="509" customWidth="1"/>
    <col min="14086" max="14089" width="7.21875" style="509" customWidth="1"/>
    <col min="14090" max="14090" width="4.109375" style="509" customWidth="1"/>
    <col min="14091" max="14336" width="8.77734375" style="509"/>
    <col min="14337" max="14337" width="4" style="509" customWidth="1"/>
    <col min="14338" max="14338" width="27.109375" style="509" customWidth="1"/>
    <col min="14339" max="14341" width="3.21875" style="509" customWidth="1"/>
    <col min="14342" max="14345" width="7.21875" style="509" customWidth="1"/>
    <col min="14346" max="14346" width="4.109375" style="509" customWidth="1"/>
    <col min="14347" max="14592" width="8.77734375" style="509"/>
    <col min="14593" max="14593" width="4" style="509" customWidth="1"/>
    <col min="14594" max="14594" width="27.109375" style="509" customWidth="1"/>
    <col min="14595" max="14597" width="3.21875" style="509" customWidth="1"/>
    <col min="14598" max="14601" width="7.21875" style="509" customWidth="1"/>
    <col min="14602" max="14602" width="4.109375" style="509" customWidth="1"/>
    <col min="14603" max="14848" width="8.77734375" style="509"/>
    <col min="14849" max="14849" width="4" style="509" customWidth="1"/>
    <col min="14850" max="14850" width="27.109375" style="509" customWidth="1"/>
    <col min="14851" max="14853" width="3.21875" style="509" customWidth="1"/>
    <col min="14854" max="14857" width="7.21875" style="509" customWidth="1"/>
    <col min="14858" max="14858" width="4.109375" style="509" customWidth="1"/>
    <col min="14859" max="15104" width="8.77734375" style="509"/>
    <col min="15105" max="15105" width="4" style="509" customWidth="1"/>
    <col min="15106" max="15106" width="27.109375" style="509" customWidth="1"/>
    <col min="15107" max="15109" width="3.21875" style="509" customWidth="1"/>
    <col min="15110" max="15113" width="7.21875" style="509" customWidth="1"/>
    <col min="15114" max="15114" width="4.109375" style="509" customWidth="1"/>
    <col min="15115" max="15360" width="8.77734375" style="509"/>
    <col min="15361" max="15361" width="4" style="509" customWidth="1"/>
    <col min="15362" max="15362" width="27.109375" style="509" customWidth="1"/>
    <col min="15363" max="15365" width="3.21875" style="509" customWidth="1"/>
    <col min="15366" max="15369" width="7.21875" style="509" customWidth="1"/>
    <col min="15370" max="15370" width="4.109375" style="509" customWidth="1"/>
    <col min="15371" max="15616" width="8.77734375" style="509"/>
    <col min="15617" max="15617" width="4" style="509" customWidth="1"/>
    <col min="15618" max="15618" width="27.109375" style="509" customWidth="1"/>
    <col min="15619" max="15621" width="3.21875" style="509" customWidth="1"/>
    <col min="15622" max="15625" width="7.21875" style="509" customWidth="1"/>
    <col min="15626" max="15626" width="4.109375" style="509" customWidth="1"/>
    <col min="15627" max="15872" width="8.77734375" style="509"/>
    <col min="15873" max="15873" width="4" style="509" customWidth="1"/>
    <col min="15874" max="15874" width="27.109375" style="509" customWidth="1"/>
    <col min="15875" max="15877" width="3.21875" style="509" customWidth="1"/>
    <col min="15878" max="15881" width="7.21875" style="509" customWidth="1"/>
    <col min="15882" max="15882" width="4.109375" style="509" customWidth="1"/>
    <col min="15883" max="16128" width="8.77734375" style="509"/>
    <col min="16129" max="16129" width="4" style="509" customWidth="1"/>
    <col min="16130" max="16130" width="27.109375" style="509" customWidth="1"/>
    <col min="16131" max="16133" width="3.21875" style="509" customWidth="1"/>
    <col min="16134" max="16137" width="7.21875" style="509" customWidth="1"/>
    <col min="16138" max="16138" width="4.109375" style="509" customWidth="1"/>
    <col min="16139" max="16384" width="8.77734375" style="509"/>
  </cols>
  <sheetData>
    <row r="1" spans="1:256" ht="19.899999999999999" customHeight="1">
      <c r="A1" s="1044" t="s">
        <v>2403</v>
      </c>
      <c r="B1" s="1044"/>
      <c r="C1" s="1044"/>
      <c r="D1" s="1044"/>
      <c r="E1" s="1044"/>
      <c r="F1" s="1044"/>
      <c r="G1" s="1044"/>
      <c r="H1" s="1044"/>
      <c r="I1" s="1044"/>
      <c r="J1" s="1044"/>
    </row>
    <row r="2" spans="1:256" ht="19.899999999999999" customHeight="1">
      <c r="A2" s="1044" t="s">
        <v>4214</v>
      </c>
      <c r="B2" s="1044"/>
      <c r="C2" s="1044"/>
      <c r="D2" s="1044"/>
      <c r="E2" s="1044"/>
      <c r="F2" s="1044"/>
      <c r="G2" s="1044"/>
      <c r="H2" s="1044"/>
      <c r="I2" s="1044"/>
      <c r="J2" s="1044"/>
    </row>
    <row r="3" spans="1:256" ht="7.9" customHeight="1">
      <c r="A3" s="403"/>
      <c r="B3" s="403"/>
      <c r="C3" s="403"/>
      <c r="D3" s="403"/>
      <c r="E3" s="403"/>
      <c r="F3" s="510"/>
      <c r="G3" s="510"/>
      <c r="H3" s="510"/>
      <c r="I3" s="510"/>
    </row>
    <row r="4" spans="1:256" ht="19.899999999999999" customHeight="1">
      <c r="A4" s="1055" t="s">
        <v>4372</v>
      </c>
      <c r="B4" s="1055"/>
      <c r="C4" s="1055"/>
      <c r="D4" s="1055"/>
      <c r="E4" s="1055"/>
      <c r="F4" s="1055"/>
      <c r="G4" s="1055"/>
      <c r="H4" s="1055"/>
      <c r="I4" s="1055"/>
      <c r="J4" s="1055"/>
    </row>
    <row r="5" spans="1:256" ht="7.9" customHeight="1">
      <c r="A5" s="512"/>
      <c r="B5" s="513"/>
      <c r="C5" s="512"/>
      <c r="D5" s="512"/>
      <c r="E5" s="512"/>
      <c r="F5" s="514"/>
      <c r="G5" s="514"/>
      <c r="H5" s="514"/>
      <c r="I5" s="514"/>
    </row>
    <row r="6" spans="1:256" ht="64.900000000000006" customHeight="1">
      <c r="A6" s="1056" t="str">
        <f>S.Tank!A5</f>
        <v>Name of work:  Construction of Urban Police Station Building at Nachiyarkoil in Thanjavur District under Announcement made by the Hon’ble Chief Minister for the year 2023 - 2024</v>
      </c>
      <c r="B6" s="1056"/>
      <c r="C6" s="1056"/>
      <c r="D6" s="1056"/>
      <c r="E6" s="1056"/>
      <c r="F6" s="1056"/>
      <c r="G6" s="1056"/>
      <c r="H6" s="1056"/>
      <c r="I6" s="1056"/>
      <c r="J6" s="1056"/>
    </row>
    <row r="7" spans="1:256" ht="30">
      <c r="A7" s="515" t="s">
        <v>4373</v>
      </c>
      <c r="B7" s="516" t="s">
        <v>4217</v>
      </c>
      <c r="C7" s="1057" t="s">
        <v>838</v>
      </c>
      <c r="D7" s="1057"/>
      <c r="E7" s="1057"/>
      <c r="F7" s="516" t="s">
        <v>3292</v>
      </c>
      <c r="G7" s="516" t="s">
        <v>4218</v>
      </c>
      <c r="H7" s="516" t="s">
        <v>3294</v>
      </c>
      <c r="I7" s="516" t="s">
        <v>1720</v>
      </c>
      <c r="J7" s="516" t="s">
        <v>181</v>
      </c>
      <c r="K7" s="517"/>
      <c r="L7" s="517"/>
      <c r="M7" s="517"/>
      <c r="N7" s="517"/>
      <c r="O7" s="517"/>
      <c r="P7" s="517"/>
      <c r="Q7" s="517"/>
      <c r="R7" s="517"/>
      <c r="S7" s="517"/>
      <c r="T7" s="517"/>
      <c r="U7" s="517"/>
      <c r="V7" s="517"/>
      <c r="W7" s="517"/>
      <c r="X7" s="517"/>
      <c r="Y7" s="517"/>
      <c r="Z7" s="517"/>
      <c r="AA7" s="517"/>
      <c r="AB7" s="517"/>
      <c r="AC7" s="517"/>
      <c r="AD7" s="517"/>
      <c r="AE7" s="517"/>
      <c r="AF7" s="517"/>
      <c r="AG7" s="517"/>
      <c r="AH7" s="517"/>
      <c r="AI7" s="517"/>
      <c r="AJ7" s="517"/>
      <c r="AK7" s="517"/>
      <c r="AL7" s="517"/>
      <c r="AM7" s="517"/>
      <c r="AN7" s="517"/>
      <c r="AO7" s="517"/>
      <c r="AP7" s="517"/>
      <c r="AQ7" s="517"/>
      <c r="AR7" s="517"/>
      <c r="AS7" s="517"/>
      <c r="AT7" s="517"/>
      <c r="AU7" s="517"/>
      <c r="AV7" s="517"/>
      <c r="AW7" s="517"/>
      <c r="AX7" s="517"/>
      <c r="AY7" s="517"/>
      <c r="AZ7" s="517"/>
      <c r="BA7" s="517"/>
      <c r="BB7" s="517"/>
      <c r="BC7" s="517"/>
      <c r="BD7" s="517"/>
      <c r="BE7" s="517"/>
      <c r="BF7" s="517"/>
      <c r="BG7" s="517"/>
      <c r="BH7" s="517"/>
      <c r="BI7" s="517"/>
      <c r="BJ7" s="517"/>
      <c r="BK7" s="517"/>
      <c r="BL7" s="517"/>
      <c r="BM7" s="517"/>
      <c r="BN7" s="517"/>
      <c r="BO7" s="517"/>
      <c r="BP7" s="517"/>
      <c r="BQ7" s="517"/>
      <c r="BR7" s="517"/>
      <c r="BS7" s="517"/>
      <c r="BT7" s="517"/>
      <c r="BU7" s="517"/>
      <c r="BV7" s="517"/>
      <c r="BW7" s="517"/>
      <c r="BX7" s="517"/>
      <c r="BY7" s="517"/>
      <c r="BZ7" s="517"/>
      <c r="CA7" s="517"/>
      <c r="CB7" s="517"/>
      <c r="CC7" s="517"/>
      <c r="CD7" s="517"/>
      <c r="CE7" s="517"/>
      <c r="CF7" s="517"/>
      <c r="CG7" s="517"/>
      <c r="CH7" s="517"/>
      <c r="CI7" s="517"/>
      <c r="CJ7" s="517"/>
      <c r="CK7" s="517"/>
      <c r="CL7" s="517"/>
      <c r="CM7" s="517"/>
      <c r="CN7" s="517"/>
      <c r="CO7" s="517"/>
      <c r="CP7" s="517"/>
      <c r="CQ7" s="517"/>
      <c r="CR7" s="517"/>
      <c r="CS7" s="517"/>
      <c r="CT7" s="517"/>
      <c r="CU7" s="517"/>
      <c r="CV7" s="517"/>
      <c r="CW7" s="517"/>
      <c r="CX7" s="517"/>
      <c r="CY7" s="517"/>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row>
    <row r="8" spans="1:256" ht="19.899999999999999" customHeight="1">
      <c r="A8" s="518">
        <v>1.1000000000000001</v>
      </c>
      <c r="B8" s="1054" t="s">
        <v>4374</v>
      </c>
      <c r="C8" s="1054"/>
      <c r="D8" s="1054"/>
      <c r="E8" s="1054"/>
      <c r="F8" s="1054"/>
      <c r="G8" s="1054"/>
      <c r="H8" s="1054"/>
      <c r="I8" s="374"/>
      <c r="J8" s="519"/>
      <c r="K8" s="520"/>
      <c r="L8" s="520"/>
      <c r="M8" s="520"/>
      <c r="N8" s="520"/>
      <c r="O8" s="520"/>
      <c r="P8" s="520"/>
      <c r="Q8" s="520"/>
      <c r="R8" s="520"/>
      <c r="S8" s="520"/>
      <c r="T8" s="520"/>
      <c r="U8" s="520"/>
      <c r="V8" s="520"/>
      <c r="W8" s="520"/>
      <c r="X8" s="520"/>
      <c r="Y8" s="520"/>
      <c r="Z8" s="520"/>
      <c r="AA8" s="520"/>
      <c r="AB8" s="520"/>
      <c r="AC8" s="520"/>
      <c r="AD8" s="520"/>
      <c r="AE8" s="520"/>
      <c r="AF8" s="520"/>
      <c r="AG8" s="520"/>
      <c r="AH8" s="520"/>
      <c r="AI8" s="520"/>
      <c r="AJ8" s="520"/>
      <c r="AK8" s="520"/>
      <c r="AL8" s="520"/>
      <c r="AM8" s="520"/>
      <c r="AN8" s="520"/>
      <c r="AO8" s="520"/>
      <c r="AP8" s="520"/>
      <c r="AQ8" s="520"/>
      <c r="AR8" s="520"/>
      <c r="AS8" s="520"/>
      <c r="AT8" s="520"/>
      <c r="AU8" s="520"/>
      <c r="AV8" s="520"/>
      <c r="AW8" s="520"/>
      <c r="AX8" s="520"/>
      <c r="AY8" s="520"/>
      <c r="AZ8" s="520"/>
      <c r="BA8" s="520"/>
      <c r="BB8" s="520"/>
      <c r="BC8" s="520"/>
      <c r="BD8" s="520"/>
      <c r="BE8" s="520"/>
      <c r="BF8" s="520"/>
      <c r="BG8" s="520"/>
      <c r="BH8" s="520"/>
      <c r="BI8" s="520"/>
      <c r="BJ8" s="520"/>
      <c r="BK8" s="520"/>
      <c r="BL8" s="520"/>
      <c r="BM8" s="520"/>
      <c r="BN8" s="520"/>
      <c r="BO8" s="520"/>
      <c r="BP8" s="520"/>
      <c r="BQ8" s="520"/>
      <c r="BR8" s="520"/>
      <c r="BS8" s="520"/>
      <c r="BT8" s="520"/>
      <c r="BU8" s="520"/>
      <c r="BV8" s="520"/>
      <c r="BW8" s="520"/>
      <c r="BX8" s="520"/>
      <c r="BY8" s="520"/>
      <c r="BZ8" s="520"/>
      <c r="CA8" s="520"/>
      <c r="CB8" s="520"/>
      <c r="CC8" s="520"/>
      <c r="CD8" s="520"/>
      <c r="CE8" s="520"/>
      <c r="CF8" s="520"/>
      <c r="CG8" s="520"/>
      <c r="CH8" s="520"/>
      <c r="CI8" s="520"/>
      <c r="CJ8" s="520"/>
      <c r="CK8" s="520"/>
      <c r="CL8" s="520"/>
      <c r="CM8" s="520"/>
      <c r="CN8" s="520"/>
      <c r="CO8" s="520"/>
      <c r="CP8" s="520"/>
      <c r="CQ8" s="520"/>
      <c r="CR8" s="520"/>
      <c r="CS8" s="520"/>
      <c r="CT8" s="520"/>
      <c r="CU8" s="520"/>
      <c r="CV8" s="520"/>
      <c r="CW8" s="520"/>
      <c r="CX8" s="520"/>
      <c r="CY8" s="520"/>
      <c r="CZ8" s="520"/>
      <c r="DA8" s="520"/>
      <c r="DB8" s="520"/>
      <c r="DC8" s="520"/>
      <c r="DD8" s="520"/>
      <c r="DE8" s="520"/>
      <c r="DF8" s="520"/>
      <c r="DG8" s="520"/>
      <c r="DH8" s="520"/>
      <c r="DI8" s="520"/>
      <c r="DJ8" s="520"/>
      <c r="DK8" s="520"/>
      <c r="DL8" s="520"/>
      <c r="DM8" s="520"/>
      <c r="DN8" s="520"/>
      <c r="DO8" s="520"/>
      <c r="DP8" s="520"/>
      <c r="DQ8" s="520"/>
      <c r="DR8" s="520"/>
      <c r="DS8" s="520"/>
      <c r="DT8" s="520"/>
      <c r="DU8" s="520"/>
      <c r="DV8" s="520"/>
      <c r="DW8" s="520"/>
      <c r="DX8" s="520"/>
      <c r="DY8" s="520"/>
      <c r="DZ8" s="520"/>
      <c r="EA8" s="520"/>
      <c r="EB8" s="520"/>
      <c r="EC8" s="520"/>
      <c r="ED8" s="520"/>
      <c r="EE8" s="520"/>
      <c r="EF8" s="520"/>
      <c r="EG8" s="520"/>
      <c r="EH8" s="520"/>
      <c r="EI8" s="520"/>
      <c r="EJ8" s="520"/>
      <c r="EK8" s="520"/>
      <c r="EL8" s="520"/>
      <c r="EM8" s="520"/>
      <c r="EN8" s="520"/>
      <c r="EO8" s="520"/>
      <c r="EP8" s="520"/>
      <c r="EQ8" s="520"/>
      <c r="ER8" s="520"/>
      <c r="ES8" s="520"/>
      <c r="ET8" s="520"/>
      <c r="EU8" s="520"/>
      <c r="EV8" s="520"/>
      <c r="EW8" s="520"/>
      <c r="EX8" s="520"/>
      <c r="EY8" s="520"/>
      <c r="EZ8" s="520"/>
      <c r="FA8" s="520"/>
      <c r="FB8" s="520"/>
      <c r="FC8" s="520"/>
      <c r="FD8" s="520"/>
      <c r="FE8" s="520"/>
      <c r="FF8" s="520"/>
      <c r="FG8" s="520"/>
      <c r="FH8" s="520"/>
      <c r="FI8" s="520"/>
      <c r="FJ8" s="520"/>
      <c r="FK8" s="520"/>
      <c r="FL8" s="520"/>
      <c r="FM8" s="520"/>
      <c r="FN8" s="520"/>
      <c r="FO8" s="520"/>
      <c r="FP8" s="520"/>
      <c r="FQ8" s="520"/>
      <c r="FR8" s="520"/>
      <c r="FS8" s="520"/>
      <c r="FT8" s="520"/>
      <c r="FU8" s="520"/>
      <c r="FV8" s="520"/>
      <c r="FW8" s="520"/>
      <c r="FX8" s="520"/>
      <c r="FY8" s="520"/>
      <c r="FZ8" s="520"/>
      <c r="GA8" s="520"/>
      <c r="GB8" s="520"/>
      <c r="GC8" s="520"/>
      <c r="GD8" s="520"/>
      <c r="GE8" s="520"/>
      <c r="GF8" s="520"/>
      <c r="GG8" s="520"/>
      <c r="GH8" s="520"/>
      <c r="GI8" s="520"/>
      <c r="GJ8" s="520"/>
      <c r="GK8" s="520"/>
      <c r="GL8" s="520"/>
      <c r="GM8" s="520"/>
      <c r="GN8" s="520"/>
      <c r="GO8" s="520"/>
      <c r="GP8" s="520"/>
      <c r="GQ8" s="520"/>
      <c r="GR8" s="520"/>
      <c r="GS8" s="520"/>
      <c r="GT8" s="520"/>
      <c r="GU8" s="520"/>
      <c r="GV8" s="520"/>
      <c r="GW8" s="520"/>
      <c r="GX8" s="520"/>
      <c r="GY8" s="520"/>
      <c r="GZ8" s="520"/>
      <c r="HA8" s="520"/>
      <c r="HB8" s="520"/>
      <c r="HC8" s="520"/>
      <c r="HD8" s="520"/>
      <c r="HE8" s="520"/>
      <c r="HF8" s="520"/>
      <c r="HG8" s="520"/>
      <c r="HH8" s="520"/>
      <c r="HI8" s="520"/>
      <c r="HJ8" s="520"/>
      <c r="HK8" s="520"/>
      <c r="HL8" s="520"/>
      <c r="HM8" s="520"/>
      <c r="HN8" s="520"/>
      <c r="HO8" s="520"/>
      <c r="HP8" s="520"/>
      <c r="HQ8" s="520"/>
      <c r="HR8" s="520"/>
      <c r="HS8" s="520"/>
      <c r="HT8" s="520"/>
      <c r="HU8" s="520"/>
      <c r="HV8" s="520"/>
      <c r="HW8" s="520"/>
      <c r="HX8" s="520"/>
      <c r="HY8" s="520"/>
      <c r="HZ8" s="520"/>
      <c r="IA8" s="520"/>
      <c r="IB8" s="520"/>
      <c r="IC8" s="520"/>
      <c r="ID8" s="520"/>
      <c r="IE8" s="520"/>
      <c r="IF8" s="520"/>
      <c r="IG8" s="520"/>
      <c r="IH8" s="520"/>
      <c r="II8" s="520"/>
      <c r="IJ8" s="520"/>
      <c r="IK8" s="520"/>
      <c r="IL8" s="520"/>
      <c r="IM8" s="520"/>
      <c r="IN8" s="520"/>
      <c r="IO8" s="520"/>
      <c r="IP8" s="520"/>
      <c r="IQ8" s="520"/>
      <c r="IR8" s="520"/>
      <c r="IS8" s="520"/>
      <c r="IT8" s="520"/>
      <c r="IU8" s="520"/>
      <c r="IV8" s="520"/>
    </row>
    <row r="9" spans="1:256" ht="19.899999999999999" customHeight="1">
      <c r="A9" s="521"/>
      <c r="B9" s="371" t="s">
        <v>1610</v>
      </c>
      <c r="C9" s="372"/>
      <c r="D9" s="372"/>
      <c r="E9" s="376"/>
      <c r="F9" s="374"/>
      <c r="G9" s="374"/>
      <c r="H9" s="374"/>
      <c r="I9" s="374"/>
      <c r="J9" s="519"/>
      <c r="K9" s="520"/>
      <c r="L9" s="520"/>
      <c r="M9" s="520"/>
      <c r="N9" s="520"/>
      <c r="O9" s="520"/>
      <c r="P9" s="520"/>
      <c r="Q9" s="520"/>
      <c r="R9" s="520"/>
      <c r="S9" s="520"/>
      <c r="T9" s="520"/>
      <c r="U9" s="520"/>
      <c r="V9" s="520"/>
      <c r="W9" s="520"/>
      <c r="X9" s="520"/>
      <c r="Y9" s="520"/>
      <c r="Z9" s="520"/>
      <c r="AA9" s="520"/>
      <c r="AB9" s="520"/>
      <c r="AC9" s="520"/>
      <c r="AD9" s="520"/>
      <c r="AE9" s="520"/>
      <c r="AF9" s="520"/>
      <c r="AG9" s="520"/>
      <c r="AH9" s="520"/>
      <c r="AI9" s="520"/>
      <c r="AJ9" s="520"/>
      <c r="AK9" s="520"/>
      <c r="AL9" s="520"/>
      <c r="AM9" s="520"/>
      <c r="AN9" s="520"/>
      <c r="AO9" s="520"/>
      <c r="AP9" s="520"/>
      <c r="AQ9" s="520"/>
      <c r="AR9" s="520"/>
      <c r="AS9" s="520"/>
      <c r="AT9" s="520"/>
      <c r="AU9" s="520"/>
      <c r="AV9" s="520"/>
      <c r="AW9" s="520"/>
      <c r="AX9" s="520"/>
      <c r="AY9" s="520"/>
      <c r="AZ9" s="520"/>
      <c r="BA9" s="520"/>
      <c r="BB9" s="520"/>
      <c r="BC9" s="520"/>
      <c r="BD9" s="520"/>
      <c r="BE9" s="520"/>
      <c r="BF9" s="520"/>
      <c r="BG9" s="520"/>
      <c r="BH9" s="520"/>
      <c r="BI9" s="520"/>
      <c r="BJ9" s="520"/>
      <c r="BK9" s="520"/>
      <c r="BL9" s="520"/>
      <c r="BM9" s="520"/>
      <c r="BN9" s="520"/>
      <c r="BO9" s="520"/>
      <c r="BP9" s="520"/>
      <c r="BQ9" s="520"/>
      <c r="BR9" s="520"/>
      <c r="BS9" s="520"/>
      <c r="BT9" s="520"/>
      <c r="BU9" s="520"/>
      <c r="BV9" s="520"/>
      <c r="BW9" s="520"/>
      <c r="BX9" s="520"/>
      <c r="BY9" s="520"/>
      <c r="BZ9" s="520"/>
      <c r="CA9" s="520"/>
      <c r="CB9" s="520"/>
      <c r="CC9" s="520"/>
      <c r="CD9" s="520"/>
      <c r="CE9" s="520"/>
      <c r="CF9" s="520"/>
      <c r="CG9" s="520"/>
      <c r="CH9" s="520"/>
      <c r="CI9" s="520"/>
      <c r="CJ9" s="520"/>
      <c r="CK9" s="520"/>
      <c r="CL9" s="520"/>
      <c r="CM9" s="520"/>
      <c r="CN9" s="520"/>
      <c r="CO9" s="520"/>
      <c r="CP9" s="520"/>
      <c r="CQ9" s="520"/>
      <c r="CR9" s="520"/>
      <c r="CS9" s="520"/>
      <c r="CT9" s="520"/>
      <c r="CU9" s="520"/>
      <c r="CV9" s="520"/>
      <c r="CW9" s="520"/>
      <c r="CX9" s="520"/>
      <c r="CY9" s="520"/>
      <c r="CZ9" s="520"/>
      <c r="DA9" s="520"/>
      <c r="DB9" s="520"/>
      <c r="DC9" s="520"/>
      <c r="DD9" s="520"/>
      <c r="DE9" s="520"/>
      <c r="DF9" s="520"/>
      <c r="DG9" s="520"/>
      <c r="DH9" s="520"/>
      <c r="DI9" s="520"/>
      <c r="DJ9" s="520"/>
      <c r="DK9" s="520"/>
      <c r="DL9" s="520"/>
      <c r="DM9" s="520"/>
      <c r="DN9" s="520"/>
      <c r="DO9" s="520"/>
      <c r="DP9" s="520"/>
      <c r="DQ9" s="520"/>
      <c r="DR9" s="520"/>
      <c r="DS9" s="520"/>
      <c r="DT9" s="520"/>
      <c r="DU9" s="520"/>
      <c r="DV9" s="520"/>
      <c r="DW9" s="520"/>
      <c r="DX9" s="520"/>
      <c r="DY9" s="520"/>
      <c r="DZ9" s="520"/>
      <c r="EA9" s="520"/>
      <c r="EB9" s="520"/>
      <c r="EC9" s="520"/>
      <c r="ED9" s="520"/>
      <c r="EE9" s="520"/>
      <c r="EF9" s="520"/>
      <c r="EG9" s="520"/>
      <c r="EH9" s="520"/>
      <c r="EI9" s="520"/>
      <c r="EJ9" s="520"/>
      <c r="EK9" s="520"/>
      <c r="EL9" s="520"/>
      <c r="EM9" s="520"/>
      <c r="EN9" s="520"/>
      <c r="EO9" s="520"/>
      <c r="EP9" s="520"/>
      <c r="EQ9" s="520"/>
      <c r="ER9" s="520"/>
      <c r="ES9" s="520"/>
      <c r="ET9" s="520"/>
      <c r="EU9" s="520"/>
      <c r="EV9" s="520"/>
      <c r="EW9" s="520"/>
      <c r="EX9" s="520"/>
      <c r="EY9" s="520"/>
      <c r="EZ9" s="520"/>
      <c r="FA9" s="520"/>
      <c r="FB9" s="520"/>
      <c r="FC9" s="520"/>
      <c r="FD9" s="520"/>
      <c r="FE9" s="520"/>
      <c r="FF9" s="520"/>
      <c r="FG9" s="520"/>
      <c r="FH9" s="520"/>
      <c r="FI9" s="520"/>
      <c r="FJ9" s="520"/>
      <c r="FK9" s="520"/>
      <c r="FL9" s="520"/>
      <c r="FM9" s="520"/>
      <c r="FN9" s="520"/>
      <c r="FO9" s="520"/>
      <c r="FP9" s="520"/>
      <c r="FQ9" s="520"/>
      <c r="FR9" s="520"/>
      <c r="FS9" s="520"/>
      <c r="FT9" s="520"/>
      <c r="FU9" s="520"/>
      <c r="FV9" s="520"/>
      <c r="FW9" s="520"/>
      <c r="FX9" s="520"/>
      <c r="FY9" s="520"/>
      <c r="FZ9" s="520"/>
      <c r="GA9" s="520"/>
      <c r="GB9" s="520"/>
      <c r="GC9" s="520"/>
      <c r="GD9" s="520"/>
      <c r="GE9" s="520"/>
      <c r="GF9" s="520"/>
      <c r="GG9" s="520"/>
      <c r="GH9" s="520"/>
      <c r="GI9" s="520"/>
      <c r="GJ9" s="520"/>
      <c r="GK9" s="520"/>
      <c r="GL9" s="520"/>
      <c r="GM9" s="520"/>
      <c r="GN9" s="520"/>
      <c r="GO9" s="520"/>
      <c r="GP9" s="520"/>
      <c r="GQ9" s="520"/>
      <c r="GR9" s="520"/>
      <c r="GS9" s="520"/>
      <c r="GT9" s="520"/>
      <c r="GU9" s="520"/>
      <c r="GV9" s="520"/>
      <c r="GW9" s="520"/>
      <c r="GX9" s="520"/>
      <c r="GY9" s="520"/>
      <c r="GZ9" s="520"/>
      <c r="HA9" s="520"/>
      <c r="HB9" s="520"/>
      <c r="HC9" s="520"/>
      <c r="HD9" s="520"/>
      <c r="HE9" s="520"/>
      <c r="HF9" s="520"/>
      <c r="HG9" s="520"/>
      <c r="HH9" s="520"/>
      <c r="HI9" s="520"/>
      <c r="HJ9" s="520"/>
      <c r="HK9" s="520"/>
      <c r="HL9" s="520"/>
      <c r="HM9" s="520"/>
      <c r="HN9" s="520"/>
      <c r="HO9" s="520"/>
      <c r="HP9" s="520"/>
      <c r="HQ9" s="520"/>
      <c r="HR9" s="520"/>
      <c r="HS9" s="520"/>
      <c r="HT9" s="520"/>
      <c r="HU9" s="520"/>
      <c r="HV9" s="520"/>
      <c r="HW9" s="520"/>
      <c r="HX9" s="520"/>
      <c r="HY9" s="520"/>
      <c r="HZ9" s="520"/>
      <c r="IA9" s="520"/>
      <c r="IB9" s="520"/>
      <c r="IC9" s="520"/>
      <c r="ID9" s="520"/>
      <c r="IE9" s="520"/>
      <c r="IF9" s="520"/>
      <c r="IG9" s="520"/>
      <c r="IH9" s="520"/>
      <c r="II9" s="520"/>
      <c r="IJ9" s="520"/>
      <c r="IK9" s="520"/>
      <c r="IL9" s="520"/>
      <c r="IM9" s="520"/>
      <c r="IN9" s="520"/>
      <c r="IO9" s="520"/>
      <c r="IP9" s="520"/>
      <c r="IQ9" s="520"/>
      <c r="IR9" s="520"/>
      <c r="IS9" s="520"/>
      <c r="IT9" s="520"/>
      <c r="IU9" s="520"/>
      <c r="IV9" s="520"/>
    </row>
    <row r="10" spans="1:256" ht="19.899999999999999" customHeight="1">
      <c r="A10" s="521"/>
      <c r="B10" s="522" t="s">
        <v>4375</v>
      </c>
      <c r="C10" s="372"/>
      <c r="D10" s="372"/>
      <c r="E10" s="376"/>
      <c r="F10" s="374"/>
      <c r="G10" s="374"/>
      <c r="H10" s="374"/>
      <c r="I10" s="374"/>
      <c r="J10" s="519"/>
      <c r="K10" s="520"/>
      <c r="L10" s="520"/>
      <c r="M10" s="520"/>
      <c r="N10" s="520"/>
      <c r="O10" s="520"/>
      <c r="P10" s="520"/>
      <c r="Q10" s="520"/>
      <c r="R10" s="520"/>
      <c r="S10" s="520"/>
      <c r="T10" s="520"/>
      <c r="U10" s="520"/>
      <c r="V10" s="520"/>
      <c r="W10" s="520"/>
      <c r="X10" s="520"/>
      <c r="Y10" s="520"/>
      <c r="Z10" s="520"/>
      <c r="AA10" s="520"/>
      <c r="AB10" s="520"/>
      <c r="AC10" s="520"/>
      <c r="AD10" s="520"/>
      <c r="AE10" s="520"/>
      <c r="AF10" s="520"/>
      <c r="AG10" s="520"/>
      <c r="AH10" s="520"/>
      <c r="AI10" s="520"/>
      <c r="AJ10" s="520"/>
      <c r="AK10" s="520"/>
      <c r="AL10" s="520"/>
      <c r="AM10" s="520"/>
      <c r="AN10" s="520"/>
      <c r="AO10" s="520"/>
      <c r="AP10" s="520"/>
      <c r="AQ10" s="520"/>
      <c r="AR10" s="520"/>
      <c r="AS10" s="520"/>
      <c r="AT10" s="520"/>
      <c r="AU10" s="520"/>
      <c r="AV10" s="520"/>
      <c r="AW10" s="520"/>
      <c r="AX10" s="520"/>
      <c r="AY10" s="520"/>
      <c r="AZ10" s="520"/>
      <c r="BA10" s="520"/>
      <c r="BB10" s="520"/>
      <c r="BC10" s="520"/>
      <c r="BD10" s="520"/>
      <c r="BE10" s="520"/>
      <c r="BF10" s="520"/>
      <c r="BG10" s="520"/>
      <c r="BH10" s="520"/>
      <c r="BI10" s="520"/>
      <c r="BJ10" s="520"/>
      <c r="BK10" s="520"/>
      <c r="BL10" s="520"/>
      <c r="BM10" s="520"/>
      <c r="BN10" s="520"/>
      <c r="BO10" s="520"/>
      <c r="BP10" s="520"/>
      <c r="BQ10" s="520"/>
      <c r="BR10" s="520"/>
      <c r="BS10" s="520"/>
      <c r="BT10" s="520"/>
      <c r="BU10" s="520"/>
      <c r="BV10" s="520"/>
      <c r="BW10" s="520"/>
      <c r="BX10" s="520"/>
      <c r="BY10" s="520"/>
      <c r="BZ10" s="520"/>
      <c r="CA10" s="520"/>
      <c r="CB10" s="520"/>
      <c r="CC10" s="520"/>
      <c r="CD10" s="520"/>
      <c r="CE10" s="520"/>
      <c r="CF10" s="520"/>
      <c r="CG10" s="520"/>
      <c r="CH10" s="520"/>
      <c r="CI10" s="520"/>
      <c r="CJ10" s="520"/>
      <c r="CK10" s="520"/>
      <c r="CL10" s="520"/>
      <c r="CM10" s="520"/>
      <c r="CN10" s="520"/>
      <c r="CO10" s="520"/>
      <c r="CP10" s="520"/>
      <c r="CQ10" s="520"/>
      <c r="CR10" s="520"/>
      <c r="CS10" s="520"/>
      <c r="CT10" s="520"/>
      <c r="CU10" s="520"/>
      <c r="CV10" s="520"/>
      <c r="CW10" s="520"/>
      <c r="CX10" s="520"/>
      <c r="CY10" s="520"/>
      <c r="CZ10" s="520"/>
      <c r="DA10" s="520"/>
      <c r="DB10" s="520"/>
      <c r="DC10" s="520"/>
      <c r="DD10" s="520"/>
      <c r="DE10" s="520"/>
      <c r="DF10" s="520"/>
      <c r="DG10" s="520"/>
      <c r="DH10" s="520"/>
      <c r="DI10" s="520"/>
      <c r="DJ10" s="520"/>
      <c r="DK10" s="520"/>
      <c r="DL10" s="520"/>
      <c r="DM10" s="520"/>
      <c r="DN10" s="520"/>
      <c r="DO10" s="520"/>
      <c r="DP10" s="520"/>
      <c r="DQ10" s="520"/>
      <c r="DR10" s="520"/>
      <c r="DS10" s="520"/>
      <c r="DT10" s="520"/>
      <c r="DU10" s="520"/>
      <c r="DV10" s="520"/>
      <c r="DW10" s="520"/>
      <c r="DX10" s="520"/>
      <c r="DY10" s="520"/>
      <c r="DZ10" s="520"/>
      <c r="EA10" s="520"/>
      <c r="EB10" s="520"/>
      <c r="EC10" s="520"/>
      <c r="ED10" s="520"/>
      <c r="EE10" s="520"/>
      <c r="EF10" s="520"/>
      <c r="EG10" s="520"/>
      <c r="EH10" s="520"/>
      <c r="EI10" s="520"/>
      <c r="EJ10" s="520"/>
      <c r="EK10" s="520"/>
      <c r="EL10" s="520"/>
      <c r="EM10" s="520"/>
      <c r="EN10" s="520"/>
      <c r="EO10" s="520"/>
      <c r="EP10" s="520"/>
      <c r="EQ10" s="520"/>
      <c r="ER10" s="520"/>
      <c r="ES10" s="520"/>
      <c r="ET10" s="520"/>
      <c r="EU10" s="520"/>
      <c r="EV10" s="520"/>
      <c r="EW10" s="520"/>
      <c r="EX10" s="520"/>
      <c r="EY10" s="520"/>
      <c r="EZ10" s="520"/>
      <c r="FA10" s="520"/>
      <c r="FB10" s="520"/>
      <c r="FC10" s="520"/>
      <c r="FD10" s="520"/>
      <c r="FE10" s="520"/>
      <c r="FF10" s="520"/>
      <c r="FG10" s="520"/>
      <c r="FH10" s="520"/>
      <c r="FI10" s="520"/>
      <c r="FJ10" s="520"/>
      <c r="FK10" s="520"/>
      <c r="FL10" s="520"/>
      <c r="FM10" s="520"/>
      <c r="FN10" s="520"/>
      <c r="FO10" s="520"/>
      <c r="FP10" s="520"/>
      <c r="FQ10" s="520"/>
      <c r="FR10" s="520"/>
      <c r="FS10" s="520"/>
      <c r="FT10" s="520"/>
      <c r="FU10" s="520"/>
      <c r="FV10" s="520"/>
      <c r="FW10" s="520"/>
      <c r="FX10" s="520"/>
      <c r="FY10" s="520"/>
      <c r="FZ10" s="520"/>
      <c r="GA10" s="520"/>
      <c r="GB10" s="520"/>
      <c r="GC10" s="520"/>
      <c r="GD10" s="520"/>
      <c r="GE10" s="520"/>
      <c r="GF10" s="520"/>
      <c r="GG10" s="520"/>
      <c r="GH10" s="520"/>
      <c r="GI10" s="520"/>
      <c r="GJ10" s="520"/>
      <c r="GK10" s="520"/>
      <c r="GL10" s="520"/>
      <c r="GM10" s="520"/>
      <c r="GN10" s="520"/>
      <c r="GO10" s="520"/>
      <c r="GP10" s="520"/>
      <c r="GQ10" s="520"/>
      <c r="GR10" s="520"/>
      <c r="GS10" s="520"/>
      <c r="GT10" s="520"/>
      <c r="GU10" s="520"/>
      <c r="GV10" s="520"/>
      <c r="GW10" s="520"/>
      <c r="GX10" s="520"/>
      <c r="GY10" s="520"/>
      <c r="GZ10" s="520"/>
      <c r="HA10" s="520"/>
      <c r="HB10" s="520"/>
      <c r="HC10" s="520"/>
      <c r="HD10" s="520"/>
      <c r="HE10" s="520"/>
      <c r="HF10" s="520"/>
      <c r="HG10" s="520"/>
      <c r="HH10" s="520"/>
      <c r="HI10" s="520"/>
      <c r="HJ10" s="520"/>
      <c r="HK10" s="520"/>
      <c r="HL10" s="520"/>
      <c r="HM10" s="520"/>
      <c r="HN10" s="520"/>
      <c r="HO10" s="520"/>
      <c r="HP10" s="520"/>
      <c r="HQ10" s="520"/>
      <c r="HR10" s="520"/>
      <c r="HS10" s="520"/>
      <c r="HT10" s="520"/>
      <c r="HU10" s="520"/>
      <c r="HV10" s="520"/>
      <c r="HW10" s="520"/>
      <c r="HX10" s="520"/>
      <c r="HY10" s="520"/>
      <c r="HZ10" s="520"/>
      <c r="IA10" s="520"/>
      <c r="IB10" s="520"/>
      <c r="IC10" s="520"/>
      <c r="ID10" s="520"/>
      <c r="IE10" s="520"/>
      <c r="IF10" s="520"/>
      <c r="IG10" s="520"/>
      <c r="IH10" s="520"/>
      <c r="II10" s="520"/>
      <c r="IJ10" s="520"/>
      <c r="IK10" s="520"/>
      <c r="IL10" s="520"/>
      <c r="IM10" s="520"/>
      <c r="IN10" s="520"/>
      <c r="IO10" s="520"/>
      <c r="IP10" s="520"/>
      <c r="IQ10" s="520"/>
      <c r="IR10" s="520"/>
      <c r="IS10" s="520"/>
      <c r="IT10" s="520"/>
      <c r="IU10" s="520"/>
      <c r="IV10" s="520"/>
    </row>
    <row r="11" spans="1:256" ht="19.899999999999999" customHeight="1">
      <c r="A11" s="521"/>
      <c r="B11" s="375" t="s">
        <v>4376</v>
      </c>
      <c r="C11" s="523">
        <v>1</v>
      </c>
      <c r="D11" s="523" t="s">
        <v>4377</v>
      </c>
      <c r="E11" s="376">
        <v>1</v>
      </c>
      <c r="F11" s="524">
        <v>56.2</v>
      </c>
      <c r="G11" s="374">
        <v>0.38</v>
      </c>
      <c r="H11" s="374">
        <v>0.4</v>
      </c>
      <c r="I11" s="525">
        <f>ROUND(PRODUCT(C11:H11),2)</f>
        <v>8.5399999999999991</v>
      </c>
      <c r="J11" s="519"/>
      <c r="K11" s="520"/>
      <c r="L11" s="520">
        <v>0.5</v>
      </c>
      <c r="M11" s="520"/>
      <c r="N11" s="520"/>
      <c r="O11" s="520"/>
      <c r="P11" s="520"/>
      <c r="Q11" s="520"/>
      <c r="R11" s="520"/>
      <c r="S11" s="520"/>
      <c r="T11" s="520"/>
      <c r="U11" s="520"/>
      <c r="V11" s="520"/>
      <c r="W11" s="520"/>
      <c r="X11" s="520"/>
      <c r="Y11" s="520"/>
      <c r="Z11" s="520"/>
      <c r="AA11" s="520"/>
      <c r="AB11" s="520"/>
      <c r="AC11" s="520"/>
      <c r="AD11" s="520"/>
      <c r="AE11" s="520"/>
      <c r="AF11" s="520"/>
      <c r="AG11" s="520"/>
      <c r="AH11" s="520"/>
      <c r="AI11" s="520"/>
      <c r="AJ11" s="520"/>
      <c r="AK11" s="520"/>
      <c r="AL11" s="520"/>
      <c r="AM11" s="520"/>
      <c r="AN11" s="520"/>
      <c r="AO11" s="520"/>
      <c r="AP11" s="520"/>
      <c r="AQ11" s="520"/>
      <c r="AR11" s="520"/>
      <c r="AS11" s="520"/>
      <c r="AT11" s="520"/>
      <c r="AU11" s="520"/>
      <c r="AV11" s="520"/>
      <c r="AW11" s="520"/>
      <c r="AX11" s="520"/>
      <c r="AY11" s="520"/>
      <c r="AZ11" s="520"/>
      <c r="BA11" s="520"/>
      <c r="BB11" s="520"/>
      <c r="BC11" s="520"/>
      <c r="BD11" s="520"/>
      <c r="BE11" s="520"/>
      <c r="BF11" s="520"/>
      <c r="BG11" s="520"/>
      <c r="BH11" s="520"/>
      <c r="BI11" s="520"/>
      <c r="BJ11" s="520"/>
      <c r="BK11" s="520"/>
      <c r="BL11" s="520"/>
      <c r="BM11" s="520"/>
      <c r="BN11" s="520"/>
      <c r="BO11" s="520"/>
      <c r="BP11" s="520"/>
      <c r="BQ11" s="520"/>
      <c r="BR11" s="520"/>
      <c r="BS11" s="520"/>
      <c r="BT11" s="520"/>
      <c r="BU11" s="520"/>
      <c r="BV11" s="520"/>
      <c r="BW11" s="520"/>
      <c r="BX11" s="520"/>
      <c r="BY11" s="520"/>
      <c r="BZ11" s="520"/>
      <c r="CA11" s="520"/>
      <c r="CB11" s="520"/>
      <c r="CC11" s="520"/>
      <c r="CD11" s="520"/>
      <c r="CE11" s="520"/>
      <c r="CF11" s="520"/>
      <c r="CG11" s="520"/>
      <c r="CH11" s="520"/>
      <c r="CI11" s="520"/>
      <c r="CJ11" s="520"/>
      <c r="CK11" s="520"/>
      <c r="CL11" s="520"/>
      <c r="CM11" s="520"/>
      <c r="CN11" s="520"/>
      <c r="CO11" s="520"/>
      <c r="CP11" s="520"/>
      <c r="CQ11" s="520"/>
      <c r="CR11" s="520"/>
      <c r="CS11" s="520"/>
      <c r="CT11" s="520"/>
      <c r="CU11" s="520"/>
      <c r="CV11" s="520"/>
      <c r="CW11" s="520"/>
      <c r="CX11" s="520"/>
      <c r="CY11" s="520"/>
      <c r="CZ11" s="520"/>
      <c r="DA11" s="520"/>
      <c r="DB11" s="520"/>
      <c r="DC11" s="520"/>
      <c r="DD11" s="520"/>
      <c r="DE11" s="520"/>
      <c r="DF11" s="520"/>
      <c r="DG11" s="520"/>
      <c r="DH11" s="520"/>
      <c r="DI11" s="520"/>
      <c r="DJ11" s="520"/>
      <c r="DK11" s="520"/>
      <c r="DL11" s="520"/>
      <c r="DM11" s="520"/>
      <c r="DN11" s="520"/>
      <c r="DO11" s="520"/>
      <c r="DP11" s="520"/>
      <c r="DQ11" s="520"/>
      <c r="DR11" s="520"/>
      <c r="DS11" s="520"/>
      <c r="DT11" s="520"/>
      <c r="DU11" s="520"/>
      <c r="DV11" s="520"/>
      <c r="DW11" s="520"/>
      <c r="DX11" s="520"/>
      <c r="DY11" s="520"/>
      <c r="DZ11" s="520"/>
      <c r="EA11" s="520"/>
      <c r="EB11" s="520"/>
      <c r="EC11" s="520"/>
      <c r="ED11" s="520"/>
      <c r="EE11" s="520"/>
      <c r="EF11" s="520"/>
      <c r="EG11" s="520"/>
      <c r="EH11" s="520"/>
      <c r="EI11" s="520"/>
      <c r="EJ11" s="520"/>
      <c r="EK11" s="520"/>
      <c r="EL11" s="520"/>
      <c r="EM11" s="520"/>
      <c r="EN11" s="520"/>
      <c r="EO11" s="520"/>
      <c r="EP11" s="520"/>
      <c r="EQ11" s="520"/>
      <c r="ER11" s="520"/>
      <c r="ES11" s="520"/>
      <c r="ET11" s="520"/>
      <c r="EU11" s="520"/>
      <c r="EV11" s="520"/>
      <c r="EW11" s="520"/>
      <c r="EX11" s="520"/>
      <c r="EY11" s="520"/>
      <c r="EZ11" s="520"/>
      <c r="FA11" s="520"/>
      <c r="FB11" s="520"/>
      <c r="FC11" s="520"/>
      <c r="FD11" s="520"/>
      <c r="FE11" s="520"/>
      <c r="FF11" s="520"/>
      <c r="FG11" s="520"/>
      <c r="FH11" s="520"/>
      <c r="FI11" s="520"/>
      <c r="FJ11" s="520"/>
      <c r="FK11" s="520"/>
      <c r="FL11" s="520"/>
      <c r="FM11" s="520"/>
      <c r="FN11" s="520"/>
      <c r="FO11" s="520"/>
      <c r="FP11" s="520"/>
      <c r="FQ11" s="520"/>
      <c r="FR11" s="520"/>
      <c r="FS11" s="520"/>
      <c r="FT11" s="520"/>
      <c r="FU11" s="520"/>
      <c r="FV11" s="520"/>
      <c r="FW11" s="520"/>
      <c r="FX11" s="520"/>
      <c r="FY11" s="520"/>
      <c r="FZ11" s="520"/>
      <c r="GA11" s="520"/>
      <c r="GB11" s="520"/>
      <c r="GC11" s="520"/>
      <c r="GD11" s="520"/>
      <c r="GE11" s="520"/>
      <c r="GF11" s="520"/>
      <c r="GG11" s="520"/>
      <c r="GH11" s="520"/>
      <c r="GI11" s="520"/>
      <c r="GJ11" s="520"/>
      <c r="GK11" s="520"/>
      <c r="GL11" s="520"/>
      <c r="GM11" s="520"/>
      <c r="GN11" s="520"/>
      <c r="GO11" s="520"/>
      <c r="GP11" s="520"/>
      <c r="GQ11" s="520"/>
      <c r="GR11" s="520"/>
      <c r="GS11" s="520"/>
      <c r="GT11" s="520"/>
      <c r="GU11" s="520"/>
      <c r="GV11" s="520"/>
      <c r="GW11" s="520"/>
      <c r="GX11" s="520"/>
      <c r="GY11" s="520"/>
      <c r="GZ11" s="520"/>
      <c r="HA11" s="520"/>
      <c r="HB11" s="520"/>
      <c r="HC11" s="520"/>
      <c r="HD11" s="520"/>
      <c r="HE11" s="520"/>
      <c r="HF11" s="520"/>
      <c r="HG11" s="520"/>
      <c r="HH11" s="520"/>
      <c r="HI11" s="520"/>
      <c r="HJ11" s="520"/>
      <c r="HK11" s="520"/>
      <c r="HL11" s="520"/>
      <c r="HM11" s="520"/>
      <c r="HN11" s="520"/>
      <c r="HO11" s="520"/>
      <c r="HP11" s="520"/>
      <c r="HQ11" s="520"/>
      <c r="HR11" s="520"/>
      <c r="HS11" s="520"/>
      <c r="HT11" s="520"/>
      <c r="HU11" s="520"/>
      <c r="HV11" s="520"/>
      <c r="HW11" s="520"/>
      <c r="HX11" s="520"/>
      <c r="HY11" s="520"/>
      <c r="HZ11" s="520"/>
      <c r="IA11" s="520"/>
      <c r="IB11" s="520"/>
      <c r="IC11" s="520"/>
      <c r="ID11" s="520"/>
      <c r="IE11" s="520"/>
      <c r="IF11" s="520"/>
      <c r="IG11" s="520"/>
      <c r="IH11" s="520"/>
      <c r="II11" s="520"/>
      <c r="IJ11" s="520"/>
      <c r="IK11" s="520"/>
      <c r="IL11" s="520"/>
      <c r="IM11" s="520"/>
      <c r="IN11" s="520"/>
      <c r="IO11" s="520"/>
      <c r="IP11" s="520"/>
      <c r="IQ11" s="520"/>
      <c r="IR11" s="520"/>
      <c r="IS11" s="520"/>
      <c r="IT11" s="520"/>
      <c r="IU11" s="520"/>
      <c r="IV11" s="520"/>
    </row>
    <row r="12" spans="1:256" ht="19.899999999999999" customHeight="1">
      <c r="A12" s="521"/>
      <c r="B12" s="375" t="s">
        <v>4795</v>
      </c>
      <c r="C12" s="523">
        <v>-1</v>
      </c>
      <c r="D12" s="523" t="s">
        <v>4377</v>
      </c>
      <c r="E12" s="861">
        <v>1</v>
      </c>
      <c r="F12" s="524">
        <v>6.91</v>
      </c>
      <c r="G12" s="374">
        <v>0.38</v>
      </c>
      <c r="H12" s="374">
        <v>0.4</v>
      </c>
      <c r="I12" s="525">
        <f>ROUND(PRODUCT(C12:H12),2)</f>
        <v>-1.05</v>
      </c>
      <c r="J12" s="519"/>
      <c r="K12" s="520"/>
      <c r="L12" s="520"/>
      <c r="M12" s="520"/>
      <c r="N12" s="520"/>
      <c r="O12" s="520"/>
      <c r="P12" s="520"/>
      <c r="Q12" s="520"/>
      <c r="R12" s="520"/>
      <c r="S12" s="520"/>
      <c r="T12" s="520"/>
      <c r="U12" s="520"/>
      <c r="V12" s="520"/>
      <c r="W12" s="520"/>
      <c r="X12" s="520"/>
      <c r="Y12" s="520"/>
      <c r="Z12" s="520"/>
      <c r="AA12" s="520"/>
      <c r="AB12" s="520"/>
      <c r="AC12" s="520"/>
      <c r="AD12" s="520"/>
      <c r="AE12" s="520"/>
      <c r="AF12" s="520"/>
      <c r="AG12" s="520"/>
      <c r="AH12" s="520"/>
      <c r="AI12" s="520"/>
      <c r="AJ12" s="520"/>
      <c r="AK12" s="520"/>
      <c r="AL12" s="520"/>
      <c r="AM12" s="520"/>
      <c r="AN12" s="520"/>
      <c r="AO12" s="520"/>
      <c r="AP12" s="520"/>
      <c r="AQ12" s="520"/>
      <c r="AR12" s="520"/>
      <c r="AS12" s="520"/>
      <c r="AT12" s="520"/>
      <c r="AU12" s="520"/>
      <c r="AV12" s="520"/>
      <c r="AW12" s="520"/>
      <c r="AX12" s="520"/>
      <c r="AY12" s="520"/>
      <c r="AZ12" s="520"/>
      <c r="BA12" s="520"/>
      <c r="BB12" s="520"/>
      <c r="BC12" s="520"/>
      <c r="BD12" s="520"/>
      <c r="BE12" s="520"/>
      <c r="BF12" s="520"/>
      <c r="BG12" s="520"/>
      <c r="BH12" s="520"/>
      <c r="BI12" s="520"/>
      <c r="BJ12" s="520"/>
      <c r="BK12" s="520"/>
      <c r="BL12" s="520"/>
      <c r="BM12" s="520"/>
      <c r="BN12" s="520"/>
      <c r="BO12" s="520"/>
      <c r="BP12" s="520"/>
      <c r="BQ12" s="520"/>
      <c r="BR12" s="520"/>
      <c r="BS12" s="520"/>
      <c r="BT12" s="520"/>
      <c r="BU12" s="520"/>
      <c r="BV12" s="520"/>
      <c r="BW12" s="520"/>
      <c r="BX12" s="520"/>
      <c r="BY12" s="520"/>
      <c r="BZ12" s="520"/>
      <c r="CA12" s="520"/>
      <c r="CB12" s="520"/>
      <c r="CC12" s="520"/>
      <c r="CD12" s="520"/>
      <c r="CE12" s="520"/>
      <c r="CF12" s="520"/>
      <c r="CG12" s="520"/>
      <c r="CH12" s="520"/>
      <c r="CI12" s="520"/>
      <c r="CJ12" s="520"/>
      <c r="CK12" s="520"/>
      <c r="CL12" s="520"/>
      <c r="CM12" s="520"/>
      <c r="CN12" s="520"/>
      <c r="CO12" s="520"/>
      <c r="CP12" s="520"/>
      <c r="CQ12" s="520"/>
      <c r="CR12" s="520"/>
      <c r="CS12" s="520"/>
      <c r="CT12" s="520"/>
      <c r="CU12" s="520"/>
      <c r="CV12" s="520"/>
      <c r="CW12" s="520"/>
      <c r="CX12" s="520"/>
      <c r="CY12" s="520"/>
      <c r="CZ12" s="520"/>
      <c r="DA12" s="520"/>
      <c r="DB12" s="520"/>
      <c r="DC12" s="520"/>
      <c r="DD12" s="520"/>
      <c r="DE12" s="520"/>
      <c r="DF12" s="520"/>
      <c r="DG12" s="520"/>
      <c r="DH12" s="520"/>
      <c r="DI12" s="520"/>
      <c r="DJ12" s="520"/>
      <c r="DK12" s="520"/>
      <c r="DL12" s="520"/>
      <c r="DM12" s="520"/>
      <c r="DN12" s="520"/>
      <c r="DO12" s="520"/>
      <c r="DP12" s="520"/>
      <c r="DQ12" s="520"/>
      <c r="DR12" s="520"/>
      <c r="DS12" s="520"/>
      <c r="DT12" s="520"/>
      <c r="DU12" s="520"/>
      <c r="DV12" s="520"/>
      <c r="DW12" s="520"/>
      <c r="DX12" s="520"/>
      <c r="DY12" s="520"/>
      <c r="DZ12" s="520"/>
      <c r="EA12" s="520"/>
      <c r="EB12" s="520"/>
      <c r="EC12" s="520"/>
      <c r="ED12" s="520"/>
      <c r="EE12" s="520"/>
      <c r="EF12" s="520"/>
      <c r="EG12" s="520"/>
      <c r="EH12" s="520"/>
      <c r="EI12" s="520"/>
      <c r="EJ12" s="520"/>
      <c r="EK12" s="520"/>
      <c r="EL12" s="520"/>
      <c r="EM12" s="520"/>
      <c r="EN12" s="520"/>
      <c r="EO12" s="520"/>
      <c r="EP12" s="520"/>
      <c r="EQ12" s="520"/>
      <c r="ER12" s="520"/>
      <c r="ES12" s="520"/>
      <c r="ET12" s="520"/>
      <c r="EU12" s="520"/>
      <c r="EV12" s="520"/>
      <c r="EW12" s="520"/>
      <c r="EX12" s="520"/>
      <c r="EY12" s="520"/>
      <c r="EZ12" s="520"/>
      <c r="FA12" s="520"/>
      <c r="FB12" s="520"/>
      <c r="FC12" s="520"/>
      <c r="FD12" s="520"/>
      <c r="FE12" s="520"/>
      <c r="FF12" s="520"/>
      <c r="FG12" s="520"/>
      <c r="FH12" s="520"/>
      <c r="FI12" s="520"/>
      <c r="FJ12" s="520"/>
      <c r="FK12" s="520"/>
      <c r="FL12" s="520"/>
      <c r="FM12" s="520"/>
      <c r="FN12" s="520"/>
      <c r="FO12" s="520"/>
      <c r="FP12" s="520"/>
      <c r="FQ12" s="520"/>
      <c r="FR12" s="520"/>
      <c r="FS12" s="520"/>
      <c r="FT12" s="520"/>
      <c r="FU12" s="520"/>
      <c r="FV12" s="520"/>
      <c r="FW12" s="520"/>
      <c r="FX12" s="520"/>
      <c r="FY12" s="520"/>
      <c r="FZ12" s="520"/>
      <c r="GA12" s="520"/>
      <c r="GB12" s="520"/>
      <c r="GC12" s="520"/>
      <c r="GD12" s="520"/>
      <c r="GE12" s="520"/>
      <c r="GF12" s="520"/>
      <c r="GG12" s="520"/>
      <c r="GH12" s="520"/>
      <c r="GI12" s="520"/>
      <c r="GJ12" s="520"/>
      <c r="GK12" s="520"/>
      <c r="GL12" s="520"/>
      <c r="GM12" s="520"/>
      <c r="GN12" s="520"/>
      <c r="GO12" s="520"/>
      <c r="GP12" s="520"/>
      <c r="GQ12" s="520"/>
      <c r="GR12" s="520"/>
      <c r="GS12" s="520"/>
      <c r="GT12" s="520"/>
      <c r="GU12" s="520"/>
      <c r="GV12" s="520"/>
      <c r="GW12" s="520"/>
      <c r="GX12" s="520"/>
      <c r="GY12" s="520"/>
      <c r="GZ12" s="520"/>
      <c r="HA12" s="520"/>
      <c r="HB12" s="520"/>
      <c r="HC12" s="520"/>
      <c r="HD12" s="520"/>
      <c r="HE12" s="520"/>
      <c r="HF12" s="520"/>
      <c r="HG12" s="520"/>
      <c r="HH12" s="520"/>
      <c r="HI12" s="520"/>
      <c r="HJ12" s="520"/>
      <c r="HK12" s="520"/>
      <c r="HL12" s="520"/>
      <c r="HM12" s="520"/>
      <c r="HN12" s="520"/>
      <c r="HO12" s="520"/>
      <c r="HP12" s="520"/>
      <c r="HQ12" s="520"/>
      <c r="HR12" s="520"/>
      <c r="HS12" s="520"/>
      <c r="HT12" s="520"/>
      <c r="HU12" s="520"/>
      <c r="HV12" s="520"/>
      <c r="HW12" s="520"/>
      <c r="HX12" s="520"/>
      <c r="HY12" s="520"/>
      <c r="HZ12" s="520"/>
      <c r="IA12" s="520"/>
      <c r="IB12" s="520"/>
      <c r="IC12" s="520"/>
      <c r="ID12" s="520"/>
      <c r="IE12" s="520"/>
      <c r="IF12" s="520"/>
      <c r="IG12" s="520"/>
      <c r="IH12" s="520"/>
      <c r="II12" s="520"/>
      <c r="IJ12" s="520"/>
      <c r="IK12" s="520"/>
      <c r="IL12" s="520"/>
      <c r="IM12" s="520"/>
      <c r="IN12" s="520"/>
      <c r="IO12" s="520"/>
      <c r="IP12" s="520"/>
      <c r="IQ12" s="520"/>
      <c r="IR12" s="520"/>
      <c r="IS12" s="520"/>
      <c r="IT12" s="520"/>
      <c r="IU12" s="520"/>
      <c r="IV12" s="520"/>
    </row>
    <row r="13" spans="1:256" ht="19.899999999999999" customHeight="1">
      <c r="A13" s="521"/>
      <c r="B13" s="375"/>
      <c r="C13" s="523"/>
      <c r="D13" s="523"/>
      <c r="E13" s="376"/>
      <c r="F13" s="374"/>
      <c r="G13" s="374"/>
      <c r="H13" s="374"/>
      <c r="I13" s="525">
        <v>0.01</v>
      </c>
      <c r="J13" s="519"/>
      <c r="K13" s="520"/>
      <c r="L13" s="520"/>
      <c r="M13" s="520"/>
      <c r="N13" s="520"/>
      <c r="O13" s="520"/>
      <c r="P13" s="520"/>
      <c r="Q13" s="520"/>
      <c r="R13" s="520"/>
      <c r="S13" s="520"/>
      <c r="T13" s="520"/>
      <c r="U13" s="520"/>
      <c r="V13" s="520"/>
      <c r="W13" s="520"/>
      <c r="X13" s="520"/>
      <c r="Y13" s="520"/>
      <c r="Z13" s="520"/>
      <c r="AA13" s="520"/>
      <c r="AB13" s="520"/>
      <c r="AC13" s="520"/>
      <c r="AD13" s="520"/>
      <c r="AE13" s="520"/>
      <c r="AF13" s="520"/>
      <c r="AG13" s="520"/>
      <c r="AH13" s="520"/>
      <c r="AI13" s="520"/>
      <c r="AJ13" s="520"/>
      <c r="AK13" s="520"/>
      <c r="AL13" s="520"/>
      <c r="AM13" s="520"/>
      <c r="AN13" s="520"/>
      <c r="AO13" s="520"/>
      <c r="AP13" s="520"/>
      <c r="AQ13" s="520"/>
      <c r="AR13" s="520"/>
      <c r="AS13" s="520"/>
      <c r="AT13" s="520"/>
      <c r="AU13" s="520"/>
      <c r="AV13" s="520"/>
      <c r="AW13" s="520"/>
      <c r="AX13" s="520"/>
      <c r="AY13" s="520"/>
      <c r="AZ13" s="520"/>
      <c r="BA13" s="520"/>
      <c r="BB13" s="520"/>
      <c r="BC13" s="520"/>
      <c r="BD13" s="520"/>
      <c r="BE13" s="520"/>
      <c r="BF13" s="520"/>
      <c r="BG13" s="520"/>
      <c r="BH13" s="520"/>
      <c r="BI13" s="520"/>
      <c r="BJ13" s="520"/>
      <c r="BK13" s="520"/>
      <c r="BL13" s="520"/>
      <c r="BM13" s="520"/>
      <c r="BN13" s="520"/>
      <c r="BO13" s="520"/>
      <c r="BP13" s="520"/>
      <c r="BQ13" s="520"/>
      <c r="BR13" s="520"/>
      <c r="BS13" s="520"/>
      <c r="BT13" s="520"/>
      <c r="BU13" s="520"/>
      <c r="BV13" s="520"/>
      <c r="BW13" s="520"/>
      <c r="BX13" s="520"/>
      <c r="BY13" s="520"/>
      <c r="BZ13" s="520"/>
      <c r="CA13" s="520"/>
      <c r="CB13" s="520"/>
      <c r="CC13" s="520"/>
      <c r="CD13" s="520"/>
      <c r="CE13" s="520"/>
      <c r="CF13" s="520"/>
      <c r="CG13" s="520"/>
      <c r="CH13" s="520"/>
      <c r="CI13" s="520"/>
      <c r="CJ13" s="520"/>
      <c r="CK13" s="520"/>
      <c r="CL13" s="520"/>
      <c r="CM13" s="520"/>
      <c r="CN13" s="520"/>
      <c r="CO13" s="520"/>
      <c r="CP13" s="520"/>
      <c r="CQ13" s="520"/>
      <c r="CR13" s="520"/>
      <c r="CS13" s="520"/>
      <c r="CT13" s="520"/>
      <c r="CU13" s="520"/>
      <c r="CV13" s="520"/>
      <c r="CW13" s="520"/>
      <c r="CX13" s="520"/>
      <c r="CY13" s="520"/>
      <c r="CZ13" s="520"/>
      <c r="DA13" s="520"/>
      <c r="DB13" s="520"/>
      <c r="DC13" s="520"/>
      <c r="DD13" s="520"/>
      <c r="DE13" s="520"/>
      <c r="DF13" s="520"/>
      <c r="DG13" s="520"/>
      <c r="DH13" s="520"/>
      <c r="DI13" s="520"/>
      <c r="DJ13" s="520"/>
      <c r="DK13" s="520"/>
      <c r="DL13" s="520"/>
      <c r="DM13" s="520"/>
      <c r="DN13" s="520"/>
      <c r="DO13" s="520"/>
      <c r="DP13" s="520"/>
      <c r="DQ13" s="520"/>
      <c r="DR13" s="520"/>
      <c r="DS13" s="520"/>
      <c r="DT13" s="520"/>
      <c r="DU13" s="520"/>
      <c r="DV13" s="520"/>
      <c r="DW13" s="520"/>
      <c r="DX13" s="520"/>
      <c r="DY13" s="520"/>
      <c r="DZ13" s="520"/>
      <c r="EA13" s="520"/>
      <c r="EB13" s="520"/>
      <c r="EC13" s="520"/>
      <c r="ED13" s="520"/>
      <c r="EE13" s="520"/>
      <c r="EF13" s="520"/>
      <c r="EG13" s="520"/>
      <c r="EH13" s="520"/>
      <c r="EI13" s="520"/>
      <c r="EJ13" s="520"/>
      <c r="EK13" s="520"/>
      <c r="EL13" s="520"/>
      <c r="EM13" s="520"/>
      <c r="EN13" s="520"/>
      <c r="EO13" s="520"/>
      <c r="EP13" s="520"/>
      <c r="EQ13" s="520"/>
      <c r="ER13" s="520"/>
      <c r="ES13" s="520"/>
      <c r="ET13" s="520"/>
      <c r="EU13" s="520"/>
      <c r="EV13" s="520"/>
      <c r="EW13" s="520"/>
      <c r="EX13" s="520"/>
      <c r="EY13" s="520"/>
      <c r="EZ13" s="520"/>
      <c r="FA13" s="520"/>
      <c r="FB13" s="520"/>
      <c r="FC13" s="520"/>
      <c r="FD13" s="520"/>
      <c r="FE13" s="520"/>
      <c r="FF13" s="520"/>
      <c r="FG13" s="520"/>
      <c r="FH13" s="520"/>
      <c r="FI13" s="520"/>
      <c r="FJ13" s="520"/>
      <c r="FK13" s="520"/>
      <c r="FL13" s="520"/>
      <c r="FM13" s="520"/>
      <c r="FN13" s="520"/>
      <c r="FO13" s="520"/>
      <c r="FP13" s="520"/>
      <c r="FQ13" s="520"/>
      <c r="FR13" s="520"/>
      <c r="FS13" s="520"/>
      <c r="FT13" s="520"/>
      <c r="FU13" s="520"/>
      <c r="FV13" s="520"/>
      <c r="FW13" s="520"/>
      <c r="FX13" s="520"/>
      <c r="FY13" s="520"/>
      <c r="FZ13" s="520"/>
      <c r="GA13" s="520"/>
      <c r="GB13" s="520"/>
      <c r="GC13" s="520"/>
      <c r="GD13" s="520"/>
      <c r="GE13" s="520"/>
      <c r="GF13" s="520"/>
      <c r="GG13" s="520"/>
      <c r="GH13" s="520"/>
      <c r="GI13" s="520"/>
      <c r="GJ13" s="520"/>
      <c r="GK13" s="520"/>
      <c r="GL13" s="520"/>
      <c r="GM13" s="520"/>
      <c r="GN13" s="520"/>
      <c r="GO13" s="520"/>
      <c r="GP13" s="520"/>
      <c r="GQ13" s="520"/>
      <c r="GR13" s="520"/>
      <c r="GS13" s="520"/>
      <c r="GT13" s="520"/>
      <c r="GU13" s="520"/>
      <c r="GV13" s="520"/>
      <c r="GW13" s="520"/>
      <c r="GX13" s="520"/>
      <c r="GY13" s="520"/>
      <c r="GZ13" s="520"/>
      <c r="HA13" s="520"/>
      <c r="HB13" s="520"/>
      <c r="HC13" s="520"/>
      <c r="HD13" s="520"/>
      <c r="HE13" s="520"/>
      <c r="HF13" s="520"/>
      <c r="HG13" s="520"/>
      <c r="HH13" s="520"/>
      <c r="HI13" s="520"/>
      <c r="HJ13" s="520"/>
      <c r="HK13" s="520"/>
      <c r="HL13" s="520"/>
      <c r="HM13" s="520"/>
      <c r="HN13" s="520"/>
      <c r="HO13" s="520"/>
      <c r="HP13" s="520"/>
      <c r="HQ13" s="520"/>
      <c r="HR13" s="520"/>
      <c r="HS13" s="520"/>
      <c r="HT13" s="520"/>
      <c r="HU13" s="520"/>
      <c r="HV13" s="520"/>
      <c r="HW13" s="520"/>
      <c r="HX13" s="520"/>
      <c r="HY13" s="520"/>
      <c r="HZ13" s="520"/>
      <c r="IA13" s="520"/>
      <c r="IB13" s="520"/>
      <c r="IC13" s="520"/>
      <c r="ID13" s="520"/>
      <c r="IE13" s="520"/>
      <c r="IF13" s="520"/>
      <c r="IG13" s="520"/>
      <c r="IH13" s="520"/>
      <c r="II13" s="520"/>
      <c r="IJ13" s="520"/>
      <c r="IK13" s="520"/>
      <c r="IL13" s="520"/>
      <c r="IM13" s="520"/>
      <c r="IN13" s="520"/>
      <c r="IO13" s="520"/>
      <c r="IP13" s="520"/>
      <c r="IQ13" s="520"/>
      <c r="IR13" s="520"/>
      <c r="IS13" s="520"/>
      <c r="IT13" s="520"/>
      <c r="IU13" s="520"/>
      <c r="IV13" s="520"/>
    </row>
    <row r="14" spans="1:256" ht="19.899999999999999" customHeight="1">
      <c r="A14" s="526"/>
      <c r="B14" s="527"/>
      <c r="C14" s="528"/>
      <c r="D14" s="528"/>
      <c r="E14" s="528"/>
      <c r="F14" s="529"/>
      <c r="G14" s="529"/>
      <c r="H14" s="530" t="s">
        <v>2560</v>
      </c>
      <c r="I14" s="530">
        <f>SUM(I11:I13)</f>
        <v>7.5</v>
      </c>
      <c r="J14" s="531" t="s">
        <v>1749</v>
      </c>
    </row>
    <row r="15" spans="1:256" ht="19.899999999999999" customHeight="1">
      <c r="A15" s="526"/>
      <c r="B15" s="527"/>
      <c r="C15" s="528"/>
      <c r="D15" s="528"/>
      <c r="E15" s="528"/>
      <c r="F15" s="529"/>
      <c r="G15" s="529"/>
      <c r="H15" s="530"/>
      <c r="I15" s="530"/>
      <c r="J15" s="531"/>
    </row>
    <row r="16" spans="1:256" ht="19.899999999999999" customHeight="1">
      <c r="A16" s="518">
        <v>2.1</v>
      </c>
      <c r="B16" s="867" t="s">
        <v>4797</v>
      </c>
      <c r="C16" s="523"/>
      <c r="D16" s="523"/>
      <c r="E16" s="868"/>
      <c r="F16" s="374"/>
      <c r="G16" s="374"/>
      <c r="H16" s="374"/>
      <c r="I16" s="374"/>
      <c r="J16" s="532"/>
      <c r="K16" s="520"/>
      <c r="L16" s="520"/>
      <c r="M16" s="520"/>
      <c r="N16" s="520"/>
      <c r="O16" s="520"/>
      <c r="P16" s="520"/>
      <c r="Q16" s="520"/>
      <c r="R16" s="520"/>
      <c r="S16" s="520"/>
      <c r="T16" s="520"/>
      <c r="U16" s="520"/>
      <c r="V16" s="520"/>
      <c r="W16" s="520"/>
      <c r="X16" s="520"/>
      <c r="Y16" s="520"/>
      <c r="Z16" s="520"/>
      <c r="AA16" s="520"/>
      <c r="AB16" s="520"/>
      <c r="AC16" s="520"/>
      <c r="AD16" s="520"/>
      <c r="AE16" s="520"/>
      <c r="AF16" s="520"/>
      <c r="AG16" s="520"/>
      <c r="AH16" s="520"/>
      <c r="AI16" s="520"/>
      <c r="AJ16" s="520"/>
      <c r="AK16" s="520"/>
      <c r="AL16" s="520"/>
      <c r="AM16" s="520"/>
      <c r="AN16" s="520"/>
      <c r="AO16" s="520"/>
      <c r="AP16" s="520"/>
      <c r="AQ16" s="520"/>
      <c r="AR16" s="520"/>
      <c r="AS16" s="520"/>
      <c r="AT16" s="520"/>
      <c r="AU16" s="520"/>
      <c r="AV16" s="520"/>
      <c r="AW16" s="520"/>
      <c r="AX16" s="520"/>
      <c r="AY16" s="520"/>
      <c r="AZ16" s="520"/>
      <c r="BA16" s="520"/>
      <c r="BB16" s="520"/>
      <c r="BC16" s="520"/>
      <c r="BD16" s="520"/>
      <c r="BE16" s="520"/>
      <c r="BF16" s="520"/>
      <c r="BG16" s="520"/>
      <c r="BH16" s="520"/>
      <c r="BI16" s="520"/>
      <c r="BJ16" s="520"/>
      <c r="BK16" s="520"/>
      <c r="BL16" s="520"/>
      <c r="BM16" s="520"/>
      <c r="BN16" s="520"/>
      <c r="BO16" s="520"/>
      <c r="BP16" s="520"/>
      <c r="BQ16" s="520"/>
      <c r="BR16" s="520"/>
      <c r="BS16" s="520"/>
      <c r="BT16" s="520"/>
      <c r="BU16" s="520"/>
      <c r="BV16" s="520"/>
      <c r="BW16" s="520"/>
      <c r="BX16" s="520"/>
      <c r="BY16" s="520"/>
      <c r="BZ16" s="520"/>
      <c r="CA16" s="520"/>
      <c r="CB16" s="520"/>
      <c r="CC16" s="520"/>
      <c r="CD16" s="520"/>
      <c r="CE16" s="520"/>
      <c r="CF16" s="520"/>
      <c r="CG16" s="520"/>
      <c r="CH16" s="520"/>
      <c r="CI16" s="520"/>
      <c r="CJ16" s="520"/>
      <c r="CK16" s="520"/>
      <c r="CL16" s="520"/>
      <c r="CM16" s="520"/>
      <c r="CN16" s="520"/>
      <c r="CO16" s="520"/>
      <c r="CP16" s="520"/>
      <c r="CQ16" s="520"/>
      <c r="CR16" s="520"/>
      <c r="CS16" s="520"/>
      <c r="CT16" s="520"/>
      <c r="CU16" s="520"/>
      <c r="CV16" s="520"/>
      <c r="CW16" s="520"/>
      <c r="CX16" s="520"/>
      <c r="CY16" s="520"/>
      <c r="CZ16" s="520"/>
      <c r="DA16" s="520"/>
      <c r="DB16" s="520"/>
      <c r="DC16" s="520"/>
      <c r="DD16" s="520"/>
      <c r="DE16" s="520"/>
      <c r="DF16" s="520"/>
      <c r="DG16" s="520"/>
      <c r="DH16" s="520"/>
      <c r="DI16" s="520"/>
      <c r="DJ16" s="520"/>
      <c r="DK16" s="520"/>
      <c r="DL16" s="520"/>
      <c r="DM16" s="520"/>
      <c r="DN16" s="520"/>
      <c r="DO16" s="520"/>
      <c r="DP16" s="520"/>
      <c r="DQ16" s="520"/>
      <c r="DR16" s="520"/>
      <c r="DS16" s="520"/>
      <c r="DT16" s="520"/>
      <c r="DU16" s="520"/>
      <c r="DV16" s="520"/>
      <c r="DW16" s="520"/>
      <c r="DX16" s="520"/>
      <c r="DY16" s="520"/>
      <c r="DZ16" s="520"/>
      <c r="EA16" s="520"/>
      <c r="EB16" s="520"/>
      <c r="EC16" s="520"/>
      <c r="ED16" s="520"/>
      <c r="EE16" s="520"/>
      <c r="EF16" s="520"/>
      <c r="EG16" s="520"/>
      <c r="EH16" s="520"/>
      <c r="EI16" s="520"/>
      <c r="EJ16" s="520"/>
      <c r="EK16" s="520"/>
      <c r="EL16" s="520"/>
      <c r="EM16" s="520"/>
      <c r="EN16" s="520"/>
      <c r="EO16" s="520"/>
      <c r="EP16" s="520"/>
      <c r="EQ16" s="520"/>
      <c r="ER16" s="520"/>
      <c r="ES16" s="520"/>
      <c r="ET16" s="520"/>
      <c r="EU16" s="520"/>
      <c r="EV16" s="520"/>
      <c r="EW16" s="520"/>
      <c r="EX16" s="520"/>
      <c r="EY16" s="520"/>
      <c r="EZ16" s="520"/>
      <c r="FA16" s="520"/>
      <c r="FB16" s="520"/>
      <c r="FC16" s="520"/>
      <c r="FD16" s="520"/>
      <c r="FE16" s="520"/>
      <c r="FF16" s="520"/>
      <c r="FG16" s="520"/>
      <c r="FH16" s="520"/>
      <c r="FI16" s="520"/>
      <c r="FJ16" s="520"/>
      <c r="FK16" s="520"/>
      <c r="FL16" s="520"/>
      <c r="FM16" s="520"/>
      <c r="FN16" s="520"/>
      <c r="FO16" s="520"/>
      <c r="FP16" s="520"/>
      <c r="FQ16" s="520"/>
      <c r="FR16" s="520"/>
      <c r="FS16" s="520"/>
      <c r="FT16" s="520"/>
      <c r="FU16" s="520"/>
      <c r="FV16" s="520"/>
      <c r="FW16" s="520"/>
      <c r="FX16" s="520"/>
      <c r="FY16" s="520"/>
      <c r="FZ16" s="520"/>
      <c r="GA16" s="520"/>
      <c r="GB16" s="520"/>
      <c r="GC16" s="520"/>
      <c r="GD16" s="520"/>
      <c r="GE16" s="520"/>
      <c r="GF16" s="520"/>
      <c r="GG16" s="520"/>
      <c r="GH16" s="520"/>
      <c r="GI16" s="520"/>
      <c r="GJ16" s="520"/>
      <c r="GK16" s="520"/>
      <c r="GL16" s="520"/>
      <c r="GM16" s="520"/>
      <c r="GN16" s="520"/>
      <c r="GO16" s="520"/>
      <c r="GP16" s="520"/>
      <c r="GQ16" s="520"/>
      <c r="GR16" s="520"/>
      <c r="GS16" s="520"/>
      <c r="GT16" s="520"/>
      <c r="GU16" s="520"/>
      <c r="GV16" s="520"/>
      <c r="GW16" s="520"/>
      <c r="GX16" s="520"/>
      <c r="GY16" s="520"/>
      <c r="GZ16" s="520"/>
      <c r="HA16" s="520"/>
      <c r="HB16" s="520"/>
      <c r="HC16" s="520"/>
      <c r="HD16" s="520"/>
      <c r="HE16" s="520"/>
      <c r="HF16" s="520"/>
      <c r="HG16" s="520"/>
      <c r="HH16" s="520"/>
      <c r="HI16" s="520"/>
      <c r="HJ16" s="520"/>
      <c r="HK16" s="520"/>
      <c r="HL16" s="520"/>
      <c r="HM16" s="520"/>
      <c r="HN16" s="520"/>
      <c r="HO16" s="520"/>
      <c r="HP16" s="520"/>
      <c r="HQ16" s="520"/>
      <c r="HR16" s="520"/>
      <c r="HS16" s="520"/>
      <c r="HT16" s="520"/>
      <c r="HU16" s="520"/>
      <c r="HV16" s="520"/>
      <c r="HW16" s="520"/>
      <c r="HX16" s="520"/>
      <c r="HY16" s="520"/>
      <c r="HZ16" s="520"/>
      <c r="IA16" s="520"/>
      <c r="IB16" s="520"/>
      <c r="IC16" s="520"/>
      <c r="ID16" s="520"/>
      <c r="IE16" s="520"/>
      <c r="IF16" s="520"/>
      <c r="IG16" s="520"/>
      <c r="IH16" s="520"/>
      <c r="II16" s="520"/>
      <c r="IJ16" s="520"/>
      <c r="IK16" s="520"/>
      <c r="IL16" s="520"/>
      <c r="IM16" s="520"/>
      <c r="IN16" s="520"/>
      <c r="IO16" s="520"/>
      <c r="IP16" s="520"/>
      <c r="IQ16" s="520"/>
      <c r="IR16" s="520"/>
      <c r="IS16" s="520"/>
      <c r="IT16" s="520"/>
      <c r="IU16" s="520"/>
      <c r="IV16" s="520"/>
    </row>
    <row r="17" spans="1:256" ht="19.899999999999999" customHeight="1">
      <c r="A17" s="521"/>
      <c r="B17" s="522" t="str">
        <f>B10</f>
        <v>For Urban Police Station</v>
      </c>
      <c r="C17" s="372"/>
      <c r="D17" s="372"/>
      <c r="E17" s="868"/>
      <c r="F17" s="374"/>
      <c r="G17" s="374"/>
      <c r="H17" s="374"/>
      <c r="I17" s="374"/>
      <c r="J17" s="519"/>
      <c r="K17" s="520"/>
      <c r="L17" s="520"/>
      <c r="M17" s="520"/>
      <c r="N17" s="520"/>
      <c r="O17" s="520"/>
      <c r="P17" s="520"/>
      <c r="Q17" s="520"/>
      <c r="R17" s="520"/>
      <c r="S17" s="520"/>
      <c r="T17" s="520"/>
      <c r="U17" s="520"/>
      <c r="V17" s="520"/>
      <c r="W17" s="520"/>
      <c r="X17" s="520"/>
      <c r="Y17" s="520"/>
      <c r="Z17" s="520"/>
      <c r="AA17" s="520"/>
      <c r="AB17" s="520"/>
      <c r="AC17" s="520"/>
      <c r="AD17" s="520"/>
      <c r="AE17" s="520"/>
      <c r="AF17" s="520"/>
      <c r="AG17" s="520"/>
      <c r="AH17" s="520"/>
      <c r="AI17" s="520"/>
      <c r="AJ17" s="520"/>
      <c r="AK17" s="520"/>
      <c r="AL17" s="520"/>
      <c r="AM17" s="520"/>
      <c r="AN17" s="520"/>
      <c r="AO17" s="520"/>
      <c r="AP17" s="520"/>
      <c r="AQ17" s="520"/>
      <c r="AR17" s="520"/>
      <c r="AS17" s="520"/>
      <c r="AT17" s="520"/>
      <c r="AU17" s="520"/>
      <c r="AV17" s="520"/>
      <c r="AW17" s="520"/>
      <c r="AX17" s="520"/>
      <c r="AY17" s="520"/>
      <c r="AZ17" s="520"/>
      <c r="BA17" s="520"/>
      <c r="BB17" s="520"/>
      <c r="BC17" s="520"/>
      <c r="BD17" s="520"/>
      <c r="BE17" s="520"/>
      <c r="BF17" s="520"/>
      <c r="BG17" s="520"/>
      <c r="BH17" s="520"/>
      <c r="BI17" s="520"/>
      <c r="BJ17" s="520"/>
      <c r="BK17" s="520"/>
      <c r="BL17" s="520"/>
      <c r="BM17" s="520"/>
      <c r="BN17" s="520"/>
      <c r="BO17" s="520"/>
      <c r="BP17" s="520"/>
      <c r="BQ17" s="520"/>
      <c r="BR17" s="520"/>
      <c r="BS17" s="520"/>
      <c r="BT17" s="520"/>
      <c r="BU17" s="520"/>
      <c r="BV17" s="520"/>
      <c r="BW17" s="520"/>
      <c r="BX17" s="520"/>
      <c r="BY17" s="520"/>
      <c r="BZ17" s="520"/>
      <c r="CA17" s="520"/>
      <c r="CB17" s="520"/>
      <c r="CC17" s="520"/>
      <c r="CD17" s="520"/>
      <c r="CE17" s="520"/>
      <c r="CF17" s="520"/>
      <c r="CG17" s="520"/>
      <c r="CH17" s="520"/>
      <c r="CI17" s="520"/>
      <c r="CJ17" s="520"/>
      <c r="CK17" s="520"/>
      <c r="CL17" s="520"/>
      <c r="CM17" s="520"/>
      <c r="CN17" s="520"/>
      <c r="CO17" s="520"/>
      <c r="CP17" s="520"/>
      <c r="CQ17" s="520"/>
      <c r="CR17" s="520"/>
      <c r="CS17" s="520"/>
      <c r="CT17" s="520"/>
      <c r="CU17" s="520"/>
      <c r="CV17" s="520"/>
      <c r="CW17" s="520"/>
      <c r="CX17" s="520"/>
      <c r="CY17" s="520"/>
      <c r="CZ17" s="520"/>
      <c r="DA17" s="520"/>
      <c r="DB17" s="520"/>
      <c r="DC17" s="520"/>
      <c r="DD17" s="520"/>
      <c r="DE17" s="520"/>
      <c r="DF17" s="520"/>
      <c r="DG17" s="520"/>
      <c r="DH17" s="520"/>
      <c r="DI17" s="520"/>
      <c r="DJ17" s="520"/>
      <c r="DK17" s="520"/>
      <c r="DL17" s="520"/>
      <c r="DM17" s="520"/>
      <c r="DN17" s="520"/>
      <c r="DO17" s="520"/>
      <c r="DP17" s="520"/>
      <c r="DQ17" s="520"/>
      <c r="DR17" s="520"/>
      <c r="DS17" s="520"/>
      <c r="DT17" s="520"/>
      <c r="DU17" s="520"/>
      <c r="DV17" s="520"/>
      <c r="DW17" s="520"/>
      <c r="DX17" s="520"/>
      <c r="DY17" s="520"/>
      <c r="DZ17" s="520"/>
      <c r="EA17" s="520"/>
      <c r="EB17" s="520"/>
      <c r="EC17" s="520"/>
      <c r="ED17" s="520"/>
      <c r="EE17" s="520"/>
      <c r="EF17" s="520"/>
      <c r="EG17" s="520"/>
      <c r="EH17" s="520"/>
      <c r="EI17" s="520"/>
      <c r="EJ17" s="520"/>
      <c r="EK17" s="520"/>
      <c r="EL17" s="520"/>
      <c r="EM17" s="520"/>
      <c r="EN17" s="520"/>
      <c r="EO17" s="520"/>
      <c r="EP17" s="520"/>
      <c r="EQ17" s="520"/>
      <c r="ER17" s="520"/>
      <c r="ES17" s="520"/>
      <c r="ET17" s="520"/>
      <c r="EU17" s="520"/>
      <c r="EV17" s="520"/>
      <c r="EW17" s="520"/>
      <c r="EX17" s="520"/>
      <c r="EY17" s="520"/>
      <c r="EZ17" s="520"/>
      <c r="FA17" s="520"/>
      <c r="FB17" s="520"/>
      <c r="FC17" s="520"/>
      <c r="FD17" s="520"/>
      <c r="FE17" s="520"/>
      <c r="FF17" s="520"/>
      <c r="FG17" s="520"/>
      <c r="FH17" s="520"/>
      <c r="FI17" s="520"/>
      <c r="FJ17" s="520"/>
      <c r="FK17" s="520"/>
      <c r="FL17" s="520"/>
      <c r="FM17" s="520"/>
      <c r="FN17" s="520"/>
      <c r="FO17" s="520"/>
      <c r="FP17" s="520"/>
      <c r="FQ17" s="520"/>
      <c r="FR17" s="520"/>
      <c r="FS17" s="520"/>
      <c r="FT17" s="520"/>
      <c r="FU17" s="520"/>
      <c r="FV17" s="520"/>
      <c r="FW17" s="520"/>
      <c r="FX17" s="520"/>
      <c r="FY17" s="520"/>
      <c r="FZ17" s="520"/>
      <c r="GA17" s="520"/>
      <c r="GB17" s="520"/>
      <c r="GC17" s="520"/>
      <c r="GD17" s="520"/>
      <c r="GE17" s="520"/>
      <c r="GF17" s="520"/>
      <c r="GG17" s="520"/>
      <c r="GH17" s="520"/>
      <c r="GI17" s="520"/>
      <c r="GJ17" s="520"/>
      <c r="GK17" s="520"/>
      <c r="GL17" s="520"/>
      <c r="GM17" s="520"/>
      <c r="GN17" s="520"/>
      <c r="GO17" s="520"/>
      <c r="GP17" s="520"/>
      <c r="GQ17" s="520"/>
      <c r="GR17" s="520"/>
      <c r="GS17" s="520"/>
      <c r="GT17" s="520"/>
      <c r="GU17" s="520"/>
      <c r="GV17" s="520"/>
      <c r="GW17" s="520"/>
      <c r="GX17" s="520"/>
      <c r="GY17" s="520"/>
      <c r="GZ17" s="520"/>
      <c r="HA17" s="520"/>
      <c r="HB17" s="520"/>
      <c r="HC17" s="520"/>
      <c r="HD17" s="520"/>
      <c r="HE17" s="520"/>
      <c r="HF17" s="520"/>
      <c r="HG17" s="520"/>
      <c r="HH17" s="520"/>
      <c r="HI17" s="520"/>
      <c r="HJ17" s="520"/>
      <c r="HK17" s="520"/>
      <c r="HL17" s="520"/>
      <c r="HM17" s="520"/>
      <c r="HN17" s="520"/>
      <c r="HO17" s="520"/>
      <c r="HP17" s="520"/>
      <c r="HQ17" s="520"/>
      <c r="HR17" s="520"/>
      <c r="HS17" s="520"/>
      <c r="HT17" s="520"/>
      <c r="HU17" s="520"/>
      <c r="HV17" s="520"/>
      <c r="HW17" s="520"/>
      <c r="HX17" s="520"/>
      <c r="HY17" s="520"/>
      <c r="HZ17" s="520"/>
      <c r="IA17" s="520"/>
      <c r="IB17" s="520"/>
      <c r="IC17" s="520"/>
      <c r="ID17" s="520"/>
      <c r="IE17" s="520"/>
      <c r="IF17" s="520"/>
      <c r="IG17" s="520"/>
      <c r="IH17" s="520"/>
      <c r="II17" s="520"/>
      <c r="IJ17" s="520"/>
      <c r="IK17" s="520"/>
      <c r="IL17" s="520"/>
      <c r="IM17" s="520"/>
      <c r="IN17" s="520"/>
      <c r="IO17" s="520"/>
      <c r="IP17" s="520"/>
      <c r="IQ17" s="520"/>
      <c r="IR17" s="520"/>
      <c r="IS17" s="520"/>
      <c r="IT17" s="520"/>
      <c r="IU17" s="520"/>
      <c r="IV17" s="520"/>
    </row>
    <row r="18" spans="1:256" ht="19.899999999999999" customHeight="1">
      <c r="A18" s="521"/>
      <c r="B18" s="375" t="s">
        <v>4376</v>
      </c>
      <c r="C18" s="523">
        <v>1</v>
      </c>
      <c r="D18" s="523" t="s">
        <v>4377</v>
      </c>
      <c r="E18" s="868">
        <v>1</v>
      </c>
      <c r="F18" s="374">
        <v>56.2</v>
      </c>
      <c r="G18" s="374">
        <v>0.38</v>
      </c>
      <c r="H18" s="374">
        <v>0.15</v>
      </c>
      <c r="I18" s="525">
        <f>ROUND(PRODUCT(C18:H18),2)</f>
        <v>3.2</v>
      </c>
      <c r="J18" s="519"/>
      <c r="K18" s="520"/>
      <c r="L18" s="520"/>
      <c r="M18" s="520"/>
      <c r="N18" s="520"/>
      <c r="O18" s="520"/>
      <c r="P18" s="520"/>
      <c r="Q18" s="520"/>
      <c r="R18" s="520"/>
      <c r="S18" s="520"/>
      <c r="T18" s="520"/>
      <c r="U18" s="520"/>
      <c r="V18" s="520"/>
      <c r="W18" s="520"/>
      <c r="X18" s="520"/>
      <c r="Y18" s="520"/>
      <c r="Z18" s="520"/>
      <c r="AA18" s="520"/>
      <c r="AB18" s="520"/>
      <c r="AC18" s="520"/>
      <c r="AD18" s="520"/>
      <c r="AE18" s="520"/>
      <c r="AF18" s="520"/>
      <c r="AG18" s="520"/>
      <c r="AH18" s="520"/>
      <c r="AI18" s="520"/>
      <c r="AJ18" s="520"/>
      <c r="AK18" s="520"/>
      <c r="AL18" s="520"/>
      <c r="AM18" s="520"/>
      <c r="AN18" s="520"/>
      <c r="AO18" s="520"/>
      <c r="AP18" s="520"/>
      <c r="AQ18" s="520"/>
      <c r="AR18" s="520"/>
      <c r="AS18" s="520"/>
      <c r="AT18" s="520"/>
      <c r="AU18" s="520"/>
      <c r="AV18" s="520"/>
      <c r="AW18" s="520"/>
      <c r="AX18" s="520"/>
      <c r="AY18" s="520"/>
      <c r="AZ18" s="520"/>
      <c r="BA18" s="520"/>
      <c r="BB18" s="520"/>
      <c r="BC18" s="520"/>
      <c r="BD18" s="520"/>
      <c r="BE18" s="520"/>
      <c r="BF18" s="520"/>
      <c r="BG18" s="520"/>
      <c r="BH18" s="520"/>
      <c r="BI18" s="520"/>
      <c r="BJ18" s="520"/>
      <c r="BK18" s="520"/>
      <c r="BL18" s="520"/>
      <c r="BM18" s="520"/>
      <c r="BN18" s="520"/>
      <c r="BO18" s="520"/>
      <c r="BP18" s="520"/>
      <c r="BQ18" s="520"/>
      <c r="BR18" s="520"/>
      <c r="BS18" s="520"/>
      <c r="BT18" s="520"/>
      <c r="BU18" s="520"/>
      <c r="BV18" s="520"/>
      <c r="BW18" s="520"/>
      <c r="BX18" s="520"/>
      <c r="BY18" s="520"/>
      <c r="BZ18" s="520"/>
      <c r="CA18" s="520"/>
      <c r="CB18" s="520"/>
      <c r="CC18" s="520"/>
      <c r="CD18" s="520"/>
      <c r="CE18" s="520"/>
      <c r="CF18" s="520"/>
      <c r="CG18" s="520"/>
      <c r="CH18" s="520"/>
      <c r="CI18" s="520"/>
      <c r="CJ18" s="520"/>
      <c r="CK18" s="520"/>
      <c r="CL18" s="520"/>
      <c r="CM18" s="520"/>
      <c r="CN18" s="520"/>
      <c r="CO18" s="520"/>
      <c r="CP18" s="520"/>
      <c r="CQ18" s="520"/>
      <c r="CR18" s="520"/>
      <c r="CS18" s="520"/>
      <c r="CT18" s="520"/>
      <c r="CU18" s="520"/>
      <c r="CV18" s="520"/>
      <c r="CW18" s="520"/>
      <c r="CX18" s="520"/>
      <c r="CY18" s="520"/>
      <c r="CZ18" s="520"/>
      <c r="DA18" s="520"/>
      <c r="DB18" s="520"/>
      <c r="DC18" s="520"/>
      <c r="DD18" s="520"/>
      <c r="DE18" s="520"/>
      <c r="DF18" s="520"/>
      <c r="DG18" s="520"/>
      <c r="DH18" s="520"/>
      <c r="DI18" s="520"/>
      <c r="DJ18" s="520"/>
      <c r="DK18" s="520"/>
      <c r="DL18" s="520"/>
      <c r="DM18" s="520"/>
      <c r="DN18" s="520"/>
      <c r="DO18" s="520"/>
      <c r="DP18" s="520"/>
      <c r="DQ18" s="520"/>
      <c r="DR18" s="520"/>
      <c r="DS18" s="520"/>
      <c r="DT18" s="520"/>
      <c r="DU18" s="520"/>
      <c r="DV18" s="520"/>
      <c r="DW18" s="520"/>
      <c r="DX18" s="520"/>
      <c r="DY18" s="520"/>
      <c r="DZ18" s="520"/>
      <c r="EA18" s="520"/>
      <c r="EB18" s="520"/>
      <c r="EC18" s="520"/>
      <c r="ED18" s="520"/>
      <c r="EE18" s="520"/>
      <c r="EF18" s="520"/>
      <c r="EG18" s="520"/>
      <c r="EH18" s="520"/>
      <c r="EI18" s="520"/>
      <c r="EJ18" s="520"/>
      <c r="EK18" s="520"/>
      <c r="EL18" s="520"/>
      <c r="EM18" s="520"/>
      <c r="EN18" s="520"/>
      <c r="EO18" s="520"/>
      <c r="EP18" s="520"/>
      <c r="EQ18" s="520"/>
      <c r="ER18" s="520"/>
      <c r="ES18" s="520"/>
      <c r="ET18" s="520"/>
      <c r="EU18" s="520"/>
      <c r="EV18" s="520"/>
      <c r="EW18" s="520"/>
      <c r="EX18" s="520"/>
      <c r="EY18" s="520"/>
      <c r="EZ18" s="520"/>
      <c r="FA18" s="520"/>
      <c r="FB18" s="520"/>
      <c r="FC18" s="520"/>
      <c r="FD18" s="520"/>
      <c r="FE18" s="520"/>
      <c r="FF18" s="520"/>
      <c r="FG18" s="520"/>
      <c r="FH18" s="520"/>
      <c r="FI18" s="520"/>
      <c r="FJ18" s="520"/>
      <c r="FK18" s="520"/>
      <c r="FL18" s="520"/>
      <c r="FM18" s="520"/>
      <c r="FN18" s="520"/>
      <c r="FO18" s="520"/>
      <c r="FP18" s="520"/>
      <c r="FQ18" s="520"/>
      <c r="FR18" s="520"/>
      <c r="FS18" s="520"/>
      <c r="FT18" s="520"/>
      <c r="FU18" s="520"/>
      <c r="FV18" s="520"/>
      <c r="FW18" s="520"/>
      <c r="FX18" s="520"/>
      <c r="FY18" s="520"/>
      <c r="FZ18" s="520"/>
      <c r="GA18" s="520"/>
      <c r="GB18" s="520"/>
      <c r="GC18" s="520"/>
      <c r="GD18" s="520"/>
      <c r="GE18" s="520"/>
      <c r="GF18" s="520"/>
      <c r="GG18" s="520"/>
      <c r="GH18" s="520"/>
      <c r="GI18" s="520"/>
      <c r="GJ18" s="520"/>
      <c r="GK18" s="520"/>
      <c r="GL18" s="520"/>
      <c r="GM18" s="520"/>
      <c r="GN18" s="520"/>
      <c r="GO18" s="520"/>
      <c r="GP18" s="520"/>
      <c r="GQ18" s="520"/>
      <c r="GR18" s="520"/>
      <c r="GS18" s="520"/>
      <c r="GT18" s="520"/>
      <c r="GU18" s="520"/>
      <c r="GV18" s="520"/>
      <c r="GW18" s="520"/>
      <c r="GX18" s="520"/>
      <c r="GY18" s="520"/>
      <c r="GZ18" s="520"/>
      <c r="HA18" s="520"/>
      <c r="HB18" s="520"/>
      <c r="HC18" s="520"/>
      <c r="HD18" s="520"/>
      <c r="HE18" s="520"/>
      <c r="HF18" s="520"/>
      <c r="HG18" s="520"/>
      <c r="HH18" s="520"/>
      <c r="HI18" s="520"/>
      <c r="HJ18" s="520"/>
      <c r="HK18" s="520"/>
      <c r="HL18" s="520"/>
      <c r="HM18" s="520"/>
      <c r="HN18" s="520"/>
      <c r="HO18" s="520"/>
      <c r="HP18" s="520"/>
      <c r="HQ18" s="520"/>
      <c r="HR18" s="520"/>
      <c r="HS18" s="520"/>
      <c r="HT18" s="520"/>
      <c r="HU18" s="520"/>
      <c r="HV18" s="520"/>
      <c r="HW18" s="520"/>
      <c r="HX18" s="520"/>
      <c r="HY18" s="520"/>
      <c r="HZ18" s="520"/>
      <c r="IA18" s="520"/>
      <c r="IB18" s="520"/>
      <c r="IC18" s="520"/>
      <c r="ID18" s="520"/>
      <c r="IE18" s="520"/>
      <c r="IF18" s="520"/>
      <c r="IG18" s="520"/>
      <c r="IH18" s="520"/>
      <c r="II18" s="520"/>
      <c r="IJ18" s="520"/>
      <c r="IK18" s="520"/>
      <c r="IL18" s="520"/>
      <c r="IM18" s="520"/>
      <c r="IN18" s="520"/>
      <c r="IO18" s="520"/>
      <c r="IP18" s="520"/>
      <c r="IQ18" s="520"/>
      <c r="IR18" s="520"/>
      <c r="IS18" s="520"/>
      <c r="IT18" s="520"/>
      <c r="IU18" s="520"/>
      <c r="IV18" s="520"/>
    </row>
    <row r="19" spans="1:256" ht="19.899999999999999" customHeight="1">
      <c r="A19" s="521"/>
      <c r="B19" s="375" t="s">
        <v>4795</v>
      </c>
      <c r="C19" s="523">
        <v>-1</v>
      </c>
      <c r="D19" s="523" t="s">
        <v>4377</v>
      </c>
      <c r="E19" s="868">
        <v>1</v>
      </c>
      <c r="F19" s="374">
        <v>6.91</v>
      </c>
      <c r="G19" s="374">
        <v>0.38</v>
      </c>
      <c r="H19" s="374">
        <v>0.15</v>
      </c>
      <c r="I19" s="525">
        <f>ROUND(PRODUCT(C19:H19),2)</f>
        <v>-0.39</v>
      </c>
      <c r="J19" s="519"/>
      <c r="K19" s="520"/>
      <c r="L19" s="520"/>
      <c r="M19" s="520"/>
      <c r="N19" s="520"/>
      <c r="O19" s="520"/>
      <c r="P19" s="520"/>
      <c r="Q19" s="520"/>
      <c r="R19" s="520"/>
      <c r="S19" s="520"/>
      <c r="T19" s="520"/>
      <c r="U19" s="520"/>
      <c r="V19" s="520"/>
      <c r="W19" s="520"/>
      <c r="X19" s="520"/>
      <c r="Y19" s="520"/>
      <c r="Z19" s="520"/>
      <c r="AA19" s="520"/>
      <c r="AB19" s="520"/>
      <c r="AC19" s="520"/>
      <c r="AD19" s="520"/>
      <c r="AE19" s="520"/>
      <c r="AF19" s="520"/>
      <c r="AG19" s="520"/>
      <c r="AH19" s="520"/>
      <c r="AI19" s="520"/>
      <c r="AJ19" s="520"/>
      <c r="AK19" s="520"/>
      <c r="AL19" s="520"/>
      <c r="AM19" s="520"/>
      <c r="AN19" s="520"/>
      <c r="AO19" s="520"/>
      <c r="AP19" s="520"/>
      <c r="AQ19" s="520"/>
      <c r="AR19" s="520"/>
      <c r="AS19" s="520"/>
      <c r="AT19" s="520"/>
      <c r="AU19" s="520"/>
      <c r="AV19" s="520"/>
      <c r="AW19" s="520"/>
      <c r="AX19" s="520"/>
      <c r="AY19" s="520"/>
      <c r="AZ19" s="520"/>
      <c r="BA19" s="520"/>
      <c r="BB19" s="520"/>
      <c r="BC19" s="520"/>
      <c r="BD19" s="520"/>
      <c r="BE19" s="520"/>
      <c r="BF19" s="520"/>
      <c r="BG19" s="520"/>
      <c r="BH19" s="520"/>
      <c r="BI19" s="520"/>
      <c r="BJ19" s="520"/>
      <c r="BK19" s="520"/>
      <c r="BL19" s="520"/>
      <c r="BM19" s="520"/>
      <c r="BN19" s="520"/>
      <c r="BO19" s="520"/>
      <c r="BP19" s="520"/>
      <c r="BQ19" s="520"/>
      <c r="BR19" s="520"/>
      <c r="BS19" s="520"/>
      <c r="BT19" s="520"/>
      <c r="BU19" s="520"/>
      <c r="BV19" s="520"/>
      <c r="BW19" s="520"/>
      <c r="BX19" s="520"/>
      <c r="BY19" s="520"/>
      <c r="BZ19" s="520"/>
      <c r="CA19" s="520"/>
      <c r="CB19" s="520"/>
      <c r="CC19" s="520"/>
      <c r="CD19" s="520"/>
      <c r="CE19" s="520"/>
      <c r="CF19" s="520"/>
      <c r="CG19" s="520"/>
      <c r="CH19" s="520"/>
      <c r="CI19" s="520"/>
      <c r="CJ19" s="520"/>
      <c r="CK19" s="520"/>
      <c r="CL19" s="520"/>
      <c r="CM19" s="520"/>
      <c r="CN19" s="520"/>
      <c r="CO19" s="520"/>
      <c r="CP19" s="520"/>
      <c r="CQ19" s="520"/>
      <c r="CR19" s="520"/>
      <c r="CS19" s="520"/>
      <c r="CT19" s="520"/>
      <c r="CU19" s="520"/>
      <c r="CV19" s="520"/>
      <c r="CW19" s="520"/>
      <c r="CX19" s="520"/>
      <c r="CY19" s="520"/>
      <c r="CZ19" s="520"/>
      <c r="DA19" s="520"/>
      <c r="DB19" s="520"/>
      <c r="DC19" s="520"/>
      <c r="DD19" s="520"/>
      <c r="DE19" s="520"/>
      <c r="DF19" s="520"/>
      <c r="DG19" s="520"/>
      <c r="DH19" s="520"/>
      <c r="DI19" s="520"/>
      <c r="DJ19" s="520"/>
      <c r="DK19" s="520"/>
      <c r="DL19" s="520"/>
      <c r="DM19" s="520"/>
      <c r="DN19" s="520"/>
      <c r="DO19" s="520"/>
      <c r="DP19" s="520"/>
      <c r="DQ19" s="520"/>
      <c r="DR19" s="520"/>
      <c r="DS19" s="520"/>
      <c r="DT19" s="520"/>
      <c r="DU19" s="520"/>
      <c r="DV19" s="520"/>
      <c r="DW19" s="520"/>
      <c r="DX19" s="520"/>
      <c r="DY19" s="520"/>
      <c r="DZ19" s="520"/>
      <c r="EA19" s="520"/>
      <c r="EB19" s="520"/>
      <c r="EC19" s="520"/>
      <c r="ED19" s="520"/>
      <c r="EE19" s="520"/>
      <c r="EF19" s="520"/>
      <c r="EG19" s="520"/>
      <c r="EH19" s="520"/>
      <c r="EI19" s="520"/>
      <c r="EJ19" s="520"/>
      <c r="EK19" s="520"/>
      <c r="EL19" s="520"/>
      <c r="EM19" s="520"/>
      <c r="EN19" s="520"/>
      <c r="EO19" s="520"/>
      <c r="EP19" s="520"/>
      <c r="EQ19" s="520"/>
      <c r="ER19" s="520"/>
      <c r="ES19" s="520"/>
      <c r="ET19" s="520"/>
      <c r="EU19" s="520"/>
      <c r="EV19" s="520"/>
      <c r="EW19" s="520"/>
      <c r="EX19" s="520"/>
      <c r="EY19" s="520"/>
      <c r="EZ19" s="520"/>
      <c r="FA19" s="520"/>
      <c r="FB19" s="520"/>
      <c r="FC19" s="520"/>
      <c r="FD19" s="520"/>
      <c r="FE19" s="520"/>
      <c r="FF19" s="520"/>
      <c r="FG19" s="520"/>
      <c r="FH19" s="520"/>
      <c r="FI19" s="520"/>
      <c r="FJ19" s="520"/>
      <c r="FK19" s="520"/>
      <c r="FL19" s="520"/>
      <c r="FM19" s="520"/>
      <c r="FN19" s="520"/>
      <c r="FO19" s="520"/>
      <c r="FP19" s="520"/>
      <c r="FQ19" s="520"/>
      <c r="FR19" s="520"/>
      <c r="FS19" s="520"/>
      <c r="FT19" s="520"/>
      <c r="FU19" s="520"/>
      <c r="FV19" s="520"/>
      <c r="FW19" s="520"/>
      <c r="FX19" s="520"/>
      <c r="FY19" s="520"/>
      <c r="FZ19" s="520"/>
      <c r="GA19" s="520"/>
      <c r="GB19" s="520"/>
      <c r="GC19" s="520"/>
      <c r="GD19" s="520"/>
      <c r="GE19" s="520"/>
      <c r="GF19" s="520"/>
      <c r="GG19" s="520"/>
      <c r="GH19" s="520"/>
      <c r="GI19" s="520"/>
      <c r="GJ19" s="520"/>
      <c r="GK19" s="520"/>
      <c r="GL19" s="520"/>
      <c r="GM19" s="520"/>
      <c r="GN19" s="520"/>
      <c r="GO19" s="520"/>
      <c r="GP19" s="520"/>
      <c r="GQ19" s="520"/>
      <c r="GR19" s="520"/>
      <c r="GS19" s="520"/>
      <c r="GT19" s="520"/>
      <c r="GU19" s="520"/>
      <c r="GV19" s="520"/>
      <c r="GW19" s="520"/>
      <c r="GX19" s="520"/>
      <c r="GY19" s="520"/>
      <c r="GZ19" s="520"/>
      <c r="HA19" s="520"/>
      <c r="HB19" s="520"/>
      <c r="HC19" s="520"/>
      <c r="HD19" s="520"/>
      <c r="HE19" s="520"/>
      <c r="HF19" s="520"/>
      <c r="HG19" s="520"/>
      <c r="HH19" s="520"/>
      <c r="HI19" s="520"/>
      <c r="HJ19" s="520"/>
      <c r="HK19" s="520"/>
      <c r="HL19" s="520"/>
      <c r="HM19" s="520"/>
      <c r="HN19" s="520"/>
      <c r="HO19" s="520"/>
      <c r="HP19" s="520"/>
      <c r="HQ19" s="520"/>
      <c r="HR19" s="520"/>
      <c r="HS19" s="520"/>
      <c r="HT19" s="520"/>
      <c r="HU19" s="520"/>
      <c r="HV19" s="520"/>
      <c r="HW19" s="520"/>
      <c r="HX19" s="520"/>
      <c r="HY19" s="520"/>
      <c r="HZ19" s="520"/>
      <c r="IA19" s="520"/>
      <c r="IB19" s="520"/>
      <c r="IC19" s="520"/>
      <c r="ID19" s="520"/>
      <c r="IE19" s="520"/>
      <c r="IF19" s="520"/>
      <c r="IG19" s="520"/>
      <c r="IH19" s="520"/>
      <c r="II19" s="520"/>
      <c r="IJ19" s="520"/>
      <c r="IK19" s="520"/>
      <c r="IL19" s="520"/>
      <c r="IM19" s="520"/>
      <c r="IN19" s="520"/>
      <c r="IO19" s="520"/>
      <c r="IP19" s="520"/>
      <c r="IQ19" s="520"/>
      <c r="IR19" s="520"/>
      <c r="IS19" s="520"/>
      <c r="IT19" s="520"/>
      <c r="IU19" s="520"/>
      <c r="IV19" s="520"/>
    </row>
    <row r="20" spans="1:256" ht="19.899999999999999" customHeight="1">
      <c r="A20" s="521"/>
      <c r="B20" s="375"/>
      <c r="C20" s="523"/>
      <c r="D20" s="523"/>
      <c r="E20" s="868"/>
      <c r="F20" s="374"/>
      <c r="G20" s="374"/>
      <c r="H20" s="374"/>
      <c r="I20" s="525">
        <v>0.09</v>
      </c>
      <c r="J20" s="519"/>
      <c r="K20" s="520"/>
      <c r="L20" s="520"/>
      <c r="M20" s="520"/>
      <c r="N20" s="520"/>
      <c r="O20" s="520"/>
      <c r="P20" s="520"/>
      <c r="Q20" s="520"/>
      <c r="R20" s="520"/>
      <c r="S20" s="520"/>
      <c r="T20" s="520"/>
      <c r="U20" s="520"/>
      <c r="V20" s="520"/>
      <c r="W20" s="520"/>
      <c r="X20" s="520"/>
      <c r="Y20" s="520"/>
      <c r="Z20" s="520"/>
      <c r="AA20" s="520"/>
      <c r="AB20" s="520"/>
      <c r="AC20" s="520"/>
      <c r="AD20" s="520"/>
      <c r="AE20" s="520"/>
      <c r="AF20" s="520"/>
      <c r="AG20" s="520"/>
      <c r="AH20" s="520"/>
      <c r="AI20" s="520"/>
      <c r="AJ20" s="520"/>
      <c r="AK20" s="520"/>
      <c r="AL20" s="520"/>
      <c r="AM20" s="520"/>
      <c r="AN20" s="520"/>
      <c r="AO20" s="520"/>
      <c r="AP20" s="520"/>
      <c r="AQ20" s="520"/>
      <c r="AR20" s="520"/>
      <c r="AS20" s="520"/>
      <c r="AT20" s="520"/>
      <c r="AU20" s="520"/>
      <c r="AV20" s="520"/>
      <c r="AW20" s="520"/>
      <c r="AX20" s="520"/>
      <c r="AY20" s="520"/>
      <c r="AZ20" s="520"/>
      <c r="BA20" s="520"/>
      <c r="BB20" s="520"/>
      <c r="BC20" s="520"/>
      <c r="BD20" s="520"/>
      <c r="BE20" s="520"/>
      <c r="BF20" s="520"/>
      <c r="BG20" s="520"/>
      <c r="BH20" s="520"/>
      <c r="BI20" s="520"/>
      <c r="BJ20" s="520"/>
      <c r="BK20" s="520"/>
      <c r="BL20" s="520"/>
      <c r="BM20" s="520"/>
      <c r="BN20" s="520"/>
      <c r="BO20" s="520"/>
      <c r="BP20" s="520"/>
      <c r="BQ20" s="520"/>
      <c r="BR20" s="520"/>
      <c r="BS20" s="520"/>
      <c r="BT20" s="520"/>
      <c r="BU20" s="520"/>
      <c r="BV20" s="520"/>
      <c r="BW20" s="520"/>
      <c r="BX20" s="520"/>
      <c r="BY20" s="520"/>
      <c r="BZ20" s="520"/>
      <c r="CA20" s="520"/>
      <c r="CB20" s="520"/>
      <c r="CC20" s="520"/>
      <c r="CD20" s="520"/>
      <c r="CE20" s="520"/>
      <c r="CF20" s="520"/>
      <c r="CG20" s="520"/>
      <c r="CH20" s="520"/>
      <c r="CI20" s="520"/>
      <c r="CJ20" s="520"/>
      <c r="CK20" s="520"/>
      <c r="CL20" s="520"/>
      <c r="CM20" s="520"/>
      <c r="CN20" s="520"/>
      <c r="CO20" s="520"/>
      <c r="CP20" s="520"/>
      <c r="CQ20" s="520"/>
      <c r="CR20" s="520"/>
      <c r="CS20" s="520"/>
      <c r="CT20" s="520"/>
      <c r="CU20" s="520"/>
      <c r="CV20" s="520"/>
      <c r="CW20" s="520"/>
      <c r="CX20" s="520"/>
      <c r="CY20" s="520"/>
      <c r="CZ20" s="520"/>
      <c r="DA20" s="520"/>
      <c r="DB20" s="520"/>
      <c r="DC20" s="520"/>
      <c r="DD20" s="520"/>
      <c r="DE20" s="520"/>
      <c r="DF20" s="520"/>
      <c r="DG20" s="520"/>
      <c r="DH20" s="520"/>
      <c r="DI20" s="520"/>
      <c r="DJ20" s="520"/>
      <c r="DK20" s="520"/>
      <c r="DL20" s="520"/>
      <c r="DM20" s="520"/>
      <c r="DN20" s="520"/>
      <c r="DO20" s="520"/>
      <c r="DP20" s="520"/>
      <c r="DQ20" s="520"/>
      <c r="DR20" s="520"/>
      <c r="DS20" s="520"/>
      <c r="DT20" s="520"/>
      <c r="DU20" s="520"/>
      <c r="DV20" s="520"/>
      <c r="DW20" s="520"/>
      <c r="DX20" s="520"/>
      <c r="DY20" s="520"/>
      <c r="DZ20" s="520"/>
      <c r="EA20" s="520"/>
      <c r="EB20" s="520"/>
      <c r="EC20" s="520"/>
      <c r="ED20" s="520"/>
      <c r="EE20" s="520"/>
      <c r="EF20" s="520"/>
      <c r="EG20" s="520"/>
      <c r="EH20" s="520"/>
      <c r="EI20" s="520"/>
      <c r="EJ20" s="520"/>
      <c r="EK20" s="520"/>
      <c r="EL20" s="520"/>
      <c r="EM20" s="520"/>
      <c r="EN20" s="520"/>
      <c r="EO20" s="520"/>
      <c r="EP20" s="520"/>
      <c r="EQ20" s="520"/>
      <c r="ER20" s="520"/>
      <c r="ES20" s="520"/>
      <c r="ET20" s="520"/>
      <c r="EU20" s="520"/>
      <c r="EV20" s="520"/>
      <c r="EW20" s="520"/>
      <c r="EX20" s="520"/>
      <c r="EY20" s="520"/>
      <c r="EZ20" s="520"/>
      <c r="FA20" s="520"/>
      <c r="FB20" s="520"/>
      <c r="FC20" s="520"/>
      <c r="FD20" s="520"/>
      <c r="FE20" s="520"/>
      <c r="FF20" s="520"/>
      <c r="FG20" s="520"/>
      <c r="FH20" s="520"/>
      <c r="FI20" s="520"/>
      <c r="FJ20" s="520"/>
      <c r="FK20" s="520"/>
      <c r="FL20" s="520"/>
      <c r="FM20" s="520"/>
      <c r="FN20" s="520"/>
      <c r="FO20" s="520"/>
      <c r="FP20" s="520"/>
      <c r="FQ20" s="520"/>
      <c r="FR20" s="520"/>
      <c r="FS20" s="520"/>
      <c r="FT20" s="520"/>
      <c r="FU20" s="520"/>
      <c r="FV20" s="520"/>
      <c r="FW20" s="520"/>
      <c r="FX20" s="520"/>
      <c r="FY20" s="520"/>
      <c r="FZ20" s="520"/>
      <c r="GA20" s="520"/>
      <c r="GB20" s="520"/>
      <c r="GC20" s="520"/>
      <c r="GD20" s="520"/>
      <c r="GE20" s="520"/>
      <c r="GF20" s="520"/>
      <c r="GG20" s="520"/>
      <c r="GH20" s="520"/>
      <c r="GI20" s="520"/>
      <c r="GJ20" s="520"/>
      <c r="GK20" s="520"/>
      <c r="GL20" s="520"/>
      <c r="GM20" s="520"/>
      <c r="GN20" s="520"/>
      <c r="GO20" s="520"/>
      <c r="GP20" s="520"/>
      <c r="GQ20" s="520"/>
      <c r="GR20" s="520"/>
      <c r="GS20" s="520"/>
      <c r="GT20" s="520"/>
      <c r="GU20" s="520"/>
      <c r="GV20" s="520"/>
      <c r="GW20" s="520"/>
      <c r="GX20" s="520"/>
      <c r="GY20" s="520"/>
      <c r="GZ20" s="520"/>
      <c r="HA20" s="520"/>
      <c r="HB20" s="520"/>
      <c r="HC20" s="520"/>
      <c r="HD20" s="520"/>
      <c r="HE20" s="520"/>
      <c r="HF20" s="520"/>
      <c r="HG20" s="520"/>
      <c r="HH20" s="520"/>
      <c r="HI20" s="520"/>
      <c r="HJ20" s="520"/>
      <c r="HK20" s="520"/>
      <c r="HL20" s="520"/>
      <c r="HM20" s="520"/>
      <c r="HN20" s="520"/>
      <c r="HO20" s="520"/>
      <c r="HP20" s="520"/>
      <c r="HQ20" s="520"/>
      <c r="HR20" s="520"/>
      <c r="HS20" s="520"/>
      <c r="HT20" s="520"/>
      <c r="HU20" s="520"/>
      <c r="HV20" s="520"/>
      <c r="HW20" s="520"/>
      <c r="HX20" s="520"/>
      <c r="HY20" s="520"/>
      <c r="HZ20" s="520"/>
      <c r="IA20" s="520"/>
      <c r="IB20" s="520"/>
      <c r="IC20" s="520"/>
      <c r="ID20" s="520"/>
      <c r="IE20" s="520"/>
      <c r="IF20" s="520"/>
      <c r="IG20" s="520"/>
      <c r="IH20" s="520"/>
      <c r="II20" s="520"/>
      <c r="IJ20" s="520"/>
      <c r="IK20" s="520"/>
      <c r="IL20" s="520"/>
      <c r="IM20" s="520"/>
      <c r="IN20" s="520"/>
      <c r="IO20" s="520"/>
      <c r="IP20" s="520"/>
      <c r="IQ20" s="520"/>
      <c r="IR20" s="520"/>
      <c r="IS20" s="520"/>
      <c r="IT20" s="520"/>
      <c r="IU20" s="520"/>
      <c r="IV20" s="520"/>
    </row>
    <row r="21" spans="1:256" ht="19.899999999999999" customHeight="1">
      <c r="A21" s="526"/>
      <c r="B21" s="527"/>
      <c r="C21" s="528"/>
      <c r="D21" s="528"/>
      <c r="E21" s="528"/>
      <c r="F21" s="529"/>
      <c r="G21" s="529"/>
      <c r="H21" s="530" t="s">
        <v>2560</v>
      </c>
      <c r="I21" s="530">
        <f>SUM(I18:I20)</f>
        <v>2.9</v>
      </c>
      <c r="J21" s="531" t="s">
        <v>1749</v>
      </c>
    </row>
    <row r="22" spans="1:256" ht="19.899999999999999" customHeight="1">
      <c r="A22" s="526"/>
      <c r="B22" s="527"/>
      <c r="C22" s="528"/>
      <c r="D22" s="528"/>
      <c r="E22" s="528"/>
      <c r="F22" s="529"/>
      <c r="G22" s="530"/>
      <c r="H22" s="530"/>
      <c r="I22" s="530"/>
      <c r="J22" s="531"/>
    </row>
    <row r="23" spans="1:256" ht="19.899999999999999" customHeight="1">
      <c r="A23" s="518">
        <v>3.1</v>
      </c>
      <c r="B23" s="1054" t="s">
        <v>4378</v>
      </c>
      <c r="C23" s="1054"/>
      <c r="D23" s="1054"/>
      <c r="E23" s="1054"/>
      <c r="F23" s="1054"/>
      <c r="G23" s="1054"/>
      <c r="H23" s="1054"/>
      <c r="I23" s="390"/>
      <c r="J23" s="532"/>
      <c r="K23" s="520"/>
      <c r="L23" s="520"/>
      <c r="M23" s="520"/>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0"/>
      <c r="AK23" s="520"/>
      <c r="AL23" s="520"/>
      <c r="AM23" s="520"/>
      <c r="AN23" s="520"/>
      <c r="AO23" s="520"/>
      <c r="AP23" s="520"/>
      <c r="AQ23" s="520"/>
      <c r="AR23" s="520"/>
      <c r="AS23" s="520"/>
      <c r="AT23" s="520"/>
      <c r="AU23" s="520"/>
      <c r="AV23" s="520"/>
      <c r="AW23" s="520"/>
      <c r="AX23" s="520"/>
      <c r="AY23" s="520"/>
      <c r="AZ23" s="520"/>
      <c r="BA23" s="520"/>
      <c r="BB23" s="520"/>
      <c r="BC23" s="520"/>
      <c r="BD23" s="520"/>
      <c r="BE23" s="520"/>
      <c r="BF23" s="520"/>
      <c r="BG23" s="520"/>
      <c r="BH23" s="520"/>
      <c r="BI23" s="520"/>
      <c r="BJ23" s="520"/>
      <c r="BK23" s="520"/>
      <c r="BL23" s="520"/>
      <c r="BM23" s="520"/>
      <c r="BN23" s="520"/>
      <c r="BO23" s="520"/>
      <c r="BP23" s="520"/>
      <c r="BQ23" s="520"/>
      <c r="BR23" s="520"/>
      <c r="BS23" s="520"/>
      <c r="BT23" s="520"/>
      <c r="BU23" s="520"/>
      <c r="BV23" s="520"/>
      <c r="BW23" s="520"/>
      <c r="BX23" s="520"/>
      <c r="BY23" s="520"/>
      <c r="BZ23" s="520"/>
      <c r="CA23" s="520"/>
      <c r="CB23" s="520"/>
      <c r="CC23" s="520"/>
      <c r="CD23" s="520"/>
      <c r="CE23" s="520"/>
      <c r="CF23" s="520"/>
      <c r="CG23" s="520"/>
      <c r="CH23" s="520"/>
      <c r="CI23" s="520"/>
      <c r="CJ23" s="520"/>
      <c r="CK23" s="520"/>
      <c r="CL23" s="520"/>
      <c r="CM23" s="520"/>
      <c r="CN23" s="520"/>
      <c r="CO23" s="520"/>
      <c r="CP23" s="520"/>
      <c r="CQ23" s="520"/>
      <c r="CR23" s="520"/>
      <c r="CS23" s="520"/>
      <c r="CT23" s="520"/>
      <c r="CU23" s="520"/>
      <c r="CV23" s="520"/>
      <c r="CW23" s="520"/>
      <c r="CX23" s="520"/>
      <c r="CY23" s="520"/>
      <c r="CZ23" s="520"/>
      <c r="DA23" s="520"/>
      <c r="DB23" s="520"/>
      <c r="DC23" s="520"/>
      <c r="DD23" s="520"/>
      <c r="DE23" s="520"/>
      <c r="DF23" s="520"/>
      <c r="DG23" s="520"/>
      <c r="DH23" s="520"/>
      <c r="DI23" s="520"/>
      <c r="DJ23" s="520"/>
      <c r="DK23" s="520"/>
      <c r="DL23" s="520"/>
      <c r="DM23" s="520"/>
      <c r="DN23" s="520"/>
      <c r="DO23" s="520"/>
      <c r="DP23" s="520"/>
      <c r="DQ23" s="520"/>
      <c r="DR23" s="520"/>
      <c r="DS23" s="520"/>
      <c r="DT23" s="520"/>
      <c r="DU23" s="520"/>
      <c r="DV23" s="520"/>
      <c r="DW23" s="520"/>
      <c r="DX23" s="520"/>
      <c r="DY23" s="520"/>
      <c r="DZ23" s="520"/>
      <c r="EA23" s="520"/>
      <c r="EB23" s="520"/>
      <c r="EC23" s="520"/>
      <c r="ED23" s="520"/>
      <c r="EE23" s="520"/>
      <c r="EF23" s="520"/>
      <c r="EG23" s="520"/>
      <c r="EH23" s="520"/>
      <c r="EI23" s="520"/>
      <c r="EJ23" s="520"/>
      <c r="EK23" s="520"/>
      <c r="EL23" s="520"/>
      <c r="EM23" s="520"/>
      <c r="EN23" s="520"/>
      <c r="EO23" s="520"/>
      <c r="EP23" s="520"/>
      <c r="EQ23" s="520"/>
      <c r="ER23" s="520"/>
      <c r="ES23" s="520"/>
      <c r="ET23" s="520"/>
      <c r="EU23" s="520"/>
      <c r="EV23" s="520"/>
      <c r="EW23" s="520"/>
      <c r="EX23" s="520"/>
      <c r="EY23" s="520"/>
      <c r="EZ23" s="520"/>
      <c r="FA23" s="520"/>
      <c r="FB23" s="520"/>
      <c r="FC23" s="520"/>
      <c r="FD23" s="520"/>
      <c r="FE23" s="520"/>
      <c r="FF23" s="520"/>
      <c r="FG23" s="520"/>
      <c r="FH23" s="520"/>
      <c r="FI23" s="520"/>
      <c r="FJ23" s="520"/>
      <c r="FK23" s="520"/>
      <c r="FL23" s="520"/>
      <c r="FM23" s="520"/>
      <c r="FN23" s="520"/>
      <c r="FO23" s="520"/>
      <c r="FP23" s="520"/>
      <c r="FQ23" s="520"/>
      <c r="FR23" s="520"/>
      <c r="FS23" s="520"/>
      <c r="FT23" s="520"/>
      <c r="FU23" s="520"/>
      <c r="FV23" s="520"/>
      <c r="FW23" s="520"/>
      <c r="FX23" s="520"/>
      <c r="FY23" s="520"/>
      <c r="FZ23" s="520"/>
      <c r="GA23" s="520"/>
      <c r="GB23" s="520"/>
      <c r="GC23" s="520"/>
      <c r="GD23" s="520"/>
      <c r="GE23" s="520"/>
      <c r="GF23" s="520"/>
      <c r="GG23" s="520"/>
      <c r="GH23" s="520"/>
      <c r="GI23" s="520"/>
      <c r="GJ23" s="520"/>
      <c r="GK23" s="520"/>
      <c r="GL23" s="520"/>
      <c r="GM23" s="520"/>
      <c r="GN23" s="520"/>
      <c r="GO23" s="520"/>
      <c r="GP23" s="520"/>
      <c r="GQ23" s="520"/>
      <c r="GR23" s="520"/>
      <c r="GS23" s="520"/>
      <c r="GT23" s="520"/>
      <c r="GU23" s="520"/>
      <c r="GV23" s="520"/>
      <c r="GW23" s="520"/>
      <c r="GX23" s="520"/>
      <c r="GY23" s="520"/>
      <c r="GZ23" s="520"/>
      <c r="HA23" s="520"/>
      <c r="HB23" s="520"/>
      <c r="HC23" s="520"/>
      <c r="HD23" s="520"/>
      <c r="HE23" s="520"/>
      <c r="HF23" s="520"/>
      <c r="HG23" s="520"/>
      <c r="HH23" s="520"/>
      <c r="HI23" s="520"/>
      <c r="HJ23" s="520"/>
      <c r="HK23" s="520"/>
      <c r="HL23" s="520"/>
      <c r="HM23" s="520"/>
      <c r="HN23" s="520"/>
      <c r="HO23" s="520"/>
      <c r="HP23" s="520"/>
      <c r="HQ23" s="520"/>
      <c r="HR23" s="520"/>
      <c r="HS23" s="520"/>
      <c r="HT23" s="520"/>
      <c r="HU23" s="520"/>
      <c r="HV23" s="520"/>
      <c r="HW23" s="520"/>
      <c r="HX23" s="520"/>
      <c r="HY23" s="520"/>
      <c r="HZ23" s="520"/>
      <c r="IA23" s="520"/>
      <c r="IB23" s="520"/>
      <c r="IC23" s="520"/>
      <c r="ID23" s="520"/>
      <c r="IE23" s="520"/>
      <c r="IF23" s="520"/>
      <c r="IG23" s="520"/>
      <c r="IH23" s="520"/>
      <c r="II23" s="520"/>
      <c r="IJ23" s="520"/>
      <c r="IK23" s="520"/>
      <c r="IL23" s="520"/>
      <c r="IM23" s="520"/>
      <c r="IN23" s="520"/>
      <c r="IO23" s="520"/>
      <c r="IP23" s="520"/>
      <c r="IQ23" s="520"/>
      <c r="IR23" s="520"/>
      <c r="IS23" s="520"/>
      <c r="IT23" s="520"/>
      <c r="IU23" s="520"/>
      <c r="IV23" s="520"/>
    </row>
    <row r="24" spans="1:256" ht="19.899999999999999" customHeight="1">
      <c r="A24" s="521"/>
      <c r="B24" s="522" t="str">
        <f>B17</f>
        <v>For Urban Police Station</v>
      </c>
      <c r="C24" s="372"/>
      <c r="D24" s="372"/>
      <c r="E24" s="376"/>
      <c r="F24" s="374"/>
      <c r="G24" s="374"/>
      <c r="H24" s="374"/>
      <c r="I24" s="374"/>
      <c r="J24" s="519"/>
      <c r="K24" s="520"/>
      <c r="L24" s="520"/>
      <c r="M24" s="520"/>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0"/>
      <c r="AK24" s="520"/>
      <c r="AL24" s="520"/>
      <c r="AM24" s="520"/>
      <c r="AN24" s="520"/>
      <c r="AO24" s="520"/>
      <c r="AP24" s="520"/>
      <c r="AQ24" s="520"/>
      <c r="AR24" s="520"/>
      <c r="AS24" s="520"/>
      <c r="AT24" s="520"/>
      <c r="AU24" s="520"/>
      <c r="AV24" s="520"/>
      <c r="AW24" s="520"/>
      <c r="AX24" s="520"/>
      <c r="AY24" s="520"/>
      <c r="AZ24" s="520"/>
      <c r="BA24" s="520"/>
      <c r="BB24" s="520"/>
      <c r="BC24" s="520"/>
      <c r="BD24" s="520"/>
      <c r="BE24" s="520"/>
      <c r="BF24" s="520"/>
      <c r="BG24" s="520"/>
      <c r="BH24" s="520"/>
      <c r="BI24" s="520"/>
      <c r="BJ24" s="520"/>
      <c r="BK24" s="520"/>
      <c r="BL24" s="520"/>
      <c r="BM24" s="520"/>
      <c r="BN24" s="520"/>
      <c r="BO24" s="520"/>
      <c r="BP24" s="520"/>
      <c r="BQ24" s="520"/>
      <c r="BR24" s="520"/>
      <c r="BS24" s="520"/>
      <c r="BT24" s="520"/>
      <c r="BU24" s="520"/>
      <c r="BV24" s="520"/>
      <c r="BW24" s="520"/>
      <c r="BX24" s="520"/>
      <c r="BY24" s="520"/>
      <c r="BZ24" s="520"/>
      <c r="CA24" s="520"/>
      <c r="CB24" s="520"/>
      <c r="CC24" s="520"/>
      <c r="CD24" s="520"/>
      <c r="CE24" s="520"/>
      <c r="CF24" s="520"/>
      <c r="CG24" s="520"/>
      <c r="CH24" s="520"/>
      <c r="CI24" s="520"/>
      <c r="CJ24" s="520"/>
      <c r="CK24" s="520"/>
      <c r="CL24" s="520"/>
      <c r="CM24" s="520"/>
      <c r="CN24" s="520"/>
      <c r="CO24" s="520"/>
      <c r="CP24" s="520"/>
      <c r="CQ24" s="520"/>
      <c r="CR24" s="520"/>
      <c r="CS24" s="520"/>
      <c r="CT24" s="520"/>
      <c r="CU24" s="520"/>
      <c r="CV24" s="520"/>
      <c r="CW24" s="520"/>
      <c r="CX24" s="520"/>
      <c r="CY24" s="520"/>
      <c r="CZ24" s="520"/>
      <c r="DA24" s="520"/>
      <c r="DB24" s="520"/>
      <c r="DC24" s="520"/>
      <c r="DD24" s="520"/>
      <c r="DE24" s="520"/>
      <c r="DF24" s="520"/>
      <c r="DG24" s="520"/>
      <c r="DH24" s="520"/>
      <c r="DI24" s="520"/>
      <c r="DJ24" s="520"/>
      <c r="DK24" s="520"/>
      <c r="DL24" s="520"/>
      <c r="DM24" s="520"/>
      <c r="DN24" s="520"/>
      <c r="DO24" s="520"/>
      <c r="DP24" s="520"/>
      <c r="DQ24" s="520"/>
      <c r="DR24" s="520"/>
      <c r="DS24" s="520"/>
      <c r="DT24" s="520"/>
      <c r="DU24" s="520"/>
      <c r="DV24" s="520"/>
      <c r="DW24" s="520"/>
      <c r="DX24" s="520"/>
      <c r="DY24" s="520"/>
      <c r="DZ24" s="520"/>
      <c r="EA24" s="520"/>
      <c r="EB24" s="520"/>
      <c r="EC24" s="520"/>
      <c r="ED24" s="520"/>
      <c r="EE24" s="520"/>
      <c r="EF24" s="520"/>
      <c r="EG24" s="520"/>
      <c r="EH24" s="520"/>
      <c r="EI24" s="520"/>
      <c r="EJ24" s="520"/>
      <c r="EK24" s="520"/>
      <c r="EL24" s="520"/>
      <c r="EM24" s="520"/>
      <c r="EN24" s="520"/>
      <c r="EO24" s="520"/>
      <c r="EP24" s="520"/>
      <c r="EQ24" s="520"/>
      <c r="ER24" s="520"/>
      <c r="ES24" s="520"/>
      <c r="ET24" s="520"/>
      <c r="EU24" s="520"/>
      <c r="EV24" s="520"/>
      <c r="EW24" s="520"/>
      <c r="EX24" s="520"/>
      <c r="EY24" s="520"/>
      <c r="EZ24" s="520"/>
      <c r="FA24" s="520"/>
      <c r="FB24" s="520"/>
      <c r="FC24" s="520"/>
      <c r="FD24" s="520"/>
      <c r="FE24" s="520"/>
      <c r="FF24" s="520"/>
      <c r="FG24" s="520"/>
      <c r="FH24" s="520"/>
      <c r="FI24" s="520"/>
      <c r="FJ24" s="520"/>
      <c r="FK24" s="520"/>
      <c r="FL24" s="520"/>
      <c r="FM24" s="520"/>
      <c r="FN24" s="520"/>
      <c r="FO24" s="520"/>
      <c r="FP24" s="520"/>
      <c r="FQ24" s="520"/>
      <c r="FR24" s="520"/>
      <c r="FS24" s="520"/>
      <c r="FT24" s="520"/>
      <c r="FU24" s="520"/>
      <c r="FV24" s="520"/>
      <c r="FW24" s="520"/>
      <c r="FX24" s="520"/>
      <c r="FY24" s="520"/>
      <c r="FZ24" s="520"/>
      <c r="GA24" s="520"/>
      <c r="GB24" s="520"/>
      <c r="GC24" s="520"/>
      <c r="GD24" s="520"/>
      <c r="GE24" s="520"/>
      <c r="GF24" s="520"/>
      <c r="GG24" s="520"/>
      <c r="GH24" s="520"/>
      <c r="GI24" s="520"/>
      <c r="GJ24" s="520"/>
      <c r="GK24" s="520"/>
      <c r="GL24" s="520"/>
      <c r="GM24" s="520"/>
      <c r="GN24" s="520"/>
      <c r="GO24" s="520"/>
      <c r="GP24" s="520"/>
      <c r="GQ24" s="520"/>
      <c r="GR24" s="520"/>
      <c r="GS24" s="520"/>
      <c r="GT24" s="520"/>
      <c r="GU24" s="520"/>
      <c r="GV24" s="520"/>
      <c r="GW24" s="520"/>
      <c r="GX24" s="520"/>
      <c r="GY24" s="520"/>
      <c r="GZ24" s="520"/>
      <c r="HA24" s="520"/>
      <c r="HB24" s="520"/>
      <c r="HC24" s="520"/>
      <c r="HD24" s="520"/>
      <c r="HE24" s="520"/>
      <c r="HF24" s="520"/>
      <c r="HG24" s="520"/>
      <c r="HH24" s="520"/>
      <c r="HI24" s="520"/>
      <c r="HJ24" s="520"/>
      <c r="HK24" s="520"/>
      <c r="HL24" s="520"/>
      <c r="HM24" s="520"/>
      <c r="HN24" s="520"/>
      <c r="HO24" s="520"/>
      <c r="HP24" s="520"/>
      <c r="HQ24" s="520"/>
      <c r="HR24" s="520"/>
      <c r="HS24" s="520"/>
      <c r="HT24" s="520"/>
      <c r="HU24" s="520"/>
      <c r="HV24" s="520"/>
      <c r="HW24" s="520"/>
      <c r="HX24" s="520"/>
      <c r="HY24" s="520"/>
      <c r="HZ24" s="520"/>
      <c r="IA24" s="520"/>
      <c r="IB24" s="520"/>
      <c r="IC24" s="520"/>
      <c r="ID24" s="520"/>
      <c r="IE24" s="520"/>
      <c r="IF24" s="520"/>
      <c r="IG24" s="520"/>
      <c r="IH24" s="520"/>
      <c r="II24" s="520"/>
      <c r="IJ24" s="520"/>
      <c r="IK24" s="520"/>
      <c r="IL24" s="520"/>
      <c r="IM24" s="520"/>
      <c r="IN24" s="520"/>
      <c r="IO24" s="520"/>
      <c r="IP24" s="520"/>
      <c r="IQ24" s="520"/>
      <c r="IR24" s="520"/>
      <c r="IS24" s="520"/>
      <c r="IT24" s="520"/>
      <c r="IU24" s="520"/>
      <c r="IV24" s="520"/>
    </row>
    <row r="25" spans="1:256" ht="19.899999999999999" customHeight="1">
      <c r="A25" s="521"/>
      <c r="B25" s="375" t="s">
        <v>4376</v>
      </c>
      <c r="C25" s="523">
        <v>1</v>
      </c>
      <c r="D25" s="523" t="s">
        <v>4377</v>
      </c>
      <c r="E25" s="861">
        <v>1</v>
      </c>
      <c r="F25" s="524">
        <v>56.2</v>
      </c>
      <c r="G25" s="374">
        <v>0.38</v>
      </c>
      <c r="H25" s="374">
        <v>0.1</v>
      </c>
      <c r="I25" s="525">
        <f>ROUND(PRODUCT(C25:H25),2)</f>
        <v>2.14</v>
      </c>
      <c r="J25" s="519"/>
      <c r="K25" s="520"/>
      <c r="L25" s="520">
        <v>0.15</v>
      </c>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c r="AS25" s="520"/>
      <c r="AT25" s="520"/>
      <c r="AU25" s="520"/>
      <c r="AV25" s="520"/>
      <c r="AW25" s="520"/>
      <c r="AX25" s="520"/>
      <c r="AY25" s="520"/>
      <c r="AZ25" s="520"/>
      <c r="BA25" s="520"/>
      <c r="BB25" s="520"/>
      <c r="BC25" s="520"/>
      <c r="BD25" s="520"/>
      <c r="BE25" s="520"/>
      <c r="BF25" s="520"/>
      <c r="BG25" s="520"/>
      <c r="BH25" s="520"/>
      <c r="BI25" s="520"/>
      <c r="BJ25" s="520"/>
      <c r="BK25" s="520"/>
      <c r="BL25" s="520"/>
      <c r="BM25" s="520"/>
      <c r="BN25" s="520"/>
      <c r="BO25" s="520"/>
      <c r="BP25" s="520"/>
      <c r="BQ25" s="520"/>
      <c r="BR25" s="520"/>
      <c r="BS25" s="520"/>
      <c r="BT25" s="520"/>
      <c r="BU25" s="520"/>
      <c r="BV25" s="520"/>
      <c r="BW25" s="520"/>
      <c r="BX25" s="520"/>
      <c r="BY25" s="520"/>
      <c r="BZ25" s="520"/>
      <c r="CA25" s="520"/>
      <c r="CB25" s="520"/>
      <c r="CC25" s="520"/>
      <c r="CD25" s="520"/>
      <c r="CE25" s="520"/>
      <c r="CF25" s="520"/>
      <c r="CG25" s="520"/>
      <c r="CH25" s="520"/>
      <c r="CI25" s="520"/>
      <c r="CJ25" s="520"/>
      <c r="CK25" s="520"/>
      <c r="CL25" s="520"/>
      <c r="CM25" s="520"/>
      <c r="CN25" s="520"/>
      <c r="CO25" s="520"/>
      <c r="CP25" s="520"/>
      <c r="CQ25" s="520"/>
      <c r="CR25" s="520"/>
      <c r="CS25" s="520"/>
      <c r="CT25" s="520"/>
      <c r="CU25" s="520"/>
      <c r="CV25" s="520"/>
      <c r="CW25" s="520"/>
      <c r="CX25" s="520"/>
      <c r="CY25" s="520"/>
      <c r="CZ25" s="520"/>
      <c r="DA25" s="520"/>
      <c r="DB25" s="520"/>
      <c r="DC25" s="520"/>
      <c r="DD25" s="520"/>
      <c r="DE25" s="520"/>
      <c r="DF25" s="520"/>
      <c r="DG25" s="520"/>
      <c r="DH25" s="520"/>
      <c r="DI25" s="520"/>
      <c r="DJ25" s="520"/>
      <c r="DK25" s="520"/>
      <c r="DL25" s="520"/>
      <c r="DM25" s="520"/>
      <c r="DN25" s="520"/>
      <c r="DO25" s="520"/>
      <c r="DP25" s="520"/>
      <c r="DQ25" s="520"/>
      <c r="DR25" s="520"/>
      <c r="DS25" s="520"/>
      <c r="DT25" s="520"/>
      <c r="DU25" s="520"/>
      <c r="DV25" s="520"/>
      <c r="DW25" s="520"/>
      <c r="DX25" s="520"/>
      <c r="DY25" s="520"/>
      <c r="DZ25" s="520"/>
      <c r="EA25" s="520"/>
      <c r="EB25" s="520"/>
      <c r="EC25" s="520"/>
      <c r="ED25" s="520"/>
      <c r="EE25" s="520"/>
      <c r="EF25" s="520"/>
      <c r="EG25" s="520"/>
      <c r="EH25" s="520"/>
      <c r="EI25" s="520"/>
      <c r="EJ25" s="520"/>
      <c r="EK25" s="520"/>
      <c r="EL25" s="520"/>
      <c r="EM25" s="520"/>
      <c r="EN25" s="520"/>
      <c r="EO25" s="520"/>
      <c r="EP25" s="520"/>
      <c r="EQ25" s="520"/>
      <c r="ER25" s="520"/>
      <c r="ES25" s="520"/>
      <c r="ET25" s="520"/>
      <c r="EU25" s="520"/>
      <c r="EV25" s="520"/>
      <c r="EW25" s="520"/>
      <c r="EX25" s="520"/>
      <c r="EY25" s="520"/>
      <c r="EZ25" s="520"/>
      <c r="FA25" s="520"/>
      <c r="FB25" s="520"/>
      <c r="FC25" s="520"/>
      <c r="FD25" s="520"/>
      <c r="FE25" s="520"/>
      <c r="FF25" s="520"/>
      <c r="FG25" s="520"/>
      <c r="FH25" s="520"/>
      <c r="FI25" s="520"/>
      <c r="FJ25" s="520"/>
      <c r="FK25" s="520"/>
      <c r="FL25" s="520"/>
      <c r="FM25" s="520"/>
      <c r="FN25" s="520"/>
      <c r="FO25" s="520"/>
      <c r="FP25" s="520"/>
      <c r="FQ25" s="520"/>
      <c r="FR25" s="520"/>
      <c r="FS25" s="520"/>
      <c r="FT25" s="520"/>
      <c r="FU25" s="520"/>
      <c r="FV25" s="520"/>
      <c r="FW25" s="520"/>
      <c r="FX25" s="520"/>
      <c r="FY25" s="520"/>
      <c r="FZ25" s="520"/>
      <c r="GA25" s="520"/>
      <c r="GB25" s="520"/>
      <c r="GC25" s="520"/>
      <c r="GD25" s="520"/>
      <c r="GE25" s="520"/>
      <c r="GF25" s="520"/>
      <c r="GG25" s="520"/>
      <c r="GH25" s="520"/>
      <c r="GI25" s="520"/>
      <c r="GJ25" s="520"/>
      <c r="GK25" s="520"/>
      <c r="GL25" s="520"/>
      <c r="GM25" s="520"/>
      <c r="GN25" s="520"/>
      <c r="GO25" s="520"/>
      <c r="GP25" s="520"/>
      <c r="GQ25" s="520"/>
      <c r="GR25" s="520"/>
      <c r="GS25" s="520"/>
      <c r="GT25" s="520"/>
      <c r="GU25" s="520"/>
      <c r="GV25" s="520"/>
      <c r="GW25" s="520"/>
      <c r="GX25" s="520"/>
      <c r="GY25" s="520"/>
      <c r="GZ25" s="520"/>
      <c r="HA25" s="520"/>
      <c r="HB25" s="520"/>
      <c r="HC25" s="520"/>
      <c r="HD25" s="520"/>
      <c r="HE25" s="520"/>
      <c r="HF25" s="520"/>
      <c r="HG25" s="520"/>
      <c r="HH25" s="520"/>
      <c r="HI25" s="520"/>
      <c r="HJ25" s="520"/>
      <c r="HK25" s="520"/>
      <c r="HL25" s="520"/>
      <c r="HM25" s="520"/>
      <c r="HN25" s="520"/>
      <c r="HO25" s="520"/>
      <c r="HP25" s="520"/>
      <c r="HQ25" s="520"/>
      <c r="HR25" s="520"/>
      <c r="HS25" s="520"/>
      <c r="HT25" s="520"/>
      <c r="HU25" s="520"/>
      <c r="HV25" s="520"/>
      <c r="HW25" s="520"/>
      <c r="HX25" s="520"/>
      <c r="HY25" s="520"/>
      <c r="HZ25" s="520"/>
      <c r="IA25" s="520"/>
      <c r="IB25" s="520"/>
      <c r="IC25" s="520"/>
      <c r="ID25" s="520"/>
      <c r="IE25" s="520"/>
      <c r="IF25" s="520"/>
      <c r="IG25" s="520"/>
      <c r="IH25" s="520"/>
      <c r="II25" s="520"/>
      <c r="IJ25" s="520"/>
      <c r="IK25" s="520"/>
      <c r="IL25" s="520"/>
      <c r="IM25" s="520"/>
      <c r="IN25" s="520"/>
      <c r="IO25" s="520"/>
      <c r="IP25" s="520"/>
      <c r="IQ25" s="520"/>
      <c r="IR25" s="520"/>
      <c r="IS25" s="520"/>
      <c r="IT25" s="520"/>
      <c r="IU25" s="520"/>
      <c r="IV25" s="520"/>
    </row>
    <row r="26" spans="1:256" ht="19.899999999999999" customHeight="1">
      <c r="A26" s="521"/>
      <c r="B26" s="375" t="s">
        <v>4795</v>
      </c>
      <c r="C26" s="523">
        <v>-1</v>
      </c>
      <c r="D26" s="523" t="s">
        <v>4377</v>
      </c>
      <c r="E26" s="861">
        <v>1</v>
      </c>
      <c r="F26" s="524">
        <v>6.91</v>
      </c>
      <c r="G26" s="374">
        <v>0.38</v>
      </c>
      <c r="H26" s="374">
        <v>0.1</v>
      </c>
      <c r="I26" s="525">
        <f>ROUND(PRODUCT(C26:H26),2)</f>
        <v>-0.26</v>
      </c>
      <c r="J26" s="519"/>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c r="AS26" s="520"/>
      <c r="AT26" s="520"/>
      <c r="AU26" s="520"/>
      <c r="AV26" s="520"/>
      <c r="AW26" s="520"/>
      <c r="AX26" s="520"/>
      <c r="AY26" s="520"/>
      <c r="AZ26" s="520"/>
      <c r="BA26" s="520"/>
      <c r="BB26" s="520"/>
      <c r="BC26" s="520"/>
      <c r="BD26" s="520"/>
      <c r="BE26" s="520"/>
      <c r="BF26" s="520"/>
      <c r="BG26" s="520"/>
      <c r="BH26" s="520"/>
      <c r="BI26" s="520"/>
      <c r="BJ26" s="520"/>
      <c r="BK26" s="520"/>
      <c r="BL26" s="520"/>
      <c r="BM26" s="520"/>
      <c r="BN26" s="520"/>
      <c r="BO26" s="520"/>
      <c r="BP26" s="520"/>
      <c r="BQ26" s="520"/>
      <c r="BR26" s="520"/>
      <c r="BS26" s="520"/>
      <c r="BT26" s="520"/>
      <c r="BU26" s="520"/>
      <c r="BV26" s="520"/>
      <c r="BW26" s="520"/>
      <c r="BX26" s="520"/>
      <c r="BY26" s="520"/>
      <c r="BZ26" s="520"/>
      <c r="CA26" s="520"/>
      <c r="CB26" s="520"/>
      <c r="CC26" s="520"/>
      <c r="CD26" s="520"/>
      <c r="CE26" s="520"/>
      <c r="CF26" s="520"/>
      <c r="CG26" s="520"/>
      <c r="CH26" s="520"/>
      <c r="CI26" s="520"/>
      <c r="CJ26" s="520"/>
      <c r="CK26" s="520"/>
      <c r="CL26" s="520"/>
      <c r="CM26" s="520"/>
      <c r="CN26" s="520"/>
      <c r="CO26" s="520"/>
      <c r="CP26" s="520"/>
      <c r="CQ26" s="520"/>
      <c r="CR26" s="520"/>
      <c r="CS26" s="520"/>
      <c r="CT26" s="520"/>
      <c r="CU26" s="520"/>
      <c r="CV26" s="520"/>
      <c r="CW26" s="520"/>
      <c r="CX26" s="520"/>
      <c r="CY26" s="520"/>
      <c r="CZ26" s="520"/>
      <c r="DA26" s="520"/>
      <c r="DB26" s="520"/>
      <c r="DC26" s="520"/>
      <c r="DD26" s="520"/>
      <c r="DE26" s="520"/>
      <c r="DF26" s="520"/>
      <c r="DG26" s="520"/>
      <c r="DH26" s="520"/>
      <c r="DI26" s="520"/>
      <c r="DJ26" s="520"/>
      <c r="DK26" s="520"/>
      <c r="DL26" s="520"/>
      <c r="DM26" s="520"/>
      <c r="DN26" s="520"/>
      <c r="DO26" s="520"/>
      <c r="DP26" s="520"/>
      <c r="DQ26" s="520"/>
      <c r="DR26" s="520"/>
      <c r="DS26" s="520"/>
      <c r="DT26" s="520"/>
      <c r="DU26" s="520"/>
      <c r="DV26" s="520"/>
      <c r="DW26" s="520"/>
      <c r="DX26" s="520"/>
      <c r="DY26" s="520"/>
      <c r="DZ26" s="520"/>
      <c r="EA26" s="520"/>
      <c r="EB26" s="520"/>
      <c r="EC26" s="520"/>
      <c r="ED26" s="520"/>
      <c r="EE26" s="520"/>
      <c r="EF26" s="520"/>
      <c r="EG26" s="520"/>
      <c r="EH26" s="520"/>
      <c r="EI26" s="520"/>
      <c r="EJ26" s="520"/>
      <c r="EK26" s="520"/>
      <c r="EL26" s="520"/>
      <c r="EM26" s="520"/>
      <c r="EN26" s="520"/>
      <c r="EO26" s="520"/>
      <c r="EP26" s="520"/>
      <c r="EQ26" s="520"/>
      <c r="ER26" s="520"/>
      <c r="ES26" s="520"/>
      <c r="ET26" s="520"/>
      <c r="EU26" s="520"/>
      <c r="EV26" s="520"/>
      <c r="EW26" s="520"/>
      <c r="EX26" s="520"/>
      <c r="EY26" s="520"/>
      <c r="EZ26" s="520"/>
      <c r="FA26" s="520"/>
      <c r="FB26" s="520"/>
      <c r="FC26" s="520"/>
      <c r="FD26" s="520"/>
      <c r="FE26" s="520"/>
      <c r="FF26" s="520"/>
      <c r="FG26" s="520"/>
      <c r="FH26" s="520"/>
      <c r="FI26" s="520"/>
      <c r="FJ26" s="520"/>
      <c r="FK26" s="520"/>
      <c r="FL26" s="520"/>
      <c r="FM26" s="520"/>
      <c r="FN26" s="520"/>
      <c r="FO26" s="520"/>
      <c r="FP26" s="520"/>
      <c r="FQ26" s="520"/>
      <c r="FR26" s="520"/>
      <c r="FS26" s="520"/>
      <c r="FT26" s="520"/>
      <c r="FU26" s="520"/>
      <c r="FV26" s="520"/>
      <c r="FW26" s="520"/>
      <c r="FX26" s="520"/>
      <c r="FY26" s="520"/>
      <c r="FZ26" s="520"/>
      <c r="GA26" s="520"/>
      <c r="GB26" s="520"/>
      <c r="GC26" s="520"/>
      <c r="GD26" s="520"/>
      <c r="GE26" s="520"/>
      <c r="GF26" s="520"/>
      <c r="GG26" s="520"/>
      <c r="GH26" s="520"/>
      <c r="GI26" s="520"/>
      <c r="GJ26" s="520"/>
      <c r="GK26" s="520"/>
      <c r="GL26" s="520"/>
      <c r="GM26" s="520"/>
      <c r="GN26" s="520"/>
      <c r="GO26" s="520"/>
      <c r="GP26" s="520"/>
      <c r="GQ26" s="520"/>
      <c r="GR26" s="520"/>
      <c r="GS26" s="520"/>
      <c r="GT26" s="520"/>
      <c r="GU26" s="520"/>
      <c r="GV26" s="520"/>
      <c r="GW26" s="520"/>
      <c r="GX26" s="520"/>
      <c r="GY26" s="520"/>
      <c r="GZ26" s="520"/>
      <c r="HA26" s="520"/>
      <c r="HB26" s="520"/>
      <c r="HC26" s="520"/>
      <c r="HD26" s="520"/>
      <c r="HE26" s="520"/>
      <c r="HF26" s="520"/>
      <c r="HG26" s="520"/>
      <c r="HH26" s="520"/>
      <c r="HI26" s="520"/>
      <c r="HJ26" s="520"/>
      <c r="HK26" s="520"/>
      <c r="HL26" s="520"/>
      <c r="HM26" s="520"/>
      <c r="HN26" s="520"/>
      <c r="HO26" s="520"/>
      <c r="HP26" s="520"/>
      <c r="HQ26" s="520"/>
      <c r="HR26" s="520"/>
      <c r="HS26" s="520"/>
      <c r="HT26" s="520"/>
      <c r="HU26" s="520"/>
      <c r="HV26" s="520"/>
      <c r="HW26" s="520"/>
      <c r="HX26" s="520"/>
      <c r="HY26" s="520"/>
      <c r="HZ26" s="520"/>
      <c r="IA26" s="520"/>
      <c r="IB26" s="520"/>
      <c r="IC26" s="520"/>
      <c r="ID26" s="520"/>
      <c r="IE26" s="520"/>
      <c r="IF26" s="520"/>
      <c r="IG26" s="520"/>
      <c r="IH26" s="520"/>
      <c r="II26" s="520"/>
      <c r="IJ26" s="520"/>
      <c r="IK26" s="520"/>
      <c r="IL26" s="520"/>
      <c r="IM26" s="520"/>
      <c r="IN26" s="520"/>
      <c r="IO26" s="520"/>
      <c r="IP26" s="520"/>
      <c r="IQ26" s="520"/>
      <c r="IR26" s="520"/>
      <c r="IS26" s="520"/>
      <c r="IT26" s="520"/>
      <c r="IU26" s="520"/>
      <c r="IV26" s="520"/>
    </row>
    <row r="27" spans="1:256" ht="19.899999999999999" customHeight="1">
      <c r="A27" s="521"/>
      <c r="B27" s="375"/>
      <c r="C27" s="523"/>
      <c r="D27" s="523"/>
      <c r="E27" s="376"/>
      <c r="F27" s="374"/>
      <c r="G27" s="374"/>
      <c r="H27" s="374"/>
      <c r="I27" s="525">
        <v>0.02</v>
      </c>
      <c r="J27" s="519"/>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c r="AS27" s="520"/>
      <c r="AT27" s="520"/>
      <c r="AU27" s="520"/>
      <c r="AV27" s="520"/>
      <c r="AW27" s="520"/>
      <c r="AX27" s="520"/>
      <c r="AY27" s="520"/>
      <c r="AZ27" s="520"/>
      <c r="BA27" s="520"/>
      <c r="BB27" s="520"/>
      <c r="BC27" s="520"/>
      <c r="BD27" s="520"/>
      <c r="BE27" s="520"/>
      <c r="BF27" s="520"/>
      <c r="BG27" s="520"/>
      <c r="BH27" s="520"/>
      <c r="BI27" s="520"/>
      <c r="BJ27" s="520"/>
      <c r="BK27" s="520"/>
      <c r="BL27" s="520"/>
      <c r="BM27" s="520"/>
      <c r="BN27" s="520"/>
      <c r="BO27" s="520"/>
      <c r="BP27" s="520"/>
      <c r="BQ27" s="520"/>
      <c r="BR27" s="520"/>
      <c r="BS27" s="520"/>
      <c r="BT27" s="520"/>
      <c r="BU27" s="520"/>
      <c r="BV27" s="520"/>
      <c r="BW27" s="520"/>
      <c r="BX27" s="520"/>
      <c r="BY27" s="520"/>
      <c r="BZ27" s="520"/>
      <c r="CA27" s="520"/>
      <c r="CB27" s="520"/>
      <c r="CC27" s="520"/>
      <c r="CD27" s="520"/>
      <c r="CE27" s="520"/>
      <c r="CF27" s="520"/>
      <c r="CG27" s="520"/>
      <c r="CH27" s="520"/>
      <c r="CI27" s="520"/>
      <c r="CJ27" s="520"/>
      <c r="CK27" s="520"/>
      <c r="CL27" s="520"/>
      <c r="CM27" s="520"/>
      <c r="CN27" s="520"/>
      <c r="CO27" s="520"/>
      <c r="CP27" s="520"/>
      <c r="CQ27" s="520"/>
      <c r="CR27" s="520"/>
      <c r="CS27" s="520"/>
      <c r="CT27" s="520"/>
      <c r="CU27" s="520"/>
      <c r="CV27" s="520"/>
      <c r="CW27" s="520"/>
      <c r="CX27" s="520"/>
      <c r="CY27" s="520"/>
      <c r="CZ27" s="520"/>
      <c r="DA27" s="520"/>
      <c r="DB27" s="520"/>
      <c r="DC27" s="520"/>
      <c r="DD27" s="520"/>
      <c r="DE27" s="520"/>
      <c r="DF27" s="520"/>
      <c r="DG27" s="520"/>
      <c r="DH27" s="520"/>
      <c r="DI27" s="520"/>
      <c r="DJ27" s="520"/>
      <c r="DK27" s="520"/>
      <c r="DL27" s="520"/>
      <c r="DM27" s="520"/>
      <c r="DN27" s="520"/>
      <c r="DO27" s="520"/>
      <c r="DP27" s="520"/>
      <c r="DQ27" s="520"/>
      <c r="DR27" s="520"/>
      <c r="DS27" s="520"/>
      <c r="DT27" s="520"/>
      <c r="DU27" s="520"/>
      <c r="DV27" s="520"/>
      <c r="DW27" s="520"/>
      <c r="DX27" s="520"/>
      <c r="DY27" s="520"/>
      <c r="DZ27" s="520"/>
      <c r="EA27" s="520"/>
      <c r="EB27" s="520"/>
      <c r="EC27" s="520"/>
      <c r="ED27" s="520"/>
      <c r="EE27" s="520"/>
      <c r="EF27" s="520"/>
      <c r="EG27" s="520"/>
      <c r="EH27" s="520"/>
      <c r="EI27" s="520"/>
      <c r="EJ27" s="520"/>
      <c r="EK27" s="520"/>
      <c r="EL27" s="520"/>
      <c r="EM27" s="520"/>
      <c r="EN27" s="520"/>
      <c r="EO27" s="520"/>
      <c r="EP27" s="520"/>
      <c r="EQ27" s="520"/>
      <c r="ER27" s="520"/>
      <c r="ES27" s="520"/>
      <c r="ET27" s="520"/>
      <c r="EU27" s="520"/>
      <c r="EV27" s="520"/>
      <c r="EW27" s="520"/>
      <c r="EX27" s="520"/>
      <c r="EY27" s="520"/>
      <c r="EZ27" s="520"/>
      <c r="FA27" s="520"/>
      <c r="FB27" s="520"/>
      <c r="FC27" s="520"/>
      <c r="FD27" s="520"/>
      <c r="FE27" s="520"/>
      <c r="FF27" s="520"/>
      <c r="FG27" s="520"/>
      <c r="FH27" s="520"/>
      <c r="FI27" s="520"/>
      <c r="FJ27" s="520"/>
      <c r="FK27" s="520"/>
      <c r="FL27" s="520"/>
      <c r="FM27" s="520"/>
      <c r="FN27" s="520"/>
      <c r="FO27" s="520"/>
      <c r="FP27" s="520"/>
      <c r="FQ27" s="520"/>
      <c r="FR27" s="520"/>
      <c r="FS27" s="520"/>
      <c r="FT27" s="520"/>
      <c r="FU27" s="520"/>
      <c r="FV27" s="520"/>
      <c r="FW27" s="520"/>
      <c r="FX27" s="520"/>
      <c r="FY27" s="520"/>
      <c r="FZ27" s="520"/>
      <c r="GA27" s="520"/>
      <c r="GB27" s="520"/>
      <c r="GC27" s="520"/>
      <c r="GD27" s="520"/>
      <c r="GE27" s="520"/>
      <c r="GF27" s="520"/>
      <c r="GG27" s="520"/>
      <c r="GH27" s="520"/>
      <c r="GI27" s="520"/>
      <c r="GJ27" s="520"/>
      <c r="GK27" s="520"/>
      <c r="GL27" s="520"/>
      <c r="GM27" s="520"/>
      <c r="GN27" s="520"/>
      <c r="GO27" s="520"/>
      <c r="GP27" s="520"/>
      <c r="GQ27" s="520"/>
      <c r="GR27" s="520"/>
      <c r="GS27" s="520"/>
      <c r="GT27" s="520"/>
      <c r="GU27" s="520"/>
      <c r="GV27" s="520"/>
      <c r="GW27" s="520"/>
      <c r="GX27" s="520"/>
      <c r="GY27" s="520"/>
      <c r="GZ27" s="520"/>
      <c r="HA27" s="520"/>
      <c r="HB27" s="520"/>
      <c r="HC27" s="520"/>
      <c r="HD27" s="520"/>
      <c r="HE27" s="520"/>
      <c r="HF27" s="520"/>
      <c r="HG27" s="520"/>
      <c r="HH27" s="520"/>
      <c r="HI27" s="520"/>
      <c r="HJ27" s="520"/>
      <c r="HK27" s="520"/>
      <c r="HL27" s="520"/>
      <c r="HM27" s="520"/>
      <c r="HN27" s="520"/>
      <c r="HO27" s="520"/>
      <c r="HP27" s="520"/>
      <c r="HQ27" s="520"/>
      <c r="HR27" s="520"/>
      <c r="HS27" s="520"/>
      <c r="HT27" s="520"/>
      <c r="HU27" s="520"/>
      <c r="HV27" s="520"/>
      <c r="HW27" s="520"/>
      <c r="HX27" s="520"/>
      <c r="HY27" s="520"/>
      <c r="HZ27" s="520"/>
      <c r="IA27" s="520"/>
      <c r="IB27" s="520"/>
      <c r="IC27" s="520"/>
      <c r="ID27" s="520"/>
      <c r="IE27" s="520"/>
      <c r="IF27" s="520"/>
      <c r="IG27" s="520"/>
      <c r="IH27" s="520"/>
      <c r="II27" s="520"/>
      <c r="IJ27" s="520"/>
      <c r="IK27" s="520"/>
      <c r="IL27" s="520"/>
      <c r="IM27" s="520"/>
      <c r="IN27" s="520"/>
      <c r="IO27" s="520"/>
      <c r="IP27" s="520"/>
      <c r="IQ27" s="520"/>
      <c r="IR27" s="520"/>
      <c r="IS27" s="520"/>
      <c r="IT27" s="520"/>
      <c r="IU27" s="520"/>
      <c r="IV27" s="520"/>
    </row>
    <row r="28" spans="1:256" ht="19.899999999999999" customHeight="1">
      <c r="A28" s="521"/>
      <c r="B28" s="375"/>
      <c r="C28" s="523"/>
      <c r="D28" s="523"/>
      <c r="E28" s="376"/>
      <c r="F28" s="374"/>
      <c r="G28" s="374"/>
      <c r="H28" s="390" t="s">
        <v>2560</v>
      </c>
      <c r="I28" s="533">
        <f>SUM(I25:I27)</f>
        <v>1.9</v>
      </c>
      <c r="J28" s="519" t="s">
        <v>1749</v>
      </c>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c r="AS28" s="520"/>
      <c r="AT28" s="520"/>
      <c r="AU28" s="520"/>
      <c r="AV28" s="520"/>
      <c r="AW28" s="520"/>
      <c r="AX28" s="520"/>
      <c r="AY28" s="520"/>
      <c r="AZ28" s="520"/>
      <c r="BA28" s="520"/>
      <c r="BB28" s="520"/>
      <c r="BC28" s="520"/>
      <c r="BD28" s="520"/>
      <c r="BE28" s="520"/>
      <c r="BF28" s="520"/>
      <c r="BG28" s="520"/>
      <c r="BH28" s="520"/>
      <c r="BI28" s="520"/>
      <c r="BJ28" s="520"/>
      <c r="BK28" s="520"/>
      <c r="BL28" s="520"/>
      <c r="BM28" s="520"/>
      <c r="BN28" s="520"/>
      <c r="BO28" s="520"/>
      <c r="BP28" s="520"/>
      <c r="BQ28" s="520"/>
      <c r="BR28" s="520"/>
      <c r="BS28" s="520"/>
      <c r="BT28" s="520"/>
      <c r="BU28" s="520"/>
      <c r="BV28" s="520"/>
      <c r="BW28" s="520"/>
      <c r="BX28" s="520"/>
      <c r="BY28" s="520"/>
      <c r="BZ28" s="520"/>
      <c r="CA28" s="520"/>
      <c r="CB28" s="520"/>
      <c r="CC28" s="520"/>
      <c r="CD28" s="520"/>
      <c r="CE28" s="520"/>
      <c r="CF28" s="520"/>
      <c r="CG28" s="520"/>
      <c r="CH28" s="520"/>
      <c r="CI28" s="520"/>
      <c r="CJ28" s="520"/>
      <c r="CK28" s="520"/>
      <c r="CL28" s="520"/>
      <c r="CM28" s="520"/>
      <c r="CN28" s="520"/>
      <c r="CO28" s="520"/>
      <c r="CP28" s="520"/>
      <c r="CQ28" s="520"/>
      <c r="CR28" s="520"/>
      <c r="CS28" s="520"/>
      <c r="CT28" s="520"/>
      <c r="CU28" s="520"/>
      <c r="CV28" s="520"/>
      <c r="CW28" s="520"/>
      <c r="CX28" s="520"/>
      <c r="CY28" s="520"/>
      <c r="CZ28" s="520"/>
      <c r="DA28" s="520"/>
      <c r="DB28" s="520"/>
      <c r="DC28" s="520"/>
      <c r="DD28" s="520"/>
      <c r="DE28" s="520"/>
      <c r="DF28" s="520"/>
      <c r="DG28" s="520"/>
      <c r="DH28" s="520"/>
      <c r="DI28" s="520"/>
      <c r="DJ28" s="520"/>
      <c r="DK28" s="520"/>
      <c r="DL28" s="520"/>
      <c r="DM28" s="520"/>
      <c r="DN28" s="520"/>
      <c r="DO28" s="520"/>
      <c r="DP28" s="520"/>
      <c r="DQ28" s="520"/>
      <c r="DR28" s="520"/>
      <c r="DS28" s="520"/>
      <c r="DT28" s="520"/>
      <c r="DU28" s="520"/>
      <c r="DV28" s="520"/>
      <c r="DW28" s="520"/>
      <c r="DX28" s="520"/>
      <c r="DY28" s="520"/>
      <c r="DZ28" s="520"/>
      <c r="EA28" s="520"/>
      <c r="EB28" s="520"/>
      <c r="EC28" s="520"/>
      <c r="ED28" s="520"/>
      <c r="EE28" s="520"/>
      <c r="EF28" s="520"/>
      <c r="EG28" s="520"/>
      <c r="EH28" s="520"/>
      <c r="EI28" s="520"/>
      <c r="EJ28" s="520"/>
      <c r="EK28" s="520"/>
      <c r="EL28" s="520"/>
      <c r="EM28" s="520"/>
      <c r="EN28" s="520"/>
      <c r="EO28" s="520"/>
      <c r="EP28" s="520"/>
      <c r="EQ28" s="520"/>
      <c r="ER28" s="520"/>
      <c r="ES28" s="520"/>
      <c r="ET28" s="520"/>
      <c r="EU28" s="520"/>
      <c r="EV28" s="520"/>
      <c r="EW28" s="520"/>
      <c r="EX28" s="520"/>
      <c r="EY28" s="520"/>
      <c r="EZ28" s="520"/>
      <c r="FA28" s="520"/>
      <c r="FB28" s="520"/>
      <c r="FC28" s="520"/>
      <c r="FD28" s="520"/>
      <c r="FE28" s="520"/>
      <c r="FF28" s="520"/>
      <c r="FG28" s="520"/>
      <c r="FH28" s="520"/>
      <c r="FI28" s="520"/>
      <c r="FJ28" s="520"/>
      <c r="FK28" s="520"/>
      <c r="FL28" s="520"/>
      <c r="FM28" s="520"/>
      <c r="FN28" s="520"/>
      <c r="FO28" s="520"/>
      <c r="FP28" s="520"/>
      <c r="FQ28" s="520"/>
      <c r="FR28" s="520"/>
      <c r="FS28" s="520"/>
      <c r="FT28" s="520"/>
      <c r="FU28" s="520"/>
      <c r="FV28" s="520"/>
      <c r="FW28" s="520"/>
      <c r="FX28" s="520"/>
      <c r="FY28" s="520"/>
      <c r="FZ28" s="520"/>
      <c r="GA28" s="520"/>
      <c r="GB28" s="520"/>
      <c r="GC28" s="520"/>
      <c r="GD28" s="520"/>
      <c r="GE28" s="520"/>
      <c r="GF28" s="520"/>
      <c r="GG28" s="520"/>
      <c r="GH28" s="520"/>
      <c r="GI28" s="520"/>
      <c r="GJ28" s="520"/>
      <c r="GK28" s="520"/>
      <c r="GL28" s="520"/>
      <c r="GM28" s="520"/>
      <c r="GN28" s="520"/>
      <c r="GO28" s="520"/>
      <c r="GP28" s="520"/>
      <c r="GQ28" s="520"/>
      <c r="GR28" s="520"/>
      <c r="GS28" s="520"/>
      <c r="GT28" s="520"/>
      <c r="GU28" s="520"/>
      <c r="GV28" s="520"/>
      <c r="GW28" s="520"/>
      <c r="GX28" s="520"/>
      <c r="GY28" s="520"/>
      <c r="GZ28" s="520"/>
      <c r="HA28" s="520"/>
      <c r="HB28" s="520"/>
      <c r="HC28" s="520"/>
      <c r="HD28" s="520"/>
      <c r="HE28" s="520"/>
      <c r="HF28" s="520"/>
      <c r="HG28" s="520"/>
      <c r="HH28" s="520"/>
      <c r="HI28" s="520"/>
      <c r="HJ28" s="520"/>
      <c r="HK28" s="520"/>
      <c r="HL28" s="520"/>
      <c r="HM28" s="520"/>
      <c r="HN28" s="520"/>
      <c r="HO28" s="520"/>
      <c r="HP28" s="520"/>
      <c r="HQ28" s="520"/>
      <c r="HR28" s="520"/>
      <c r="HS28" s="520"/>
      <c r="HT28" s="520"/>
      <c r="HU28" s="520"/>
      <c r="HV28" s="520"/>
      <c r="HW28" s="520"/>
      <c r="HX28" s="520"/>
      <c r="HY28" s="520"/>
      <c r="HZ28" s="520"/>
      <c r="IA28" s="520"/>
      <c r="IB28" s="520"/>
      <c r="IC28" s="520"/>
      <c r="ID28" s="520"/>
      <c r="IE28" s="520"/>
      <c r="IF28" s="520"/>
      <c r="IG28" s="520"/>
      <c r="IH28" s="520"/>
      <c r="II28" s="520"/>
      <c r="IJ28" s="520"/>
      <c r="IK28" s="520"/>
      <c r="IL28" s="520"/>
      <c r="IM28" s="520"/>
      <c r="IN28" s="520"/>
      <c r="IO28" s="520"/>
      <c r="IP28" s="520"/>
      <c r="IQ28" s="520"/>
      <c r="IR28" s="520"/>
      <c r="IS28" s="520"/>
      <c r="IT28" s="520"/>
      <c r="IU28" s="520"/>
      <c r="IV28" s="520"/>
    </row>
    <row r="29" spans="1:256" ht="19.899999999999999" customHeight="1">
      <c r="A29" s="526"/>
      <c r="B29" s="527"/>
      <c r="C29" s="528"/>
      <c r="D29" s="528"/>
      <c r="E29" s="528"/>
      <c r="F29" s="529"/>
      <c r="G29" s="530"/>
      <c r="H29" s="530"/>
      <c r="I29" s="530"/>
      <c r="J29" s="531"/>
    </row>
    <row r="30" spans="1:256" ht="33" customHeight="1">
      <c r="A30" s="518">
        <v>6.5</v>
      </c>
      <c r="B30" s="1054" t="s">
        <v>4379</v>
      </c>
      <c r="C30" s="1054"/>
      <c r="D30" s="1054"/>
      <c r="E30" s="1054"/>
      <c r="F30" s="1054"/>
      <c r="G30" s="1054"/>
      <c r="H30" s="1054"/>
      <c r="I30" s="374"/>
      <c r="J30" s="532"/>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c r="AS30" s="520"/>
      <c r="AT30" s="520"/>
      <c r="AU30" s="520"/>
      <c r="AV30" s="520"/>
      <c r="AW30" s="520"/>
      <c r="AX30" s="520"/>
      <c r="AY30" s="520"/>
      <c r="AZ30" s="520"/>
      <c r="BA30" s="520"/>
      <c r="BB30" s="520"/>
      <c r="BC30" s="520"/>
      <c r="BD30" s="520"/>
      <c r="BE30" s="520"/>
      <c r="BF30" s="520"/>
      <c r="BG30" s="520"/>
      <c r="BH30" s="520"/>
      <c r="BI30" s="520"/>
      <c r="BJ30" s="520"/>
      <c r="BK30" s="520"/>
      <c r="BL30" s="520"/>
      <c r="BM30" s="520"/>
      <c r="BN30" s="520"/>
      <c r="BO30" s="520"/>
      <c r="BP30" s="520"/>
      <c r="BQ30" s="520"/>
      <c r="BR30" s="520"/>
      <c r="BS30" s="520"/>
      <c r="BT30" s="520"/>
      <c r="BU30" s="520"/>
      <c r="BV30" s="520"/>
      <c r="BW30" s="520"/>
      <c r="BX30" s="520"/>
      <c r="BY30" s="520"/>
      <c r="BZ30" s="520"/>
      <c r="CA30" s="520"/>
      <c r="CB30" s="520"/>
      <c r="CC30" s="520"/>
      <c r="CD30" s="520"/>
      <c r="CE30" s="520"/>
      <c r="CF30" s="520"/>
      <c r="CG30" s="520"/>
      <c r="CH30" s="520"/>
      <c r="CI30" s="520"/>
      <c r="CJ30" s="520"/>
      <c r="CK30" s="520"/>
      <c r="CL30" s="520"/>
      <c r="CM30" s="520"/>
      <c r="CN30" s="520"/>
      <c r="CO30" s="520"/>
      <c r="CP30" s="520"/>
      <c r="CQ30" s="520"/>
      <c r="CR30" s="520"/>
      <c r="CS30" s="520"/>
      <c r="CT30" s="520"/>
      <c r="CU30" s="520"/>
      <c r="CV30" s="520"/>
      <c r="CW30" s="520"/>
      <c r="CX30" s="520"/>
      <c r="CY30" s="520"/>
      <c r="CZ30" s="520"/>
      <c r="DA30" s="520"/>
      <c r="DB30" s="520"/>
      <c r="DC30" s="520"/>
      <c r="DD30" s="520"/>
      <c r="DE30" s="520"/>
      <c r="DF30" s="520"/>
      <c r="DG30" s="520"/>
      <c r="DH30" s="520"/>
      <c r="DI30" s="520"/>
      <c r="DJ30" s="520"/>
      <c r="DK30" s="520"/>
      <c r="DL30" s="520"/>
      <c r="DM30" s="520"/>
      <c r="DN30" s="520"/>
      <c r="DO30" s="520"/>
      <c r="DP30" s="520"/>
      <c r="DQ30" s="520"/>
      <c r="DR30" s="520"/>
      <c r="DS30" s="520"/>
      <c r="DT30" s="520"/>
      <c r="DU30" s="520"/>
      <c r="DV30" s="520"/>
      <c r="DW30" s="520"/>
      <c r="DX30" s="520"/>
      <c r="DY30" s="520"/>
      <c r="DZ30" s="520"/>
      <c r="EA30" s="520"/>
      <c r="EB30" s="520"/>
      <c r="EC30" s="520"/>
      <c r="ED30" s="520"/>
      <c r="EE30" s="520"/>
      <c r="EF30" s="520"/>
      <c r="EG30" s="520"/>
      <c r="EH30" s="520"/>
      <c r="EI30" s="520"/>
      <c r="EJ30" s="520"/>
      <c r="EK30" s="520"/>
      <c r="EL30" s="520"/>
      <c r="EM30" s="520"/>
      <c r="EN30" s="520"/>
      <c r="EO30" s="520"/>
      <c r="EP30" s="520"/>
      <c r="EQ30" s="520"/>
      <c r="ER30" s="520"/>
      <c r="ES30" s="520"/>
      <c r="ET30" s="520"/>
      <c r="EU30" s="520"/>
      <c r="EV30" s="520"/>
      <c r="EW30" s="520"/>
      <c r="EX30" s="520"/>
      <c r="EY30" s="520"/>
      <c r="EZ30" s="520"/>
      <c r="FA30" s="520"/>
      <c r="FB30" s="520"/>
      <c r="FC30" s="520"/>
      <c r="FD30" s="520"/>
      <c r="FE30" s="520"/>
      <c r="FF30" s="520"/>
      <c r="FG30" s="520"/>
      <c r="FH30" s="520"/>
      <c r="FI30" s="520"/>
      <c r="FJ30" s="520"/>
      <c r="FK30" s="520"/>
      <c r="FL30" s="520"/>
      <c r="FM30" s="520"/>
      <c r="FN30" s="520"/>
      <c r="FO30" s="520"/>
      <c r="FP30" s="520"/>
      <c r="FQ30" s="520"/>
      <c r="FR30" s="520"/>
      <c r="FS30" s="520"/>
      <c r="FT30" s="520"/>
      <c r="FU30" s="520"/>
      <c r="FV30" s="520"/>
      <c r="FW30" s="520"/>
      <c r="FX30" s="520"/>
      <c r="FY30" s="520"/>
      <c r="FZ30" s="520"/>
      <c r="GA30" s="520"/>
      <c r="GB30" s="520"/>
      <c r="GC30" s="520"/>
      <c r="GD30" s="520"/>
      <c r="GE30" s="520"/>
      <c r="GF30" s="520"/>
      <c r="GG30" s="520"/>
      <c r="GH30" s="520"/>
      <c r="GI30" s="520"/>
      <c r="GJ30" s="520"/>
      <c r="GK30" s="520"/>
      <c r="GL30" s="520"/>
      <c r="GM30" s="520"/>
      <c r="GN30" s="520"/>
      <c r="GO30" s="520"/>
      <c r="GP30" s="520"/>
      <c r="GQ30" s="520"/>
      <c r="GR30" s="520"/>
      <c r="GS30" s="520"/>
      <c r="GT30" s="520"/>
      <c r="GU30" s="520"/>
      <c r="GV30" s="520"/>
      <c r="GW30" s="520"/>
      <c r="GX30" s="520"/>
      <c r="GY30" s="520"/>
      <c r="GZ30" s="520"/>
      <c r="HA30" s="520"/>
      <c r="HB30" s="520"/>
      <c r="HC30" s="520"/>
      <c r="HD30" s="520"/>
      <c r="HE30" s="520"/>
      <c r="HF30" s="520"/>
      <c r="HG30" s="520"/>
      <c r="HH30" s="520"/>
      <c r="HI30" s="520"/>
      <c r="HJ30" s="520"/>
      <c r="HK30" s="520"/>
      <c r="HL30" s="520"/>
      <c r="HM30" s="520"/>
      <c r="HN30" s="520"/>
      <c r="HO30" s="520"/>
      <c r="HP30" s="520"/>
      <c r="HQ30" s="520"/>
      <c r="HR30" s="520"/>
      <c r="HS30" s="520"/>
      <c r="HT30" s="520"/>
      <c r="HU30" s="520"/>
      <c r="HV30" s="520"/>
      <c r="HW30" s="520"/>
      <c r="HX30" s="520"/>
      <c r="HY30" s="520"/>
      <c r="HZ30" s="520"/>
      <c r="IA30" s="520"/>
      <c r="IB30" s="520"/>
      <c r="IC30" s="520"/>
      <c r="ID30" s="520"/>
      <c r="IE30" s="520"/>
      <c r="IF30" s="520"/>
      <c r="IG30" s="520"/>
      <c r="IH30" s="520"/>
      <c r="II30" s="520"/>
      <c r="IJ30" s="520"/>
      <c r="IK30" s="520"/>
      <c r="IL30" s="520"/>
      <c r="IM30" s="520"/>
      <c r="IN30" s="520"/>
      <c r="IO30" s="520"/>
      <c r="IP30" s="520"/>
      <c r="IQ30" s="520"/>
      <c r="IR30" s="520"/>
      <c r="IS30" s="520"/>
      <c r="IT30" s="520"/>
      <c r="IU30" s="520"/>
      <c r="IV30" s="520"/>
    </row>
    <row r="31" spans="1:256" ht="19.899999999999999" customHeight="1">
      <c r="A31" s="521"/>
      <c r="B31" s="522" t="str">
        <f>B24</f>
        <v>For Urban Police Station</v>
      </c>
      <c r="C31" s="372"/>
      <c r="D31" s="372"/>
      <c r="E31" s="376"/>
      <c r="F31" s="374"/>
      <c r="G31" s="374"/>
      <c r="H31" s="374"/>
      <c r="I31" s="374"/>
      <c r="J31" s="519"/>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c r="AS31" s="520"/>
      <c r="AT31" s="520"/>
      <c r="AU31" s="520"/>
      <c r="AV31" s="520"/>
      <c r="AW31" s="520"/>
      <c r="AX31" s="520"/>
      <c r="AY31" s="520"/>
      <c r="AZ31" s="520"/>
      <c r="BA31" s="520"/>
      <c r="BB31" s="520"/>
      <c r="BC31" s="520"/>
      <c r="BD31" s="520"/>
      <c r="BE31" s="520"/>
      <c r="BF31" s="520"/>
      <c r="BG31" s="520"/>
      <c r="BH31" s="520"/>
      <c r="BI31" s="520"/>
      <c r="BJ31" s="520"/>
      <c r="BK31" s="520"/>
      <c r="BL31" s="520"/>
      <c r="BM31" s="520"/>
      <c r="BN31" s="520"/>
      <c r="BO31" s="520"/>
      <c r="BP31" s="520"/>
      <c r="BQ31" s="520"/>
      <c r="BR31" s="520"/>
      <c r="BS31" s="520"/>
      <c r="BT31" s="520"/>
      <c r="BU31" s="520"/>
      <c r="BV31" s="520"/>
      <c r="BW31" s="520"/>
      <c r="BX31" s="520"/>
      <c r="BY31" s="520"/>
      <c r="BZ31" s="520"/>
      <c r="CA31" s="520"/>
      <c r="CB31" s="520"/>
      <c r="CC31" s="520"/>
      <c r="CD31" s="520"/>
      <c r="CE31" s="520"/>
      <c r="CF31" s="520"/>
      <c r="CG31" s="520"/>
      <c r="CH31" s="520"/>
      <c r="CI31" s="520"/>
      <c r="CJ31" s="520"/>
      <c r="CK31" s="520"/>
      <c r="CL31" s="520"/>
      <c r="CM31" s="520"/>
      <c r="CN31" s="520"/>
      <c r="CO31" s="520"/>
      <c r="CP31" s="520"/>
      <c r="CQ31" s="520"/>
      <c r="CR31" s="520"/>
      <c r="CS31" s="520"/>
      <c r="CT31" s="520"/>
      <c r="CU31" s="520"/>
      <c r="CV31" s="520"/>
      <c r="CW31" s="520"/>
      <c r="CX31" s="520"/>
      <c r="CY31" s="520"/>
      <c r="CZ31" s="520"/>
      <c r="DA31" s="520"/>
      <c r="DB31" s="520"/>
      <c r="DC31" s="520"/>
      <c r="DD31" s="520"/>
      <c r="DE31" s="520"/>
      <c r="DF31" s="520"/>
      <c r="DG31" s="520"/>
      <c r="DH31" s="520"/>
      <c r="DI31" s="520"/>
      <c r="DJ31" s="520"/>
      <c r="DK31" s="520"/>
      <c r="DL31" s="520"/>
      <c r="DM31" s="520"/>
      <c r="DN31" s="520"/>
      <c r="DO31" s="520"/>
      <c r="DP31" s="520"/>
      <c r="DQ31" s="520"/>
      <c r="DR31" s="520"/>
      <c r="DS31" s="520"/>
      <c r="DT31" s="520"/>
      <c r="DU31" s="520"/>
      <c r="DV31" s="520"/>
      <c r="DW31" s="520"/>
      <c r="DX31" s="520"/>
      <c r="DY31" s="520"/>
      <c r="DZ31" s="520"/>
      <c r="EA31" s="520"/>
      <c r="EB31" s="520"/>
      <c r="EC31" s="520"/>
      <c r="ED31" s="520"/>
      <c r="EE31" s="520"/>
      <c r="EF31" s="520"/>
      <c r="EG31" s="520"/>
      <c r="EH31" s="520"/>
      <c r="EI31" s="520"/>
      <c r="EJ31" s="520"/>
      <c r="EK31" s="520"/>
      <c r="EL31" s="520"/>
      <c r="EM31" s="520"/>
      <c r="EN31" s="520"/>
      <c r="EO31" s="520"/>
      <c r="EP31" s="520"/>
      <c r="EQ31" s="520"/>
      <c r="ER31" s="520"/>
      <c r="ES31" s="520"/>
      <c r="ET31" s="520"/>
      <c r="EU31" s="520"/>
      <c r="EV31" s="520"/>
      <c r="EW31" s="520"/>
      <c r="EX31" s="520"/>
      <c r="EY31" s="520"/>
      <c r="EZ31" s="520"/>
      <c r="FA31" s="520"/>
      <c r="FB31" s="520"/>
      <c r="FC31" s="520"/>
      <c r="FD31" s="520"/>
      <c r="FE31" s="520"/>
      <c r="FF31" s="520"/>
      <c r="FG31" s="520"/>
      <c r="FH31" s="520"/>
      <c r="FI31" s="520"/>
      <c r="FJ31" s="520"/>
      <c r="FK31" s="520"/>
      <c r="FL31" s="520"/>
      <c r="FM31" s="520"/>
      <c r="FN31" s="520"/>
      <c r="FO31" s="520"/>
      <c r="FP31" s="520"/>
      <c r="FQ31" s="520"/>
      <c r="FR31" s="520"/>
      <c r="FS31" s="520"/>
      <c r="FT31" s="520"/>
      <c r="FU31" s="520"/>
      <c r="FV31" s="520"/>
      <c r="FW31" s="520"/>
      <c r="FX31" s="520"/>
      <c r="FY31" s="520"/>
      <c r="FZ31" s="520"/>
      <c r="GA31" s="520"/>
      <c r="GB31" s="520"/>
      <c r="GC31" s="520"/>
      <c r="GD31" s="520"/>
      <c r="GE31" s="520"/>
      <c r="GF31" s="520"/>
      <c r="GG31" s="520"/>
      <c r="GH31" s="520"/>
      <c r="GI31" s="520"/>
      <c r="GJ31" s="520"/>
      <c r="GK31" s="520"/>
      <c r="GL31" s="520"/>
      <c r="GM31" s="520"/>
      <c r="GN31" s="520"/>
      <c r="GO31" s="520"/>
      <c r="GP31" s="520"/>
      <c r="GQ31" s="520"/>
      <c r="GR31" s="520"/>
      <c r="GS31" s="520"/>
      <c r="GT31" s="520"/>
      <c r="GU31" s="520"/>
      <c r="GV31" s="520"/>
      <c r="GW31" s="520"/>
      <c r="GX31" s="520"/>
      <c r="GY31" s="520"/>
      <c r="GZ31" s="520"/>
      <c r="HA31" s="520"/>
      <c r="HB31" s="520"/>
      <c r="HC31" s="520"/>
      <c r="HD31" s="520"/>
      <c r="HE31" s="520"/>
      <c r="HF31" s="520"/>
      <c r="HG31" s="520"/>
      <c r="HH31" s="520"/>
      <c r="HI31" s="520"/>
      <c r="HJ31" s="520"/>
      <c r="HK31" s="520"/>
      <c r="HL31" s="520"/>
      <c r="HM31" s="520"/>
      <c r="HN31" s="520"/>
      <c r="HO31" s="520"/>
      <c r="HP31" s="520"/>
      <c r="HQ31" s="520"/>
      <c r="HR31" s="520"/>
      <c r="HS31" s="520"/>
      <c r="HT31" s="520"/>
      <c r="HU31" s="520"/>
      <c r="HV31" s="520"/>
      <c r="HW31" s="520"/>
      <c r="HX31" s="520"/>
      <c r="HY31" s="520"/>
      <c r="HZ31" s="520"/>
      <c r="IA31" s="520"/>
      <c r="IB31" s="520"/>
      <c r="IC31" s="520"/>
      <c r="ID31" s="520"/>
      <c r="IE31" s="520"/>
      <c r="IF31" s="520"/>
      <c r="IG31" s="520"/>
      <c r="IH31" s="520"/>
      <c r="II31" s="520"/>
      <c r="IJ31" s="520"/>
      <c r="IK31" s="520"/>
      <c r="IL31" s="520"/>
      <c r="IM31" s="520"/>
      <c r="IN31" s="520"/>
      <c r="IO31" s="520"/>
      <c r="IP31" s="520"/>
      <c r="IQ31" s="520"/>
      <c r="IR31" s="520"/>
      <c r="IS31" s="520"/>
      <c r="IT31" s="520"/>
      <c r="IU31" s="520"/>
      <c r="IV31" s="520"/>
    </row>
    <row r="32" spans="1:256" ht="19.899999999999999" customHeight="1">
      <c r="A32" s="521"/>
      <c r="B32" s="375" t="s">
        <v>4796</v>
      </c>
      <c r="C32" s="523">
        <v>1</v>
      </c>
      <c r="D32" s="523" t="s">
        <v>4377</v>
      </c>
      <c r="E32" s="376">
        <v>18</v>
      </c>
      <c r="F32" s="374">
        <v>0.23</v>
      </c>
      <c r="G32" s="374">
        <v>0.23</v>
      </c>
      <c r="H32" s="374">
        <v>0.6</v>
      </c>
      <c r="I32" s="525">
        <f>ROUND(PRODUCT(C32:H32),2)</f>
        <v>0.56999999999999995</v>
      </c>
      <c r="J32" s="519"/>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c r="AS32" s="520"/>
      <c r="AT32" s="520"/>
      <c r="AU32" s="520"/>
      <c r="AV32" s="520"/>
      <c r="AW32" s="520"/>
      <c r="AX32" s="520"/>
      <c r="AY32" s="520"/>
      <c r="AZ32" s="520"/>
      <c r="BA32" s="520"/>
      <c r="BB32" s="520"/>
      <c r="BC32" s="520"/>
      <c r="BD32" s="520"/>
      <c r="BE32" s="520"/>
      <c r="BF32" s="520"/>
      <c r="BG32" s="520"/>
      <c r="BH32" s="520"/>
      <c r="BI32" s="520"/>
      <c r="BJ32" s="520"/>
      <c r="BK32" s="520"/>
      <c r="BL32" s="520"/>
      <c r="BM32" s="520"/>
      <c r="BN32" s="520"/>
      <c r="BO32" s="520"/>
      <c r="BP32" s="520"/>
      <c r="BQ32" s="520"/>
      <c r="BR32" s="520"/>
      <c r="BS32" s="520"/>
      <c r="BT32" s="520"/>
      <c r="BU32" s="520"/>
      <c r="BV32" s="520"/>
      <c r="BW32" s="520"/>
      <c r="BX32" s="520"/>
      <c r="BY32" s="520"/>
      <c r="BZ32" s="520"/>
      <c r="CA32" s="520"/>
      <c r="CB32" s="520"/>
      <c r="CC32" s="520"/>
      <c r="CD32" s="520"/>
      <c r="CE32" s="520"/>
      <c r="CF32" s="520"/>
      <c r="CG32" s="520"/>
      <c r="CH32" s="520"/>
      <c r="CI32" s="520"/>
      <c r="CJ32" s="520"/>
      <c r="CK32" s="520"/>
      <c r="CL32" s="520"/>
      <c r="CM32" s="520"/>
      <c r="CN32" s="520"/>
      <c r="CO32" s="520"/>
      <c r="CP32" s="520"/>
      <c r="CQ32" s="520"/>
      <c r="CR32" s="520"/>
      <c r="CS32" s="520"/>
      <c r="CT32" s="520"/>
      <c r="CU32" s="520"/>
      <c r="CV32" s="520"/>
      <c r="CW32" s="520"/>
      <c r="CX32" s="520"/>
      <c r="CY32" s="520"/>
      <c r="CZ32" s="520"/>
      <c r="DA32" s="520"/>
      <c r="DB32" s="520"/>
      <c r="DC32" s="520"/>
      <c r="DD32" s="520"/>
      <c r="DE32" s="520"/>
      <c r="DF32" s="520"/>
      <c r="DG32" s="520"/>
      <c r="DH32" s="520"/>
      <c r="DI32" s="520"/>
      <c r="DJ32" s="520"/>
      <c r="DK32" s="520"/>
      <c r="DL32" s="520"/>
      <c r="DM32" s="520"/>
      <c r="DN32" s="520"/>
      <c r="DO32" s="520"/>
      <c r="DP32" s="520"/>
      <c r="DQ32" s="520"/>
      <c r="DR32" s="520"/>
      <c r="DS32" s="520"/>
      <c r="DT32" s="520"/>
      <c r="DU32" s="520"/>
      <c r="DV32" s="520"/>
      <c r="DW32" s="520"/>
      <c r="DX32" s="520"/>
      <c r="DY32" s="520"/>
      <c r="DZ32" s="520"/>
      <c r="EA32" s="520"/>
      <c r="EB32" s="520"/>
      <c r="EC32" s="520"/>
      <c r="ED32" s="520"/>
      <c r="EE32" s="520"/>
      <c r="EF32" s="520"/>
      <c r="EG32" s="520"/>
      <c r="EH32" s="520"/>
      <c r="EI32" s="520"/>
      <c r="EJ32" s="520"/>
      <c r="EK32" s="520"/>
      <c r="EL32" s="520"/>
      <c r="EM32" s="520"/>
      <c r="EN32" s="520"/>
      <c r="EO32" s="520"/>
      <c r="EP32" s="520"/>
      <c r="EQ32" s="520"/>
      <c r="ER32" s="520"/>
      <c r="ES32" s="520"/>
      <c r="ET32" s="520"/>
      <c r="EU32" s="520"/>
      <c r="EV32" s="520"/>
      <c r="EW32" s="520"/>
      <c r="EX32" s="520"/>
      <c r="EY32" s="520"/>
      <c r="EZ32" s="520"/>
      <c r="FA32" s="520"/>
      <c r="FB32" s="520"/>
      <c r="FC32" s="520"/>
      <c r="FD32" s="520"/>
      <c r="FE32" s="520"/>
      <c r="FF32" s="520"/>
      <c r="FG32" s="520"/>
      <c r="FH32" s="520"/>
      <c r="FI32" s="520"/>
      <c r="FJ32" s="520"/>
      <c r="FK32" s="520"/>
      <c r="FL32" s="520"/>
      <c r="FM32" s="520"/>
      <c r="FN32" s="520"/>
      <c r="FO32" s="520"/>
      <c r="FP32" s="520"/>
      <c r="FQ32" s="520"/>
      <c r="FR32" s="520"/>
      <c r="FS32" s="520"/>
      <c r="FT32" s="520"/>
      <c r="FU32" s="520"/>
      <c r="FV32" s="520"/>
      <c r="FW32" s="520"/>
      <c r="FX32" s="520"/>
      <c r="FY32" s="520"/>
      <c r="FZ32" s="520"/>
      <c r="GA32" s="520"/>
      <c r="GB32" s="520"/>
      <c r="GC32" s="520"/>
      <c r="GD32" s="520"/>
      <c r="GE32" s="520"/>
      <c r="GF32" s="520"/>
      <c r="GG32" s="520"/>
      <c r="GH32" s="520"/>
      <c r="GI32" s="520"/>
      <c r="GJ32" s="520"/>
      <c r="GK32" s="520"/>
      <c r="GL32" s="520"/>
      <c r="GM32" s="520"/>
      <c r="GN32" s="520"/>
      <c r="GO32" s="520"/>
      <c r="GP32" s="520"/>
      <c r="GQ32" s="520"/>
      <c r="GR32" s="520"/>
      <c r="GS32" s="520"/>
      <c r="GT32" s="520"/>
      <c r="GU32" s="520"/>
      <c r="GV32" s="520"/>
      <c r="GW32" s="520"/>
      <c r="GX32" s="520"/>
      <c r="GY32" s="520"/>
      <c r="GZ32" s="520"/>
      <c r="HA32" s="520"/>
      <c r="HB32" s="520"/>
      <c r="HC32" s="520"/>
      <c r="HD32" s="520"/>
      <c r="HE32" s="520"/>
      <c r="HF32" s="520"/>
      <c r="HG32" s="520"/>
      <c r="HH32" s="520"/>
      <c r="HI32" s="520"/>
      <c r="HJ32" s="520"/>
      <c r="HK32" s="520"/>
      <c r="HL32" s="520"/>
      <c r="HM32" s="520"/>
      <c r="HN32" s="520"/>
      <c r="HO32" s="520"/>
      <c r="HP32" s="520"/>
      <c r="HQ32" s="520"/>
      <c r="HR32" s="520"/>
      <c r="HS32" s="520"/>
      <c r="HT32" s="520"/>
      <c r="HU32" s="520"/>
      <c r="HV32" s="520"/>
      <c r="HW32" s="520"/>
      <c r="HX32" s="520"/>
      <c r="HY32" s="520"/>
      <c r="HZ32" s="520"/>
      <c r="IA32" s="520"/>
      <c r="IB32" s="520"/>
      <c r="IC32" s="520"/>
      <c r="ID32" s="520"/>
      <c r="IE32" s="520"/>
      <c r="IF32" s="520"/>
      <c r="IG32" s="520"/>
      <c r="IH32" s="520"/>
      <c r="II32" s="520"/>
      <c r="IJ32" s="520"/>
      <c r="IK32" s="520"/>
      <c r="IL32" s="520"/>
      <c r="IM32" s="520"/>
      <c r="IN32" s="520"/>
      <c r="IO32" s="520"/>
      <c r="IP32" s="520"/>
      <c r="IQ32" s="520"/>
      <c r="IR32" s="520"/>
      <c r="IS32" s="520"/>
      <c r="IT32" s="520"/>
      <c r="IU32" s="520"/>
      <c r="IV32" s="520"/>
    </row>
    <row r="33" spans="1:256" ht="19.899999999999999" customHeight="1">
      <c r="A33" s="521"/>
      <c r="B33" s="375" t="s">
        <v>3621</v>
      </c>
      <c r="C33" s="523">
        <v>1</v>
      </c>
      <c r="D33" s="523" t="s">
        <v>4377</v>
      </c>
      <c r="E33" s="861">
        <v>1</v>
      </c>
      <c r="F33" s="374">
        <v>56.2</v>
      </c>
      <c r="G33" s="374">
        <v>0.23</v>
      </c>
      <c r="H33" s="374">
        <v>0.23</v>
      </c>
      <c r="I33" s="525">
        <f>ROUND(PRODUCT(C33:H33),2)</f>
        <v>2.97</v>
      </c>
      <c r="J33" s="519"/>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c r="AS33" s="520"/>
      <c r="AT33" s="520"/>
      <c r="AU33" s="520"/>
      <c r="AV33" s="520"/>
      <c r="AW33" s="520"/>
      <c r="AX33" s="520"/>
      <c r="AY33" s="520"/>
      <c r="AZ33" s="520"/>
      <c r="BA33" s="520"/>
      <c r="BB33" s="520"/>
      <c r="BC33" s="520"/>
      <c r="BD33" s="520"/>
      <c r="BE33" s="520"/>
      <c r="BF33" s="520"/>
      <c r="BG33" s="520"/>
      <c r="BH33" s="520"/>
      <c r="BI33" s="520"/>
      <c r="BJ33" s="520"/>
      <c r="BK33" s="520"/>
      <c r="BL33" s="520"/>
      <c r="BM33" s="520"/>
      <c r="BN33" s="520"/>
      <c r="BO33" s="520"/>
      <c r="BP33" s="520"/>
      <c r="BQ33" s="520"/>
      <c r="BR33" s="520"/>
      <c r="BS33" s="520"/>
      <c r="BT33" s="520"/>
      <c r="BU33" s="520"/>
      <c r="BV33" s="520"/>
      <c r="BW33" s="520"/>
      <c r="BX33" s="520"/>
      <c r="BY33" s="520"/>
      <c r="BZ33" s="520"/>
      <c r="CA33" s="520"/>
      <c r="CB33" s="520"/>
      <c r="CC33" s="520"/>
      <c r="CD33" s="520"/>
      <c r="CE33" s="520"/>
      <c r="CF33" s="520"/>
      <c r="CG33" s="520"/>
      <c r="CH33" s="520"/>
      <c r="CI33" s="520"/>
      <c r="CJ33" s="520"/>
      <c r="CK33" s="520"/>
      <c r="CL33" s="520"/>
      <c r="CM33" s="520"/>
      <c r="CN33" s="520"/>
      <c r="CO33" s="520"/>
      <c r="CP33" s="520"/>
      <c r="CQ33" s="520"/>
      <c r="CR33" s="520"/>
      <c r="CS33" s="520"/>
      <c r="CT33" s="520"/>
      <c r="CU33" s="520"/>
      <c r="CV33" s="520"/>
      <c r="CW33" s="520"/>
      <c r="CX33" s="520"/>
      <c r="CY33" s="520"/>
      <c r="CZ33" s="520"/>
      <c r="DA33" s="520"/>
      <c r="DB33" s="520"/>
      <c r="DC33" s="520"/>
      <c r="DD33" s="520"/>
      <c r="DE33" s="520"/>
      <c r="DF33" s="520"/>
      <c r="DG33" s="520"/>
      <c r="DH33" s="520"/>
      <c r="DI33" s="520"/>
      <c r="DJ33" s="520"/>
      <c r="DK33" s="520"/>
      <c r="DL33" s="520"/>
      <c r="DM33" s="520"/>
      <c r="DN33" s="520"/>
      <c r="DO33" s="520"/>
      <c r="DP33" s="520"/>
      <c r="DQ33" s="520"/>
      <c r="DR33" s="520"/>
      <c r="DS33" s="520"/>
      <c r="DT33" s="520"/>
      <c r="DU33" s="520"/>
      <c r="DV33" s="520"/>
      <c r="DW33" s="520"/>
      <c r="DX33" s="520"/>
      <c r="DY33" s="520"/>
      <c r="DZ33" s="520"/>
      <c r="EA33" s="520"/>
      <c r="EB33" s="520"/>
      <c r="EC33" s="520"/>
      <c r="ED33" s="520"/>
      <c r="EE33" s="520"/>
      <c r="EF33" s="520"/>
      <c r="EG33" s="520"/>
      <c r="EH33" s="520"/>
      <c r="EI33" s="520"/>
      <c r="EJ33" s="520"/>
      <c r="EK33" s="520"/>
      <c r="EL33" s="520"/>
      <c r="EM33" s="520"/>
      <c r="EN33" s="520"/>
      <c r="EO33" s="520"/>
      <c r="EP33" s="520"/>
      <c r="EQ33" s="520"/>
      <c r="ER33" s="520"/>
      <c r="ES33" s="520"/>
      <c r="ET33" s="520"/>
      <c r="EU33" s="520"/>
      <c r="EV33" s="520"/>
      <c r="EW33" s="520"/>
      <c r="EX33" s="520"/>
      <c r="EY33" s="520"/>
      <c r="EZ33" s="520"/>
      <c r="FA33" s="520"/>
      <c r="FB33" s="520"/>
      <c r="FC33" s="520"/>
      <c r="FD33" s="520"/>
      <c r="FE33" s="520"/>
      <c r="FF33" s="520"/>
      <c r="FG33" s="520"/>
      <c r="FH33" s="520"/>
      <c r="FI33" s="520"/>
      <c r="FJ33" s="520"/>
      <c r="FK33" s="520"/>
      <c r="FL33" s="520"/>
      <c r="FM33" s="520"/>
      <c r="FN33" s="520"/>
      <c r="FO33" s="520"/>
      <c r="FP33" s="520"/>
      <c r="FQ33" s="520"/>
      <c r="FR33" s="520"/>
      <c r="FS33" s="520"/>
      <c r="FT33" s="520"/>
      <c r="FU33" s="520"/>
      <c r="FV33" s="520"/>
      <c r="FW33" s="520"/>
      <c r="FX33" s="520"/>
      <c r="FY33" s="520"/>
      <c r="FZ33" s="520"/>
      <c r="GA33" s="520"/>
      <c r="GB33" s="520"/>
      <c r="GC33" s="520"/>
      <c r="GD33" s="520"/>
      <c r="GE33" s="520"/>
      <c r="GF33" s="520"/>
      <c r="GG33" s="520"/>
      <c r="GH33" s="520"/>
      <c r="GI33" s="520"/>
      <c r="GJ33" s="520"/>
      <c r="GK33" s="520"/>
      <c r="GL33" s="520"/>
      <c r="GM33" s="520"/>
      <c r="GN33" s="520"/>
      <c r="GO33" s="520"/>
      <c r="GP33" s="520"/>
      <c r="GQ33" s="520"/>
      <c r="GR33" s="520"/>
      <c r="GS33" s="520"/>
      <c r="GT33" s="520"/>
      <c r="GU33" s="520"/>
      <c r="GV33" s="520"/>
      <c r="GW33" s="520"/>
      <c r="GX33" s="520"/>
      <c r="GY33" s="520"/>
      <c r="GZ33" s="520"/>
      <c r="HA33" s="520"/>
      <c r="HB33" s="520"/>
      <c r="HC33" s="520"/>
      <c r="HD33" s="520"/>
      <c r="HE33" s="520"/>
      <c r="HF33" s="520"/>
      <c r="HG33" s="520"/>
      <c r="HH33" s="520"/>
      <c r="HI33" s="520"/>
      <c r="HJ33" s="520"/>
      <c r="HK33" s="520"/>
      <c r="HL33" s="520"/>
      <c r="HM33" s="520"/>
      <c r="HN33" s="520"/>
      <c r="HO33" s="520"/>
      <c r="HP33" s="520"/>
      <c r="HQ33" s="520"/>
      <c r="HR33" s="520"/>
      <c r="HS33" s="520"/>
      <c r="HT33" s="520"/>
      <c r="HU33" s="520"/>
      <c r="HV33" s="520"/>
      <c r="HW33" s="520"/>
      <c r="HX33" s="520"/>
      <c r="HY33" s="520"/>
      <c r="HZ33" s="520"/>
      <c r="IA33" s="520"/>
      <c r="IB33" s="520"/>
      <c r="IC33" s="520"/>
      <c r="ID33" s="520"/>
      <c r="IE33" s="520"/>
      <c r="IF33" s="520"/>
      <c r="IG33" s="520"/>
      <c r="IH33" s="520"/>
      <c r="II33" s="520"/>
      <c r="IJ33" s="520"/>
      <c r="IK33" s="520"/>
      <c r="IL33" s="520"/>
      <c r="IM33" s="520"/>
      <c r="IN33" s="520"/>
      <c r="IO33" s="520"/>
      <c r="IP33" s="520"/>
      <c r="IQ33" s="520"/>
      <c r="IR33" s="520"/>
      <c r="IS33" s="520"/>
      <c r="IT33" s="520"/>
      <c r="IU33" s="520"/>
      <c r="IV33" s="520"/>
    </row>
    <row r="34" spans="1:256" ht="19.899999999999999" customHeight="1">
      <c r="A34" s="521"/>
      <c r="B34" s="375" t="s">
        <v>4795</v>
      </c>
      <c r="C34" s="523">
        <v>-1</v>
      </c>
      <c r="D34" s="523" t="s">
        <v>4377</v>
      </c>
      <c r="E34" s="861">
        <v>1</v>
      </c>
      <c r="F34" s="524">
        <v>6.91</v>
      </c>
      <c r="G34" s="374">
        <v>0.38</v>
      </c>
      <c r="H34" s="374">
        <v>0.23</v>
      </c>
      <c r="I34" s="525">
        <f>ROUND(PRODUCT(C34:H34),2)</f>
        <v>-0.6</v>
      </c>
      <c r="J34" s="519"/>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c r="AS34" s="520"/>
      <c r="AT34" s="520"/>
      <c r="AU34" s="520"/>
      <c r="AV34" s="520"/>
      <c r="AW34" s="520"/>
      <c r="AX34" s="520"/>
      <c r="AY34" s="520"/>
      <c r="AZ34" s="520"/>
      <c r="BA34" s="520"/>
      <c r="BB34" s="520"/>
      <c r="BC34" s="520"/>
      <c r="BD34" s="520"/>
      <c r="BE34" s="520"/>
      <c r="BF34" s="520"/>
      <c r="BG34" s="520"/>
      <c r="BH34" s="520"/>
      <c r="BI34" s="520"/>
      <c r="BJ34" s="520"/>
      <c r="BK34" s="520"/>
      <c r="BL34" s="520"/>
      <c r="BM34" s="520"/>
      <c r="BN34" s="520"/>
      <c r="BO34" s="520"/>
      <c r="BP34" s="520"/>
      <c r="BQ34" s="520"/>
      <c r="BR34" s="520"/>
      <c r="BS34" s="520"/>
      <c r="BT34" s="520"/>
      <c r="BU34" s="520"/>
      <c r="BV34" s="520"/>
      <c r="BW34" s="520"/>
      <c r="BX34" s="520"/>
      <c r="BY34" s="520"/>
      <c r="BZ34" s="520"/>
      <c r="CA34" s="520"/>
      <c r="CB34" s="520"/>
      <c r="CC34" s="520"/>
      <c r="CD34" s="520"/>
      <c r="CE34" s="520"/>
      <c r="CF34" s="520"/>
      <c r="CG34" s="520"/>
      <c r="CH34" s="520"/>
      <c r="CI34" s="520"/>
      <c r="CJ34" s="520"/>
      <c r="CK34" s="520"/>
      <c r="CL34" s="520"/>
      <c r="CM34" s="520"/>
      <c r="CN34" s="520"/>
      <c r="CO34" s="520"/>
      <c r="CP34" s="520"/>
      <c r="CQ34" s="520"/>
      <c r="CR34" s="520"/>
      <c r="CS34" s="520"/>
      <c r="CT34" s="520"/>
      <c r="CU34" s="520"/>
      <c r="CV34" s="520"/>
      <c r="CW34" s="520"/>
      <c r="CX34" s="520"/>
      <c r="CY34" s="520"/>
      <c r="CZ34" s="520"/>
      <c r="DA34" s="520"/>
      <c r="DB34" s="520"/>
      <c r="DC34" s="520"/>
      <c r="DD34" s="520"/>
      <c r="DE34" s="520"/>
      <c r="DF34" s="520"/>
      <c r="DG34" s="520"/>
      <c r="DH34" s="520"/>
      <c r="DI34" s="520"/>
      <c r="DJ34" s="520"/>
      <c r="DK34" s="520"/>
      <c r="DL34" s="520"/>
      <c r="DM34" s="520"/>
      <c r="DN34" s="520"/>
      <c r="DO34" s="520"/>
      <c r="DP34" s="520"/>
      <c r="DQ34" s="520"/>
      <c r="DR34" s="520"/>
      <c r="DS34" s="520"/>
      <c r="DT34" s="520"/>
      <c r="DU34" s="520"/>
      <c r="DV34" s="520"/>
      <c r="DW34" s="520"/>
      <c r="DX34" s="520"/>
      <c r="DY34" s="520"/>
      <c r="DZ34" s="520"/>
      <c r="EA34" s="520"/>
      <c r="EB34" s="520"/>
      <c r="EC34" s="520"/>
      <c r="ED34" s="520"/>
      <c r="EE34" s="520"/>
      <c r="EF34" s="520"/>
      <c r="EG34" s="520"/>
      <c r="EH34" s="520"/>
      <c r="EI34" s="520"/>
      <c r="EJ34" s="520"/>
      <c r="EK34" s="520"/>
      <c r="EL34" s="520"/>
      <c r="EM34" s="520"/>
      <c r="EN34" s="520"/>
      <c r="EO34" s="520"/>
      <c r="EP34" s="520"/>
      <c r="EQ34" s="520"/>
      <c r="ER34" s="520"/>
      <c r="ES34" s="520"/>
      <c r="ET34" s="520"/>
      <c r="EU34" s="520"/>
      <c r="EV34" s="520"/>
      <c r="EW34" s="520"/>
      <c r="EX34" s="520"/>
      <c r="EY34" s="520"/>
      <c r="EZ34" s="520"/>
      <c r="FA34" s="520"/>
      <c r="FB34" s="520"/>
      <c r="FC34" s="520"/>
      <c r="FD34" s="520"/>
      <c r="FE34" s="520"/>
      <c r="FF34" s="520"/>
      <c r="FG34" s="520"/>
      <c r="FH34" s="520"/>
      <c r="FI34" s="520"/>
      <c r="FJ34" s="520"/>
      <c r="FK34" s="520"/>
      <c r="FL34" s="520"/>
      <c r="FM34" s="520"/>
      <c r="FN34" s="520"/>
      <c r="FO34" s="520"/>
      <c r="FP34" s="520"/>
      <c r="FQ34" s="520"/>
      <c r="FR34" s="520"/>
      <c r="FS34" s="520"/>
      <c r="FT34" s="520"/>
      <c r="FU34" s="520"/>
      <c r="FV34" s="520"/>
      <c r="FW34" s="520"/>
      <c r="FX34" s="520"/>
      <c r="FY34" s="520"/>
      <c r="FZ34" s="520"/>
      <c r="GA34" s="520"/>
      <c r="GB34" s="520"/>
      <c r="GC34" s="520"/>
      <c r="GD34" s="520"/>
      <c r="GE34" s="520"/>
      <c r="GF34" s="520"/>
      <c r="GG34" s="520"/>
      <c r="GH34" s="520"/>
      <c r="GI34" s="520"/>
      <c r="GJ34" s="520"/>
      <c r="GK34" s="520"/>
      <c r="GL34" s="520"/>
      <c r="GM34" s="520"/>
      <c r="GN34" s="520"/>
      <c r="GO34" s="520"/>
      <c r="GP34" s="520"/>
      <c r="GQ34" s="520"/>
      <c r="GR34" s="520"/>
      <c r="GS34" s="520"/>
      <c r="GT34" s="520"/>
      <c r="GU34" s="520"/>
      <c r="GV34" s="520"/>
      <c r="GW34" s="520"/>
      <c r="GX34" s="520"/>
      <c r="GY34" s="520"/>
      <c r="GZ34" s="520"/>
      <c r="HA34" s="520"/>
      <c r="HB34" s="520"/>
      <c r="HC34" s="520"/>
      <c r="HD34" s="520"/>
      <c r="HE34" s="520"/>
      <c r="HF34" s="520"/>
      <c r="HG34" s="520"/>
      <c r="HH34" s="520"/>
      <c r="HI34" s="520"/>
      <c r="HJ34" s="520"/>
      <c r="HK34" s="520"/>
      <c r="HL34" s="520"/>
      <c r="HM34" s="520"/>
      <c r="HN34" s="520"/>
      <c r="HO34" s="520"/>
      <c r="HP34" s="520"/>
      <c r="HQ34" s="520"/>
      <c r="HR34" s="520"/>
      <c r="HS34" s="520"/>
      <c r="HT34" s="520"/>
      <c r="HU34" s="520"/>
      <c r="HV34" s="520"/>
      <c r="HW34" s="520"/>
      <c r="HX34" s="520"/>
      <c r="HY34" s="520"/>
      <c r="HZ34" s="520"/>
      <c r="IA34" s="520"/>
      <c r="IB34" s="520"/>
      <c r="IC34" s="520"/>
      <c r="ID34" s="520"/>
      <c r="IE34" s="520"/>
      <c r="IF34" s="520"/>
      <c r="IG34" s="520"/>
      <c r="IH34" s="520"/>
      <c r="II34" s="520"/>
      <c r="IJ34" s="520"/>
      <c r="IK34" s="520"/>
      <c r="IL34" s="520"/>
      <c r="IM34" s="520"/>
      <c r="IN34" s="520"/>
      <c r="IO34" s="520"/>
      <c r="IP34" s="520"/>
      <c r="IQ34" s="520"/>
      <c r="IR34" s="520"/>
      <c r="IS34" s="520"/>
      <c r="IT34" s="520"/>
      <c r="IU34" s="520"/>
      <c r="IV34" s="520"/>
    </row>
    <row r="35" spans="1:256" ht="19.899999999999999" customHeight="1">
      <c r="A35" s="526"/>
      <c r="B35" s="527"/>
      <c r="C35" s="528"/>
      <c r="D35" s="528"/>
      <c r="E35" s="528"/>
      <c r="F35" s="529"/>
      <c r="G35" s="529"/>
      <c r="H35" s="529"/>
      <c r="I35" s="529">
        <v>0.06</v>
      </c>
      <c r="J35" s="531"/>
    </row>
    <row r="36" spans="1:256" ht="19.899999999999999" customHeight="1">
      <c r="A36" s="526"/>
      <c r="B36" s="527"/>
      <c r="C36" s="528"/>
      <c r="D36" s="528"/>
      <c r="E36" s="528"/>
      <c r="F36" s="529"/>
      <c r="G36" s="530"/>
      <c r="H36" s="530" t="s">
        <v>2560</v>
      </c>
      <c r="I36" s="530">
        <f>SUM(I32:I35)</f>
        <v>3</v>
      </c>
      <c r="J36" s="531" t="s">
        <v>1749</v>
      </c>
    </row>
    <row r="37" spans="1:256" ht="19.899999999999999" customHeight="1">
      <c r="A37" s="526"/>
      <c r="B37" s="527"/>
      <c r="C37" s="528"/>
      <c r="D37" s="528"/>
      <c r="E37" s="528"/>
      <c r="F37" s="529"/>
      <c r="G37" s="530"/>
      <c r="H37" s="530"/>
      <c r="I37" s="530"/>
      <c r="J37" s="531"/>
    </row>
    <row r="38" spans="1:256" ht="33" customHeight="1">
      <c r="A38" s="518">
        <v>10.5</v>
      </c>
      <c r="B38" s="1054" t="s">
        <v>4380</v>
      </c>
      <c r="C38" s="1054"/>
      <c r="D38" s="1054"/>
      <c r="E38" s="1054"/>
      <c r="F38" s="1054"/>
      <c r="G38" s="1054"/>
      <c r="H38" s="1054"/>
      <c r="I38" s="374"/>
      <c r="J38" s="532"/>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c r="AS38" s="520"/>
      <c r="AT38" s="520"/>
      <c r="AU38" s="520"/>
      <c r="AV38" s="520"/>
      <c r="AW38" s="520"/>
      <c r="AX38" s="520"/>
      <c r="AY38" s="520"/>
      <c r="AZ38" s="520"/>
      <c r="BA38" s="520"/>
      <c r="BB38" s="520"/>
      <c r="BC38" s="520"/>
      <c r="BD38" s="520"/>
      <c r="BE38" s="520"/>
      <c r="BF38" s="520"/>
      <c r="BG38" s="520"/>
      <c r="BH38" s="520"/>
      <c r="BI38" s="520"/>
      <c r="BJ38" s="520"/>
      <c r="BK38" s="520"/>
      <c r="BL38" s="520"/>
      <c r="BM38" s="520"/>
      <c r="BN38" s="520"/>
      <c r="BO38" s="520"/>
      <c r="BP38" s="520"/>
      <c r="BQ38" s="520"/>
      <c r="BR38" s="520"/>
      <c r="BS38" s="520"/>
      <c r="BT38" s="520"/>
      <c r="BU38" s="520"/>
      <c r="BV38" s="520"/>
      <c r="BW38" s="520"/>
      <c r="BX38" s="520"/>
      <c r="BY38" s="520"/>
      <c r="BZ38" s="520"/>
      <c r="CA38" s="520"/>
      <c r="CB38" s="520"/>
      <c r="CC38" s="520"/>
      <c r="CD38" s="520"/>
      <c r="CE38" s="520"/>
      <c r="CF38" s="520"/>
      <c r="CG38" s="520"/>
      <c r="CH38" s="520"/>
      <c r="CI38" s="520"/>
      <c r="CJ38" s="520"/>
      <c r="CK38" s="520"/>
      <c r="CL38" s="520"/>
      <c r="CM38" s="520"/>
      <c r="CN38" s="520"/>
      <c r="CO38" s="520"/>
      <c r="CP38" s="520"/>
      <c r="CQ38" s="520"/>
      <c r="CR38" s="520"/>
      <c r="CS38" s="520"/>
      <c r="CT38" s="520"/>
      <c r="CU38" s="520"/>
      <c r="CV38" s="520"/>
      <c r="CW38" s="520"/>
      <c r="CX38" s="520"/>
      <c r="CY38" s="520"/>
      <c r="CZ38" s="520"/>
      <c r="DA38" s="520"/>
      <c r="DB38" s="520"/>
      <c r="DC38" s="520"/>
      <c r="DD38" s="520"/>
      <c r="DE38" s="520"/>
      <c r="DF38" s="520"/>
      <c r="DG38" s="520"/>
      <c r="DH38" s="520"/>
      <c r="DI38" s="520"/>
      <c r="DJ38" s="520"/>
      <c r="DK38" s="520"/>
      <c r="DL38" s="520"/>
      <c r="DM38" s="520"/>
      <c r="DN38" s="520"/>
      <c r="DO38" s="520"/>
      <c r="DP38" s="520"/>
      <c r="DQ38" s="520"/>
      <c r="DR38" s="520"/>
      <c r="DS38" s="520"/>
      <c r="DT38" s="520"/>
      <c r="DU38" s="520"/>
      <c r="DV38" s="520"/>
      <c r="DW38" s="520"/>
      <c r="DX38" s="520"/>
      <c r="DY38" s="520"/>
      <c r="DZ38" s="520"/>
      <c r="EA38" s="520"/>
      <c r="EB38" s="520"/>
      <c r="EC38" s="520"/>
      <c r="ED38" s="520"/>
      <c r="EE38" s="520"/>
      <c r="EF38" s="520"/>
      <c r="EG38" s="520"/>
      <c r="EH38" s="520"/>
      <c r="EI38" s="520"/>
      <c r="EJ38" s="520"/>
      <c r="EK38" s="520"/>
      <c r="EL38" s="520"/>
      <c r="EM38" s="520"/>
      <c r="EN38" s="520"/>
      <c r="EO38" s="520"/>
      <c r="EP38" s="520"/>
      <c r="EQ38" s="520"/>
      <c r="ER38" s="520"/>
      <c r="ES38" s="520"/>
      <c r="ET38" s="520"/>
      <c r="EU38" s="520"/>
      <c r="EV38" s="520"/>
      <c r="EW38" s="520"/>
      <c r="EX38" s="520"/>
      <c r="EY38" s="520"/>
      <c r="EZ38" s="520"/>
      <c r="FA38" s="520"/>
      <c r="FB38" s="520"/>
      <c r="FC38" s="520"/>
      <c r="FD38" s="520"/>
      <c r="FE38" s="520"/>
      <c r="FF38" s="520"/>
      <c r="FG38" s="520"/>
      <c r="FH38" s="520"/>
      <c r="FI38" s="520"/>
      <c r="FJ38" s="520"/>
      <c r="FK38" s="520"/>
      <c r="FL38" s="520"/>
      <c r="FM38" s="520"/>
      <c r="FN38" s="520"/>
      <c r="FO38" s="520"/>
      <c r="FP38" s="520"/>
      <c r="FQ38" s="520"/>
      <c r="FR38" s="520"/>
      <c r="FS38" s="520"/>
      <c r="FT38" s="520"/>
      <c r="FU38" s="520"/>
      <c r="FV38" s="520"/>
      <c r="FW38" s="520"/>
      <c r="FX38" s="520"/>
      <c r="FY38" s="520"/>
      <c r="FZ38" s="520"/>
      <c r="GA38" s="520"/>
      <c r="GB38" s="520"/>
      <c r="GC38" s="520"/>
      <c r="GD38" s="520"/>
      <c r="GE38" s="520"/>
      <c r="GF38" s="520"/>
      <c r="GG38" s="520"/>
      <c r="GH38" s="520"/>
      <c r="GI38" s="520"/>
      <c r="GJ38" s="520"/>
      <c r="GK38" s="520"/>
      <c r="GL38" s="520"/>
      <c r="GM38" s="520"/>
      <c r="GN38" s="520"/>
      <c r="GO38" s="520"/>
      <c r="GP38" s="520"/>
      <c r="GQ38" s="520"/>
      <c r="GR38" s="520"/>
      <c r="GS38" s="520"/>
      <c r="GT38" s="520"/>
      <c r="GU38" s="520"/>
      <c r="GV38" s="520"/>
      <c r="GW38" s="520"/>
      <c r="GX38" s="520"/>
      <c r="GY38" s="520"/>
      <c r="GZ38" s="520"/>
      <c r="HA38" s="520"/>
      <c r="HB38" s="520"/>
      <c r="HC38" s="520"/>
      <c r="HD38" s="520"/>
      <c r="HE38" s="520"/>
      <c r="HF38" s="520"/>
      <c r="HG38" s="520"/>
      <c r="HH38" s="520"/>
      <c r="HI38" s="520"/>
      <c r="HJ38" s="520"/>
      <c r="HK38" s="520"/>
      <c r="HL38" s="520"/>
      <c r="HM38" s="520"/>
      <c r="HN38" s="520"/>
      <c r="HO38" s="520"/>
      <c r="HP38" s="520"/>
      <c r="HQ38" s="520"/>
      <c r="HR38" s="520"/>
      <c r="HS38" s="520"/>
      <c r="HT38" s="520"/>
      <c r="HU38" s="520"/>
      <c r="HV38" s="520"/>
      <c r="HW38" s="520"/>
      <c r="HX38" s="520"/>
      <c r="HY38" s="520"/>
      <c r="HZ38" s="520"/>
      <c r="IA38" s="520"/>
      <c r="IB38" s="520"/>
      <c r="IC38" s="520"/>
      <c r="ID38" s="520"/>
      <c r="IE38" s="520"/>
      <c r="IF38" s="520"/>
      <c r="IG38" s="520"/>
      <c r="IH38" s="520"/>
      <c r="II38" s="520"/>
      <c r="IJ38" s="520"/>
      <c r="IK38" s="520"/>
      <c r="IL38" s="520"/>
      <c r="IM38" s="520"/>
      <c r="IN38" s="520"/>
      <c r="IO38" s="520"/>
      <c r="IP38" s="520"/>
      <c r="IQ38" s="520"/>
      <c r="IR38" s="520"/>
      <c r="IS38" s="520"/>
      <c r="IT38" s="520"/>
      <c r="IU38" s="520"/>
      <c r="IV38" s="520"/>
    </row>
    <row r="39" spans="1:256" ht="19.899999999999999" customHeight="1">
      <c r="A39" s="521"/>
      <c r="B39" s="371" t="s">
        <v>4381</v>
      </c>
      <c r="C39" s="372"/>
      <c r="D39" s="372"/>
      <c r="E39" s="376"/>
      <c r="F39" s="374"/>
      <c r="G39" s="374"/>
      <c r="H39" s="374"/>
      <c r="I39" s="374"/>
      <c r="J39" s="519"/>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c r="AS39" s="520"/>
      <c r="AT39" s="520"/>
      <c r="AU39" s="520"/>
      <c r="AV39" s="520"/>
      <c r="AW39" s="520"/>
      <c r="AX39" s="520"/>
      <c r="AY39" s="520"/>
      <c r="AZ39" s="520"/>
      <c r="BA39" s="520"/>
      <c r="BB39" s="520"/>
      <c r="BC39" s="520"/>
      <c r="BD39" s="520"/>
      <c r="BE39" s="520"/>
      <c r="BF39" s="520"/>
      <c r="BG39" s="520"/>
      <c r="BH39" s="520"/>
      <c r="BI39" s="520"/>
      <c r="BJ39" s="520"/>
      <c r="BK39" s="520"/>
      <c r="BL39" s="520"/>
      <c r="BM39" s="520"/>
      <c r="BN39" s="520"/>
      <c r="BO39" s="520"/>
      <c r="BP39" s="520"/>
      <c r="BQ39" s="520"/>
      <c r="BR39" s="520"/>
      <c r="BS39" s="520"/>
      <c r="BT39" s="520"/>
      <c r="BU39" s="520"/>
      <c r="BV39" s="520"/>
      <c r="BW39" s="520"/>
      <c r="BX39" s="520"/>
      <c r="BY39" s="520"/>
      <c r="BZ39" s="520"/>
      <c r="CA39" s="520"/>
      <c r="CB39" s="520"/>
      <c r="CC39" s="520"/>
      <c r="CD39" s="520"/>
      <c r="CE39" s="520"/>
      <c r="CF39" s="520"/>
      <c r="CG39" s="520"/>
      <c r="CH39" s="520"/>
      <c r="CI39" s="520"/>
      <c r="CJ39" s="520"/>
      <c r="CK39" s="520"/>
      <c r="CL39" s="520"/>
      <c r="CM39" s="520"/>
      <c r="CN39" s="520"/>
      <c r="CO39" s="520"/>
      <c r="CP39" s="520"/>
      <c r="CQ39" s="520"/>
      <c r="CR39" s="520"/>
      <c r="CS39" s="520"/>
      <c r="CT39" s="520"/>
      <c r="CU39" s="520"/>
      <c r="CV39" s="520"/>
      <c r="CW39" s="520"/>
      <c r="CX39" s="520"/>
      <c r="CY39" s="520"/>
      <c r="CZ39" s="520"/>
      <c r="DA39" s="520"/>
      <c r="DB39" s="520"/>
      <c r="DC39" s="520"/>
      <c r="DD39" s="520"/>
      <c r="DE39" s="520"/>
      <c r="DF39" s="520"/>
      <c r="DG39" s="520"/>
      <c r="DH39" s="520"/>
      <c r="DI39" s="520"/>
      <c r="DJ39" s="520"/>
      <c r="DK39" s="520"/>
      <c r="DL39" s="520"/>
      <c r="DM39" s="520"/>
      <c r="DN39" s="520"/>
      <c r="DO39" s="520"/>
      <c r="DP39" s="520"/>
      <c r="DQ39" s="520"/>
      <c r="DR39" s="520"/>
      <c r="DS39" s="520"/>
      <c r="DT39" s="520"/>
      <c r="DU39" s="520"/>
      <c r="DV39" s="520"/>
      <c r="DW39" s="520"/>
      <c r="DX39" s="520"/>
      <c r="DY39" s="520"/>
      <c r="DZ39" s="520"/>
      <c r="EA39" s="520"/>
      <c r="EB39" s="520"/>
      <c r="EC39" s="520"/>
      <c r="ED39" s="520"/>
      <c r="EE39" s="520"/>
      <c r="EF39" s="520"/>
      <c r="EG39" s="520"/>
      <c r="EH39" s="520"/>
      <c r="EI39" s="520"/>
      <c r="EJ39" s="520"/>
      <c r="EK39" s="520"/>
      <c r="EL39" s="520"/>
      <c r="EM39" s="520"/>
      <c r="EN39" s="520"/>
      <c r="EO39" s="520"/>
      <c r="EP39" s="520"/>
      <c r="EQ39" s="520"/>
      <c r="ER39" s="520"/>
      <c r="ES39" s="520"/>
      <c r="ET39" s="520"/>
      <c r="EU39" s="520"/>
      <c r="EV39" s="520"/>
      <c r="EW39" s="520"/>
      <c r="EX39" s="520"/>
      <c r="EY39" s="520"/>
      <c r="EZ39" s="520"/>
      <c r="FA39" s="520"/>
      <c r="FB39" s="520"/>
      <c r="FC39" s="520"/>
      <c r="FD39" s="520"/>
      <c r="FE39" s="520"/>
      <c r="FF39" s="520"/>
      <c r="FG39" s="520"/>
      <c r="FH39" s="520"/>
      <c r="FI39" s="520"/>
      <c r="FJ39" s="520"/>
      <c r="FK39" s="520"/>
      <c r="FL39" s="520"/>
      <c r="FM39" s="520"/>
      <c r="FN39" s="520"/>
      <c r="FO39" s="520"/>
      <c r="FP39" s="520"/>
      <c r="FQ39" s="520"/>
      <c r="FR39" s="520"/>
      <c r="FS39" s="520"/>
      <c r="FT39" s="520"/>
      <c r="FU39" s="520"/>
      <c r="FV39" s="520"/>
      <c r="FW39" s="520"/>
      <c r="FX39" s="520"/>
      <c r="FY39" s="520"/>
      <c r="FZ39" s="520"/>
      <c r="GA39" s="520"/>
      <c r="GB39" s="520"/>
      <c r="GC39" s="520"/>
      <c r="GD39" s="520"/>
      <c r="GE39" s="520"/>
      <c r="GF39" s="520"/>
      <c r="GG39" s="520"/>
      <c r="GH39" s="520"/>
      <c r="GI39" s="520"/>
      <c r="GJ39" s="520"/>
      <c r="GK39" s="520"/>
      <c r="GL39" s="520"/>
      <c r="GM39" s="520"/>
      <c r="GN39" s="520"/>
      <c r="GO39" s="520"/>
      <c r="GP39" s="520"/>
      <c r="GQ39" s="520"/>
      <c r="GR39" s="520"/>
      <c r="GS39" s="520"/>
      <c r="GT39" s="520"/>
      <c r="GU39" s="520"/>
      <c r="GV39" s="520"/>
      <c r="GW39" s="520"/>
      <c r="GX39" s="520"/>
      <c r="GY39" s="520"/>
      <c r="GZ39" s="520"/>
      <c r="HA39" s="520"/>
      <c r="HB39" s="520"/>
      <c r="HC39" s="520"/>
      <c r="HD39" s="520"/>
      <c r="HE39" s="520"/>
      <c r="HF39" s="520"/>
      <c r="HG39" s="520"/>
      <c r="HH39" s="520"/>
      <c r="HI39" s="520"/>
      <c r="HJ39" s="520"/>
      <c r="HK39" s="520"/>
      <c r="HL39" s="520"/>
      <c r="HM39" s="520"/>
      <c r="HN39" s="520"/>
      <c r="HO39" s="520"/>
      <c r="HP39" s="520"/>
      <c r="HQ39" s="520"/>
      <c r="HR39" s="520"/>
      <c r="HS39" s="520"/>
      <c r="HT39" s="520"/>
      <c r="HU39" s="520"/>
      <c r="HV39" s="520"/>
      <c r="HW39" s="520"/>
      <c r="HX39" s="520"/>
      <c r="HY39" s="520"/>
      <c r="HZ39" s="520"/>
      <c r="IA39" s="520"/>
      <c r="IB39" s="520"/>
      <c r="IC39" s="520"/>
      <c r="ID39" s="520"/>
      <c r="IE39" s="520"/>
      <c r="IF39" s="520"/>
      <c r="IG39" s="520"/>
      <c r="IH39" s="520"/>
      <c r="II39" s="520"/>
      <c r="IJ39" s="520"/>
      <c r="IK39" s="520"/>
      <c r="IL39" s="520"/>
      <c r="IM39" s="520"/>
      <c r="IN39" s="520"/>
      <c r="IO39" s="520"/>
      <c r="IP39" s="520"/>
      <c r="IQ39" s="520"/>
      <c r="IR39" s="520"/>
      <c r="IS39" s="520"/>
      <c r="IT39" s="520"/>
      <c r="IU39" s="520"/>
      <c r="IV39" s="520"/>
    </row>
    <row r="40" spans="1:256" ht="19.899999999999999" customHeight="1">
      <c r="A40" s="521"/>
      <c r="B40" s="522" t="str">
        <f>B31</f>
        <v>For Urban Police Station</v>
      </c>
      <c r="C40" s="372"/>
      <c r="D40" s="372"/>
      <c r="E40" s="376"/>
      <c r="F40" s="374"/>
      <c r="G40" s="374"/>
      <c r="H40" s="374"/>
      <c r="I40" s="374"/>
      <c r="J40" s="519"/>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c r="AS40" s="520"/>
      <c r="AT40" s="520"/>
      <c r="AU40" s="520"/>
      <c r="AV40" s="520"/>
      <c r="AW40" s="520"/>
      <c r="AX40" s="520"/>
      <c r="AY40" s="520"/>
      <c r="AZ40" s="520"/>
      <c r="BA40" s="520"/>
      <c r="BB40" s="520"/>
      <c r="BC40" s="520"/>
      <c r="BD40" s="520"/>
      <c r="BE40" s="520"/>
      <c r="BF40" s="520"/>
      <c r="BG40" s="520"/>
      <c r="BH40" s="520"/>
      <c r="BI40" s="520"/>
      <c r="BJ40" s="520"/>
      <c r="BK40" s="520"/>
      <c r="BL40" s="520"/>
      <c r="BM40" s="520"/>
      <c r="BN40" s="520"/>
      <c r="BO40" s="520"/>
      <c r="BP40" s="520"/>
      <c r="BQ40" s="520"/>
      <c r="BR40" s="520"/>
      <c r="BS40" s="520"/>
      <c r="BT40" s="520"/>
      <c r="BU40" s="520"/>
      <c r="BV40" s="520"/>
      <c r="BW40" s="520"/>
      <c r="BX40" s="520"/>
      <c r="BY40" s="520"/>
      <c r="BZ40" s="520"/>
      <c r="CA40" s="520"/>
      <c r="CB40" s="520"/>
      <c r="CC40" s="520"/>
      <c r="CD40" s="520"/>
      <c r="CE40" s="520"/>
      <c r="CF40" s="520"/>
      <c r="CG40" s="520"/>
      <c r="CH40" s="520"/>
      <c r="CI40" s="520"/>
      <c r="CJ40" s="520"/>
      <c r="CK40" s="520"/>
      <c r="CL40" s="520"/>
      <c r="CM40" s="520"/>
      <c r="CN40" s="520"/>
      <c r="CO40" s="520"/>
      <c r="CP40" s="520"/>
      <c r="CQ40" s="520"/>
      <c r="CR40" s="520"/>
      <c r="CS40" s="520"/>
      <c r="CT40" s="520"/>
      <c r="CU40" s="520"/>
      <c r="CV40" s="520"/>
      <c r="CW40" s="520"/>
      <c r="CX40" s="520"/>
      <c r="CY40" s="520"/>
      <c r="CZ40" s="520"/>
      <c r="DA40" s="520"/>
      <c r="DB40" s="520"/>
      <c r="DC40" s="520"/>
      <c r="DD40" s="520"/>
      <c r="DE40" s="520"/>
      <c r="DF40" s="520"/>
      <c r="DG40" s="520"/>
      <c r="DH40" s="520"/>
      <c r="DI40" s="520"/>
      <c r="DJ40" s="520"/>
      <c r="DK40" s="520"/>
      <c r="DL40" s="520"/>
      <c r="DM40" s="520"/>
      <c r="DN40" s="520"/>
      <c r="DO40" s="520"/>
      <c r="DP40" s="520"/>
      <c r="DQ40" s="520"/>
      <c r="DR40" s="520"/>
      <c r="DS40" s="520"/>
      <c r="DT40" s="520"/>
      <c r="DU40" s="520"/>
      <c r="DV40" s="520"/>
      <c r="DW40" s="520"/>
      <c r="DX40" s="520"/>
      <c r="DY40" s="520"/>
      <c r="DZ40" s="520"/>
      <c r="EA40" s="520"/>
      <c r="EB40" s="520"/>
      <c r="EC40" s="520"/>
      <c r="ED40" s="520"/>
      <c r="EE40" s="520"/>
      <c r="EF40" s="520"/>
      <c r="EG40" s="520"/>
      <c r="EH40" s="520"/>
      <c r="EI40" s="520"/>
      <c r="EJ40" s="520"/>
      <c r="EK40" s="520"/>
      <c r="EL40" s="520"/>
      <c r="EM40" s="520"/>
      <c r="EN40" s="520"/>
      <c r="EO40" s="520"/>
      <c r="EP40" s="520"/>
      <c r="EQ40" s="520"/>
      <c r="ER40" s="520"/>
      <c r="ES40" s="520"/>
      <c r="ET40" s="520"/>
      <c r="EU40" s="520"/>
      <c r="EV40" s="520"/>
      <c r="EW40" s="520"/>
      <c r="EX40" s="520"/>
      <c r="EY40" s="520"/>
      <c r="EZ40" s="520"/>
      <c r="FA40" s="520"/>
      <c r="FB40" s="520"/>
      <c r="FC40" s="520"/>
      <c r="FD40" s="520"/>
      <c r="FE40" s="520"/>
      <c r="FF40" s="520"/>
      <c r="FG40" s="520"/>
      <c r="FH40" s="520"/>
      <c r="FI40" s="520"/>
      <c r="FJ40" s="520"/>
      <c r="FK40" s="520"/>
      <c r="FL40" s="520"/>
      <c r="FM40" s="520"/>
      <c r="FN40" s="520"/>
      <c r="FO40" s="520"/>
      <c r="FP40" s="520"/>
      <c r="FQ40" s="520"/>
      <c r="FR40" s="520"/>
      <c r="FS40" s="520"/>
      <c r="FT40" s="520"/>
      <c r="FU40" s="520"/>
      <c r="FV40" s="520"/>
      <c r="FW40" s="520"/>
      <c r="FX40" s="520"/>
      <c r="FY40" s="520"/>
      <c r="FZ40" s="520"/>
      <c r="GA40" s="520"/>
      <c r="GB40" s="520"/>
      <c r="GC40" s="520"/>
      <c r="GD40" s="520"/>
      <c r="GE40" s="520"/>
      <c r="GF40" s="520"/>
      <c r="GG40" s="520"/>
      <c r="GH40" s="520"/>
      <c r="GI40" s="520"/>
      <c r="GJ40" s="520"/>
      <c r="GK40" s="520"/>
      <c r="GL40" s="520"/>
      <c r="GM40" s="520"/>
      <c r="GN40" s="520"/>
      <c r="GO40" s="520"/>
      <c r="GP40" s="520"/>
      <c r="GQ40" s="520"/>
      <c r="GR40" s="520"/>
      <c r="GS40" s="520"/>
      <c r="GT40" s="520"/>
      <c r="GU40" s="520"/>
      <c r="GV40" s="520"/>
      <c r="GW40" s="520"/>
      <c r="GX40" s="520"/>
      <c r="GY40" s="520"/>
      <c r="GZ40" s="520"/>
      <c r="HA40" s="520"/>
      <c r="HB40" s="520"/>
      <c r="HC40" s="520"/>
      <c r="HD40" s="520"/>
      <c r="HE40" s="520"/>
      <c r="HF40" s="520"/>
      <c r="HG40" s="520"/>
      <c r="HH40" s="520"/>
      <c r="HI40" s="520"/>
      <c r="HJ40" s="520"/>
      <c r="HK40" s="520"/>
      <c r="HL40" s="520"/>
      <c r="HM40" s="520"/>
      <c r="HN40" s="520"/>
      <c r="HO40" s="520"/>
      <c r="HP40" s="520"/>
      <c r="HQ40" s="520"/>
      <c r="HR40" s="520"/>
      <c r="HS40" s="520"/>
      <c r="HT40" s="520"/>
      <c r="HU40" s="520"/>
      <c r="HV40" s="520"/>
      <c r="HW40" s="520"/>
      <c r="HX40" s="520"/>
      <c r="HY40" s="520"/>
      <c r="HZ40" s="520"/>
      <c r="IA40" s="520"/>
      <c r="IB40" s="520"/>
      <c r="IC40" s="520"/>
      <c r="ID40" s="520"/>
      <c r="IE40" s="520"/>
      <c r="IF40" s="520"/>
      <c r="IG40" s="520"/>
      <c r="IH40" s="520"/>
      <c r="II40" s="520"/>
      <c r="IJ40" s="520"/>
      <c r="IK40" s="520"/>
      <c r="IL40" s="520"/>
      <c r="IM40" s="520"/>
      <c r="IN40" s="520"/>
      <c r="IO40" s="520"/>
      <c r="IP40" s="520"/>
      <c r="IQ40" s="520"/>
      <c r="IR40" s="520"/>
      <c r="IS40" s="520"/>
      <c r="IT40" s="520"/>
      <c r="IU40" s="520"/>
      <c r="IV40" s="520"/>
    </row>
    <row r="41" spans="1:256" ht="19.899999999999999" customHeight="1">
      <c r="A41" s="521"/>
      <c r="B41" s="375" t="s">
        <v>4376</v>
      </c>
      <c r="C41" s="523">
        <v>1</v>
      </c>
      <c r="D41" s="523" t="s">
        <v>4377</v>
      </c>
      <c r="E41" s="376">
        <v>1</v>
      </c>
      <c r="F41" s="374">
        <f>F25</f>
        <v>56.2</v>
      </c>
      <c r="G41" s="388" t="s">
        <v>4382</v>
      </c>
      <c r="H41" s="534">
        <v>0.37</v>
      </c>
      <c r="I41" s="525">
        <f>ROUND(PRODUCT(C41:H41),2)</f>
        <v>20.79</v>
      </c>
      <c r="J41" s="519"/>
      <c r="K41" s="520"/>
      <c r="L41" s="520">
        <v>0.6</v>
      </c>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c r="AS41" s="520"/>
      <c r="AT41" s="520"/>
      <c r="AU41" s="520"/>
      <c r="AV41" s="520"/>
      <c r="AW41" s="520"/>
      <c r="AX41" s="520"/>
      <c r="AY41" s="520"/>
      <c r="AZ41" s="520"/>
      <c r="BA41" s="520"/>
      <c r="BB41" s="520"/>
      <c r="BC41" s="520"/>
      <c r="BD41" s="520"/>
      <c r="BE41" s="520"/>
      <c r="BF41" s="520"/>
      <c r="BG41" s="520"/>
      <c r="BH41" s="520"/>
      <c r="BI41" s="520"/>
      <c r="BJ41" s="520"/>
      <c r="BK41" s="520"/>
      <c r="BL41" s="520"/>
      <c r="BM41" s="520"/>
      <c r="BN41" s="520"/>
      <c r="BO41" s="520"/>
      <c r="BP41" s="520"/>
      <c r="BQ41" s="520"/>
      <c r="BR41" s="520"/>
      <c r="BS41" s="520"/>
      <c r="BT41" s="520"/>
      <c r="BU41" s="520"/>
      <c r="BV41" s="520"/>
      <c r="BW41" s="520"/>
      <c r="BX41" s="520"/>
      <c r="BY41" s="520"/>
      <c r="BZ41" s="520"/>
      <c r="CA41" s="520"/>
      <c r="CB41" s="520"/>
      <c r="CC41" s="520"/>
      <c r="CD41" s="520"/>
      <c r="CE41" s="520"/>
      <c r="CF41" s="520"/>
      <c r="CG41" s="520"/>
      <c r="CH41" s="520"/>
      <c r="CI41" s="520"/>
      <c r="CJ41" s="520"/>
      <c r="CK41" s="520"/>
      <c r="CL41" s="520"/>
      <c r="CM41" s="520"/>
      <c r="CN41" s="520"/>
      <c r="CO41" s="520"/>
      <c r="CP41" s="520"/>
      <c r="CQ41" s="520"/>
      <c r="CR41" s="520"/>
      <c r="CS41" s="520"/>
      <c r="CT41" s="520"/>
      <c r="CU41" s="520"/>
      <c r="CV41" s="520"/>
      <c r="CW41" s="520"/>
      <c r="CX41" s="520"/>
      <c r="CY41" s="520"/>
      <c r="CZ41" s="520"/>
      <c r="DA41" s="520"/>
      <c r="DB41" s="520"/>
      <c r="DC41" s="520"/>
      <c r="DD41" s="520"/>
      <c r="DE41" s="520"/>
      <c r="DF41" s="520"/>
      <c r="DG41" s="520"/>
      <c r="DH41" s="520"/>
      <c r="DI41" s="520"/>
      <c r="DJ41" s="520"/>
      <c r="DK41" s="520"/>
      <c r="DL41" s="520"/>
      <c r="DM41" s="520"/>
      <c r="DN41" s="520"/>
      <c r="DO41" s="520"/>
      <c r="DP41" s="520"/>
      <c r="DQ41" s="520"/>
      <c r="DR41" s="520"/>
      <c r="DS41" s="520"/>
      <c r="DT41" s="520"/>
      <c r="DU41" s="520"/>
      <c r="DV41" s="520"/>
      <c r="DW41" s="520"/>
      <c r="DX41" s="520"/>
      <c r="DY41" s="520"/>
      <c r="DZ41" s="520"/>
      <c r="EA41" s="520"/>
      <c r="EB41" s="520"/>
      <c r="EC41" s="520"/>
      <c r="ED41" s="520"/>
      <c r="EE41" s="520"/>
      <c r="EF41" s="520"/>
      <c r="EG41" s="520"/>
      <c r="EH41" s="520"/>
      <c r="EI41" s="520"/>
      <c r="EJ41" s="520"/>
      <c r="EK41" s="520"/>
      <c r="EL41" s="520"/>
      <c r="EM41" s="520"/>
      <c r="EN41" s="520"/>
      <c r="EO41" s="520"/>
      <c r="EP41" s="520"/>
      <c r="EQ41" s="520"/>
      <c r="ER41" s="520"/>
      <c r="ES41" s="520"/>
      <c r="ET41" s="520"/>
      <c r="EU41" s="520"/>
      <c r="EV41" s="520"/>
      <c r="EW41" s="520"/>
      <c r="EX41" s="520"/>
      <c r="EY41" s="520"/>
      <c r="EZ41" s="520"/>
      <c r="FA41" s="520"/>
      <c r="FB41" s="520"/>
      <c r="FC41" s="520"/>
      <c r="FD41" s="520"/>
      <c r="FE41" s="520"/>
      <c r="FF41" s="520"/>
      <c r="FG41" s="520"/>
      <c r="FH41" s="520"/>
      <c r="FI41" s="520"/>
      <c r="FJ41" s="520"/>
      <c r="FK41" s="520"/>
      <c r="FL41" s="520"/>
      <c r="FM41" s="520"/>
      <c r="FN41" s="520"/>
      <c r="FO41" s="520"/>
      <c r="FP41" s="520"/>
      <c r="FQ41" s="520"/>
      <c r="FR41" s="520"/>
      <c r="FS41" s="520"/>
      <c r="FT41" s="520"/>
      <c r="FU41" s="520"/>
      <c r="FV41" s="520"/>
      <c r="FW41" s="520"/>
      <c r="FX41" s="520"/>
      <c r="FY41" s="520"/>
      <c r="FZ41" s="520"/>
      <c r="GA41" s="520"/>
      <c r="GB41" s="520"/>
      <c r="GC41" s="520"/>
      <c r="GD41" s="520"/>
      <c r="GE41" s="520"/>
      <c r="GF41" s="520"/>
      <c r="GG41" s="520"/>
      <c r="GH41" s="520"/>
      <c r="GI41" s="520"/>
      <c r="GJ41" s="520"/>
      <c r="GK41" s="520"/>
      <c r="GL41" s="520"/>
      <c r="GM41" s="520"/>
      <c r="GN41" s="520"/>
      <c r="GO41" s="520"/>
      <c r="GP41" s="520"/>
      <c r="GQ41" s="520"/>
      <c r="GR41" s="520"/>
      <c r="GS41" s="520"/>
      <c r="GT41" s="520"/>
      <c r="GU41" s="520"/>
      <c r="GV41" s="520"/>
      <c r="GW41" s="520"/>
      <c r="GX41" s="520"/>
      <c r="GY41" s="520"/>
      <c r="GZ41" s="520"/>
      <c r="HA41" s="520"/>
      <c r="HB41" s="520"/>
      <c r="HC41" s="520"/>
      <c r="HD41" s="520"/>
      <c r="HE41" s="520"/>
      <c r="HF41" s="520"/>
      <c r="HG41" s="520"/>
      <c r="HH41" s="520"/>
      <c r="HI41" s="520"/>
      <c r="HJ41" s="520"/>
      <c r="HK41" s="520"/>
      <c r="HL41" s="520"/>
      <c r="HM41" s="520"/>
      <c r="HN41" s="520"/>
      <c r="HO41" s="520"/>
      <c r="HP41" s="520"/>
      <c r="HQ41" s="520"/>
      <c r="HR41" s="520"/>
      <c r="HS41" s="520"/>
      <c r="HT41" s="520"/>
      <c r="HU41" s="520"/>
      <c r="HV41" s="520"/>
      <c r="HW41" s="520"/>
      <c r="HX41" s="520"/>
      <c r="HY41" s="520"/>
      <c r="HZ41" s="520"/>
      <c r="IA41" s="520"/>
      <c r="IB41" s="520"/>
      <c r="IC41" s="520"/>
      <c r="ID41" s="520"/>
      <c r="IE41" s="520"/>
      <c r="IF41" s="520"/>
      <c r="IG41" s="520"/>
      <c r="IH41" s="520"/>
      <c r="II41" s="520"/>
      <c r="IJ41" s="520"/>
      <c r="IK41" s="520"/>
      <c r="IL41" s="520"/>
      <c r="IM41" s="520"/>
      <c r="IN41" s="520"/>
      <c r="IO41" s="520"/>
      <c r="IP41" s="520"/>
      <c r="IQ41" s="520"/>
      <c r="IR41" s="520"/>
      <c r="IS41" s="520"/>
      <c r="IT41" s="520"/>
      <c r="IU41" s="520"/>
      <c r="IV41" s="520"/>
    </row>
    <row r="42" spans="1:256" ht="21" customHeight="1">
      <c r="A42" s="521"/>
      <c r="B42" s="375" t="s">
        <v>4795</v>
      </c>
      <c r="C42" s="523">
        <v>-1</v>
      </c>
      <c r="D42" s="523" t="s">
        <v>4377</v>
      </c>
      <c r="E42" s="861">
        <v>1</v>
      </c>
      <c r="F42" s="524">
        <v>6.91</v>
      </c>
      <c r="G42" s="374" t="s">
        <v>1288</v>
      </c>
      <c r="H42" s="374">
        <v>0.37</v>
      </c>
      <c r="I42" s="525">
        <f>ROUND(PRODUCT(C42:H42),2)</f>
        <v>-2.56</v>
      </c>
      <c r="J42" s="519"/>
      <c r="K42" s="520"/>
      <c r="L42" s="520"/>
      <c r="M42" s="520"/>
      <c r="N42" s="520"/>
      <c r="O42" s="520"/>
      <c r="P42" s="520"/>
      <c r="Q42" s="520"/>
      <c r="R42" s="520"/>
      <c r="S42" s="520"/>
      <c r="T42" s="520"/>
      <c r="U42" s="520"/>
      <c r="V42" s="520"/>
      <c r="W42" s="520"/>
      <c r="X42" s="520"/>
      <c r="Y42" s="520"/>
      <c r="Z42" s="520"/>
      <c r="AA42" s="520"/>
      <c r="AB42" s="520"/>
      <c r="AC42" s="520"/>
      <c r="AD42" s="520"/>
      <c r="AE42" s="520"/>
      <c r="AF42" s="520"/>
      <c r="AG42" s="520"/>
      <c r="AH42" s="520"/>
      <c r="AI42" s="520"/>
      <c r="AJ42" s="520"/>
      <c r="AK42" s="520"/>
      <c r="AL42" s="520"/>
      <c r="AM42" s="520"/>
      <c r="AN42" s="520"/>
      <c r="AO42" s="520"/>
      <c r="AP42" s="520"/>
      <c r="AQ42" s="520"/>
      <c r="AR42" s="520"/>
      <c r="AS42" s="520"/>
      <c r="AT42" s="520"/>
      <c r="AU42" s="520"/>
      <c r="AV42" s="520"/>
      <c r="AW42" s="520"/>
      <c r="AX42" s="520"/>
      <c r="AY42" s="520"/>
      <c r="AZ42" s="520"/>
      <c r="BA42" s="520"/>
      <c r="BB42" s="520"/>
      <c r="BC42" s="520"/>
      <c r="BD42" s="520"/>
      <c r="BE42" s="520"/>
      <c r="BF42" s="520"/>
      <c r="BG42" s="520"/>
      <c r="BH42" s="520"/>
      <c r="BI42" s="520"/>
      <c r="BJ42" s="520"/>
      <c r="BK42" s="520"/>
      <c r="BL42" s="520"/>
      <c r="BM42" s="520"/>
      <c r="BN42" s="520"/>
      <c r="BO42" s="520"/>
      <c r="BP42" s="520"/>
      <c r="BQ42" s="520"/>
      <c r="BR42" s="520"/>
      <c r="BS42" s="520"/>
      <c r="BT42" s="520"/>
      <c r="BU42" s="520"/>
      <c r="BV42" s="520"/>
      <c r="BW42" s="520"/>
      <c r="BX42" s="520"/>
      <c r="BY42" s="520"/>
      <c r="BZ42" s="520"/>
      <c r="CA42" s="520"/>
      <c r="CB42" s="520"/>
      <c r="CC42" s="520"/>
      <c r="CD42" s="520"/>
      <c r="CE42" s="520"/>
      <c r="CF42" s="520"/>
      <c r="CG42" s="520"/>
      <c r="CH42" s="520"/>
      <c r="CI42" s="520"/>
      <c r="CJ42" s="520"/>
      <c r="CK42" s="520"/>
      <c r="CL42" s="520"/>
      <c r="CM42" s="520"/>
      <c r="CN42" s="520"/>
      <c r="CO42" s="520"/>
      <c r="CP42" s="520"/>
      <c r="CQ42" s="520"/>
      <c r="CR42" s="520"/>
      <c r="CS42" s="520"/>
      <c r="CT42" s="520"/>
      <c r="CU42" s="520"/>
      <c r="CV42" s="520"/>
      <c r="CW42" s="520"/>
      <c r="CX42" s="520"/>
      <c r="CY42" s="520"/>
      <c r="CZ42" s="520"/>
      <c r="DA42" s="520"/>
      <c r="DB42" s="520"/>
      <c r="DC42" s="520"/>
      <c r="DD42" s="520"/>
      <c r="DE42" s="520"/>
      <c r="DF42" s="520"/>
      <c r="DG42" s="520"/>
      <c r="DH42" s="520"/>
      <c r="DI42" s="520"/>
      <c r="DJ42" s="520"/>
      <c r="DK42" s="520"/>
      <c r="DL42" s="520"/>
      <c r="DM42" s="520"/>
      <c r="DN42" s="520"/>
      <c r="DO42" s="520"/>
      <c r="DP42" s="520"/>
      <c r="DQ42" s="520"/>
      <c r="DR42" s="520"/>
      <c r="DS42" s="520"/>
      <c r="DT42" s="520"/>
      <c r="DU42" s="520"/>
      <c r="DV42" s="520"/>
      <c r="DW42" s="520"/>
      <c r="DX42" s="520"/>
      <c r="DY42" s="520"/>
      <c r="DZ42" s="520"/>
      <c r="EA42" s="520"/>
      <c r="EB42" s="520"/>
      <c r="EC42" s="520"/>
      <c r="ED42" s="520"/>
      <c r="EE42" s="520"/>
      <c r="EF42" s="520"/>
      <c r="EG42" s="520"/>
      <c r="EH42" s="520"/>
      <c r="EI42" s="520"/>
      <c r="EJ42" s="520"/>
      <c r="EK42" s="520"/>
      <c r="EL42" s="520"/>
      <c r="EM42" s="520"/>
      <c r="EN42" s="520"/>
      <c r="EO42" s="520"/>
      <c r="EP42" s="520"/>
      <c r="EQ42" s="520"/>
      <c r="ER42" s="520"/>
      <c r="ES42" s="520"/>
      <c r="ET42" s="520"/>
      <c r="EU42" s="520"/>
      <c r="EV42" s="520"/>
      <c r="EW42" s="520"/>
      <c r="EX42" s="520"/>
      <c r="EY42" s="520"/>
      <c r="EZ42" s="520"/>
      <c r="FA42" s="520"/>
      <c r="FB42" s="520"/>
      <c r="FC42" s="520"/>
      <c r="FD42" s="520"/>
      <c r="FE42" s="520"/>
      <c r="FF42" s="520"/>
      <c r="FG42" s="520"/>
      <c r="FH42" s="520"/>
      <c r="FI42" s="520"/>
      <c r="FJ42" s="520"/>
      <c r="FK42" s="520"/>
      <c r="FL42" s="520"/>
      <c r="FM42" s="520"/>
      <c r="FN42" s="520"/>
      <c r="FO42" s="520"/>
      <c r="FP42" s="520"/>
      <c r="FQ42" s="520"/>
      <c r="FR42" s="520"/>
      <c r="FS42" s="520"/>
      <c r="FT42" s="520"/>
      <c r="FU42" s="520"/>
      <c r="FV42" s="520"/>
      <c r="FW42" s="520"/>
      <c r="FX42" s="520"/>
      <c r="FY42" s="520"/>
      <c r="FZ42" s="520"/>
      <c r="GA42" s="520"/>
      <c r="GB42" s="520"/>
      <c r="GC42" s="520"/>
      <c r="GD42" s="520"/>
      <c r="GE42" s="520"/>
      <c r="GF42" s="520"/>
      <c r="GG42" s="520"/>
      <c r="GH42" s="520"/>
      <c r="GI42" s="520"/>
      <c r="GJ42" s="520"/>
      <c r="GK42" s="520"/>
      <c r="GL42" s="520"/>
      <c r="GM42" s="520"/>
      <c r="GN42" s="520"/>
      <c r="GO42" s="520"/>
      <c r="GP42" s="520"/>
      <c r="GQ42" s="520"/>
      <c r="GR42" s="520"/>
      <c r="GS42" s="520"/>
      <c r="GT42" s="520"/>
      <c r="GU42" s="520"/>
      <c r="GV42" s="520"/>
      <c r="GW42" s="520"/>
      <c r="GX42" s="520"/>
      <c r="GY42" s="520"/>
      <c r="GZ42" s="520"/>
      <c r="HA42" s="520"/>
      <c r="HB42" s="520"/>
      <c r="HC42" s="520"/>
      <c r="HD42" s="520"/>
      <c r="HE42" s="520"/>
      <c r="HF42" s="520"/>
      <c r="HG42" s="520"/>
      <c r="HH42" s="520"/>
      <c r="HI42" s="520"/>
      <c r="HJ42" s="520"/>
      <c r="HK42" s="520"/>
      <c r="HL42" s="520"/>
      <c r="HM42" s="520"/>
      <c r="HN42" s="520"/>
      <c r="HO42" s="520"/>
      <c r="HP42" s="520"/>
      <c r="HQ42" s="520"/>
      <c r="HR42" s="520"/>
      <c r="HS42" s="520"/>
      <c r="HT42" s="520"/>
      <c r="HU42" s="520"/>
      <c r="HV42" s="520"/>
      <c r="HW42" s="520"/>
      <c r="HX42" s="520"/>
      <c r="HY42" s="520"/>
      <c r="HZ42" s="520"/>
      <c r="IA42" s="520"/>
      <c r="IB42" s="520"/>
      <c r="IC42" s="520"/>
      <c r="ID42" s="520"/>
      <c r="IE42" s="520"/>
      <c r="IF42" s="520"/>
      <c r="IG42" s="520"/>
      <c r="IH42" s="520"/>
      <c r="II42" s="520"/>
      <c r="IJ42" s="520"/>
      <c r="IK42" s="520"/>
      <c r="IL42" s="520"/>
      <c r="IM42" s="520"/>
      <c r="IN42" s="520"/>
      <c r="IO42" s="520"/>
      <c r="IP42" s="520"/>
      <c r="IQ42" s="520"/>
      <c r="IR42" s="520"/>
      <c r="IS42" s="520"/>
      <c r="IT42" s="520"/>
      <c r="IU42" s="520"/>
      <c r="IV42" s="520"/>
    </row>
    <row r="43" spans="1:256" ht="19.899999999999999" customHeight="1">
      <c r="A43" s="535"/>
      <c r="B43" s="375"/>
      <c r="C43" s="523"/>
      <c r="D43" s="523"/>
      <c r="E43" s="376"/>
      <c r="F43" s="536"/>
      <c r="G43" s="374"/>
      <c r="H43" s="536"/>
      <c r="I43" s="525">
        <v>7.0000000000000007E-2</v>
      </c>
      <c r="J43" s="532"/>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c r="AS43" s="520"/>
      <c r="AT43" s="520"/>
      <c r="AU43" s="520"/>
      <c r="AV43" s="520"/>
      <c r="AW43" s="520"/>
      <c r="AX43" s="520"/>
      <c r="AY43" s="520"/>
      <c r="AZ43" s="520"/>
      <c r="BA43" s="520"/>
      <c r="BB43" s="520"/>
      <c r="BC43" s="520"/>
      <c r="BD43" s="520"/>
      <c r="BE43" s="520"/>
      <c r="BF43" s="520"/>
      <c r="BG43" s="520"/>
      <c r="BH43" s="520"/>
      <c r="BI43" s="520"/>
      <c r="BJ43" s="520"/>
      <c r="BK43" s="520"/>
      <c r="BL43" s="520"/>
      <c r="BM43" s="520"/>
      <c r="BN43" s="520"/>
      <c r="BO43" s="520"/>
      <c r="BP43" s="520"/>
      <c r="BQ43" s="520"/>
      <c r="BR43" s="520"/>
      <c r="BS43" s="520"/>
      <c r="BT43" s="520"/>
      <c r="BU43" s="520"/>
      <c r="BV43" s="520"/>
      <c r="BW43" s="520"/>
      <c r="BX43" s="520"/>
      <c r="BY43" s="520"/>
      <c r="BZ43" s="520"/>
      <c r="CA43" s="520"/>
      <c r="CB43" s="520"/>
      <c r="CC43" s="520"/>
      <c r="CD43" s="520"/>
      <c r="CE43" s="520"/>
      <c r="CF43" s="520"/>
      <c r="CG43" s="520"/>
      <c r="CH43" s="520"/>
      <c r="CI43" s="520"/>
      <c r="CJ43" s="520"/>
      <c r="CK43" s="520"/>
      <c r="CL43" s="520"/>
      <c r="CM43" s="520"/>
      <c r="CN43" s="520"/>
      <c r="CO43" s="520"/>
      <c r="CP43" s="520"/>
      <c r="CQ43" s="520"/>
      <c r="CR43" s="520"/>
      <c r="CS43" s="520"/>
      <c r="CT43" s="520"/>
      <c r="CU43" s="520"/>
      <c r="CV43" s="520"/>
      <c r="CW43" s="520"/>
      <c r="CX43" s="520"/>
      <c r="CY43" s="520"/>
      <c r="CZ43" s="520"/>
      <c r="DA43" s="520"/>
      <c r="DB43" s="520"/>
      <c r="DC43" s="520"/>
      <c r="DD43" s="520"/>
      <c r="DE43" s="520"/>
      <c r="DF43" s="520"/>
      <c r="DG43" s="520"/>
      <c r="DH43" s="520"/>
      <c r="DI43" s="520"/>
      <c r="DJ43" s="520"/>
      <c r="DK43" s="520"/>
      <c r="DL43" s="520"/>
      <c r="DM43" s="520"/>
      <c r="DN43" s="520"/>
      <c r="DO43" s="520"/>
      <c r="DP43" s="520"/>
      <c r="DQ43" s="520"/>
      <c r="DR43" s="520"/>
      <c r="DS43" s="520"/>
      <c r="DT43" s="520"/>
      <c r="DU43" s="520"/>
      <c r="DV43" s="520"/>
      <c r="DW43" s="520"/>
      <c r="DX43" s="520"/>
      <c r="DY43" s="520"/>
      <c r="DZ43" s="520"/>
      <c r="EA43" s="520"/>
      <c r="EB43" s="520"/>
      <c r="EC43" s="520"/>
      <c r="ED43" s="520"/>
      <c r="EE43" s="520"/>
      <c r="EF43" s="520"/>
      <c r="EG43" s="520"/>
      <c r="EH43" s="520"/>
      <c r="EI43" s="520"/>
      <c r="EJ43" s="520"/>
      <c r="EK43" s="520"/>
      <c r="EL43" s="520"/>
      <c r="EM43" s="520"/>
      <c r="EN43" s="520"/>
      <c r="EO43" s="520"/>
      <c r="EP43" s="520"/>
      <c r="EQ43" s="520"/>
      <c r="ER43" s="520"/>
      <c r="ES43" s="520"/>
      <c r="ET43" s="520"/>
      <c r="EU43" s="520"/>
      <c r="EV43" s="520"/>
      <c r="EW43" s="520"/>
      <c r="EX43" s="520"/>
      <c r="EY43" s="520"/>
      <c r="EZ43" s="520"/>
      <c r="FA43" s="520"/>
      <c r="FB43" s="520"/>
      <c r="FC43" s="520"/>
      <c r="FD43" s="520"/>
      <c r="FE43" s="520"/>
      <c r="FF43" s="520"/>
      <c r="FG43" s="520"/>
      <c r="FH43" s="520"/>
      <c r="FI43" s="520"/>
      <c r="FJ43" s="520"/>
      <c r="FK43" s="520"/>
      <c r="FL43" s="520"/>
      <c r="FM43" s="520"/>
      <c r="FN43" s="520"/>
      <c r="FO43" s="520"/>
      <c r="FP43" s="520"/>
      <c r="FQ43" s="520"/>
      <c r="FR43" s="520"/>
      <c r="FS43" s="520"/>
      <c r="FT43" s="520"/>
      <c r="FU43" s="520"/>
      <c r="FV43" s="520"/>
      <c r="FW43" s="520"/>
      <c r="FX43" s="520"/>
      <c r="FY43" s="520"/>
      <c r="FZ43" s="520"/>
      <c r="GA43" s="520"/>
      <c r="GB43" s="520"/>
      <c r="GC43" s="520"/>
      <c r="GD43" s="520"/>
      <c r="GE43" s="520"/>
      <c r="GF43" s="520"/>
      <c r="GG43" s="520"/>
      <c r="GH43" s="520"/>
      <c r="GI43" s="520"/>
      <c r="GJ43" s="520"/>
      <c r="GK43" s="520"/>
      <c r="GL43" s="520"/>
      <c r="GM43" s="520"/>
      <c r="GN43" s="520"/>
      <c r="GO43" s="520"/>
      <c r="GP43" s="520"/>
      <c r="GQ43" s="520"/>
      <c r="GR43" s="520"/>
      <c r="GS43" s="520"/>
      <c r="GT43" s="520"/>
      <c r="GU43" s="520"/>
      <c r="GV43" s="520"/>
      <c r="GW43" s="520"/>
      <c r="GX43" s="520"/>
      <c r="GY43" s="520"/>
      <c r="GZ43" s="520"/>
      <c r="HA43" s="520"/>
      <c r="HB43" s="520"/>
      <c r="HC43" s="520"/>
      <c r="HD43" s="520"/>
      <c r="HE43" s="520"/>
      <c r="HF43" s="520"/>
      <c r="HG43" s="520"/>
      <c r="HH43" s="520"/>
      <c r="HI43" s="520"/>
      <c r="HJ43" s="520"/>
      <c r="HK43" s="520"/>
      <c r="HL43" s="520"/>
      <c r="HM43" s="520"/>
      <c r="HN43" s="520"/>
      <c r="HO43" s="520"/>
      <c r="HP43" s="520"/>
      <c r="HQ43" s="520"/>
      <c r="HR43" s="520"/>
      <c r="HS43" s="520"/>
      <c r="HT43" s="520"/>
      <c r="HU43" s="520"/>
      <c r="HV43" s="520"/>
      <c r="HW43" s="520"/>
      <c r="HX43" s="520"/>
      <c r="HY43" s="520"/>
      <c r="HZ43" s="520"/>
      <c r="IA43" s="520"/>
      <c r="IB43" s="520"/>
      <c r="IC43" s="520"/>
      <c r="ID43" s="520"/>
      <c r="IE43" s="520"/>
      <c r="IF43" s="520"/>
      <c r="IG43" s="520"/>
      <c r="IH43" s="520"/>
      <c r="II43" s="520"/>
      <c r="IJ43" s="520"/>
      <c r="IK43" s="520"/>
      <c r="IL43" s="520"/>
      <c r="IM43" s="520"/>
      <c r="IN43" s="520"/>
      <c r="IO43" s="520"/>
      <c r="IP43" s="520"/>
      <c r="IQ43" s="520"/>
      <c r="IR43" s="520"/>
      <c r="IS43" s="520"/>
      <c r="IT43" s="520"/>
      <c r="IU43" s="520"/>
      <c r="IV43" s="520"/>
    </row>
    <row r="44" spans="1:256" ht="19.899999999999999" customHeight="1">
      <c r="A44" s="526"/>
      <c r="B44" s="527"/>
      <c r="C44" s="528"/>
      <c r="D44" s="528"/>
      <c r="E44" s="528"/>
      <c r="F44" s="529"/>
      <c r="G44" s="530"/>
      <c r="H44" s="530" t="s">
        <v>2560</v>
      </c>
      <c r="I44" s="530">
        <f>SUM(I41:I43)</f>
        <v>18.3</v>
      </c>
      <c r="J44" s="531" t="s">
        <v>1861</v>
      </c>
    </row>
    <row r="45" spans="1:256" ht="19.899999999999999" customHeight="1">
      <c r="A45" s="526"/>
      <c r="B45" s="527"/>
      <c r="C45" s="528"/>
      <c r="D45" s="528"/>
      <c r="E45" s="528"/>
      <c r="F45" s="529"/>
      <c r="G45" s="530"/>
      <c r="H45" s="530"/>
      <c r="I45" s="530"/>
      <c r="J45" s="531"/>
    </row>
    <row r="46" spans="1:256" ht="19.899999999999999" customHeight="1">
      <c r="A46" s="537">
        <v>33</v>
      </c>
      <c r="B46" s="375" t="s">
        <v>4250</v>
      </c>
      <c r="C46" s="388"/>
      <c r="D46" s="388"/>
      <c r="E46" s="388"/>
      <c r="F46" s="374"/>
      <c r="G46" s="374"/>
      <c r="H46" s="374"/>
      <c r="I46" s="374"/>
      <c r="J46" s="532"/>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c r="AS46" s="520"/>
      <c r="AT46" s="520"/>
      <c r="AU46" s="520"/>
      <c r="AV46" s="520"/>
      <c r="AW46" s="520"/>
      <c r="AX46" s="520"/>
      <c r="AY46" s="520"/>
      <c r="AZ46" s="520"/>
      <c r="BA46" s="520"/>
      <c r="BB46" s="520"/>
      <c r="BC46" s="520"/>
      <c r="BD46" s="520"/>
      <c r="BE46" s="520"/>
      <c r="BF46" s="520"/>
      <c r="BG46" s="520"/>
      <c r="BH46" s="520"/>
      <c r="BI46" s="520"/>
      <c r="BJ46" s="520"/>
      <c r="BK46" s="520"/>
      <c r="BL46" s="520"/>
      <c r="BM46" s="520"/>
      <c r="BN46" s="520"/>
      <c r="BO46" s="520"/>
      <c r="BP46" s="520"/>
      <c r="BQ46" s="520"/>
      <c r="BR46" s="520"/>
      <c r="BS46" s="520"/>
      <c r="BT46" s="520"/>
      <c r="BU46" s="520"/>
      <c r="BV46" s="520"/>
      <c r="BW46" s="520"/>
      <c r="BX46" s="520"/>
      <c r="BY46" s="520"/>
      <c r="BZ46" s="520"/>
      <c r="CA46" s="520"/>
      <c r="CB46" s="520"/>
      <c r="CC46" s="520"/>
      <c r="CD46" s="520"/>
      <c r="CE46" s="520"/>
      <c r="CF46" s="520"/>
      <c r="CG46" s="520"/>
      <c r="CH46" s="520"/>
      <c r="CI46" s="520"/>
      <c r="CJ46" s="520"/>
      <c r="CK46" s="520"/>
      <c r="CL46" s="520"/>
      <c r="CM46" s="520"/>
      <c r="CN46" s="520"/>
      <c r="CO46" s="520"/>
      <c r="CP46" s="520"/>
      <c r="CQ46" s="520"/>
      <c r="CR46" s="520"/>
      <c r="CS46" s="520"/>
      <c r="CT46" s="520"/>
      <c r="CU46" s="520"/>
      <c r="CV46" s="520"/>
      <c r="CW46" s="520"/>
      <c r="CX46" s="520"/>
      <c r="CY46" s="520"/>
      <c r="CZ46" s="520"/>
      <c r="DA46" s="520"/>
      <c r="DB46" s="520"/>
      <c r="DC46" s="520"/>
      <c r="DD46" s="520"/>
      <c r="DE46" s="520"/>
      <c r="DF46" s="520"/>
      <c r="DG46" s="520"/>
      <c r="DH46" s="520"/>
      <c r="DI46" s="520"/>
      <c r="DJ46" s="520"/>
      <c r="DK46" s="520"/>
      <c r="DL46" s="520"/>
      <c r="DM46" s="520"/>
      <c r="DN46" s="520"/>
      <c r="DO46" s="520"/>
      <c r="DP46" s="520"/>
      <c r="DQ46" s="520"/>
      <c r="DR46" s="520"/>
      <c r="DS46" s="520"/>
      <c r="DT46" s="520"/>
      <c r="DU46" s="520"/>
      <c r="DV46" s="520"/>
      <c r="DW46" s="520"/>
      <c r="DX46" s="520"/>
      <c r="DY46" s="520"/>
      <c r="DZ46" s="520"/>
      <c r="EA46" s="520"/>
      <c r="EB46" s="520"/>
      <c r="EC46" s="520"/>
      <c r="ED46" s="520"/>
      <c r="EE46" s="520"/>
      <c r="EF46" s="520"/>
      <c r="EG46" s="520"/>
      <c r="EH46" s="520"/>
      <c r="EI46" s="520"/>
      <c r="EJ46" s="520"/>
      <c r="EK46" s="520"/>
      <c r="EL46" s="520"/>
      <c r="EM46" s="520"/>
      <c r="EN46" s="520"/>
      <c r="EO46" s="520"/>
      <c r="EP46" s="520"/>
      <c r="EQ46" s="520"/>
      <c r="ER46" s="520"/>
      <c r="ES46" s="520"/>
      <c r="ET46" s="520"/>
      <c r="EU46" s="520"/>
      <c r="EV46" s="520"/>
      <c r="EW46" s="520"/>
      <c r="EX46" s="520"/>
      <c r="EY46" s="520"/>
      <c r="EZ46" s="520"/>
      <c r="FA46" s="520"/>
      <c r="FB46" s="520"/>
      <c r="FC46" s="520"/>
      <c r="FD46" s="520"/>
      <c r="FE46" s="520"/>
      <c r="FF46" s="520"/>
      <c r="FG46" s="520"/>
      <c r="FH46" s="520"/>
      <c r="FI46" s="520"/>
      <c r="FJ46" s="520"/>
      <c r="FK46" s="520"/>
      <c r="FL46" s="520"/>
      <c r="FM46" s="520"/>
      <c r="FN46" s="520"/>
      <c r="FO46" s="520"/>
      <c r="FP46" s="520"/>
      <c r="FQ46" s="520"/>
      <c r="FR46" s="520"/>
      <c r="FS46" s="520"/>
      <c r="FT46" s="520"/>
      <c r="FU46" s="520"/>
      <c r="FV46" s="520"/>
      <c r="FW46" s="520"/>
      <c r="FX46" s="520"/>
      <c r="FY46" s="520"/>
      <c r="FZ46" s="520"/>
      <c r="GA46" s="520"/>
      <c r="GB46" s="520"/>
      <c r="GC46" s="520"/>
      <c r="GD46" s="520"/>
      <c r="GE46" s="520"/>
      <c r="GF46" s="520"/>
      <c r="GG46" s="520"/>
      <c r="GH46" s="520"/>
      <c r="GI46" s="520"/>
      <c r="GJ46" s="520"/>
      <c r="GK46" s="520"/>
      <c r="GL46" s="520"/>
      <c r="GM46" s="520"/>
      <c r="GN46" s="520"/>
      <c r="GO46" s="520"/>
      <c r="GP46" s="520"/>
      <c r="GQ46" s="520"/>
      <c r="GR46" s="520"/>
      <c r="GS46" s="520"/>
      <c r="GT46" s="520"/>
      <c r="GU46" s="520"/>
      <c r="GV46" s="520"/>
      <c r="GW46" s="520"/>
      <c r="GX46" s="520"/>
      <c r="GY46" s="520"/>
      <c r="GZ46" s="520"/>
      <c r="HA46" s="520"/>
      <c r="HB46" s="520"/>
      <c r="HC46" s="520"/>
      <c r="HD46" s="520"/>
      <c r="HE46" s="520"/>
      <c r="HF46" s="520"/>
      <c r="HG46" s="520"/>
      <c r="HH46" s="520"/>
      <c r="HI46" s="520"/>
      <c r="HJ46" s="520"/>
      <c r="HK46" s="520"/>
      <c r="HL46" s="520"/>
      <c r="HM46" s="520"/>
      <c r="HN46" s="520"/>
      <c r="HO46" s="520"/>
      <c r="HP46" s="520"/>
      <c r="HQ46" s="520"/>
      <c r="HR46" s="520"/>
      <c r="HS46" s="520"/>
      <c r="HT46" s="520"/>
      <c r="HU46" s="520"/>
      <c r="HV46" s="520"/>
      <c r="HW46" s="520"/>
      <c r="HX46" s="520"/>
      <c r="HY46" s="520"/>
      <c r="HZ46" s="520"/>
      <c r="IA46" s="520"/>
      <c r="IB46" s="520"/>
      <c r="IC46" s="520"/>
      <c r="ID46" s="520"/>
      <c r="IE46" s="520"/>
      <c r="IF46" s="520"/>
      <c r="IG46" s="520"/>
      <c r="IH46" s="520"/>
      <c r="II46" s="520"/>
      <c r="IJ46" s="520"/>
      <c r="IK46" s="520"/>
      <c r="IL46" s="520"/>
      <c r="IM46" s="520"/>
      <c r="IN46" s="520"/>
      <c r="IO46" s="520"/>
      <c r="IP46" s="520"/>
      <c r="IQ46" s="520"/>
      <c r="IR46" s="520"/>
      <c r="IS46" s="520"/>
      <c r="IT46" s="520"/>
      <c r="IU46" s="520"/>
      <c r="IV46" s="520"/>
    </row>
    <row r="47" spans="1:256" ht="19.899999999999999" customHeight="1">
      <c r="A47" s="521"/>
      <c r="B47" s="522" t="str">
        <f>B40</f>
        <v>For Urban Police Station</v>
      </c>
      <c r="C47" s="372"/>
      <c r="D47" s="372"/>
      <c r="E47" s="376"/>
      <c r="F47" s="374"/>
      <c r="G47" s="374"/>
      <c r="H47" s="374"/>
      <c r="I47" s="374"/>
      <c r="J47" s="519"/>
      <c r="K47" s="520"/>
      <c r="L47" s="520"/>
      <c r="M47" s="520"/>
      <c r="N47" s="520"/>
      <c r="O47" s="520"/>
      <c r="P47" s="520"/>
      <c r="Q47" s="520"/>
      <c r="R47" s="520"/>
      <c r="S47" s="520"/>
      <c r="T47" s="520"/>
      <c r="U47" s="520"/>
      <c r="V47" s="520"/>
      <c r="W47" s="520"/>
      <c r="X47" s="520"/>
      <c r="Y47" s="520"/>
      <c r="Z47" s="520"/>
      <c r="AA47" s="520"/>
      <c r="AB47" s="520"/>
      <c r="AC47" s="520"/>
      <c r="AD47" s="520"/>
      <c r="AE47" s="520"/>
      <c r="AF47" s="520"/>
      <c r="AG47" s="520"/>
      <c r="AH47" s="520"/>
      <c r="AI47" s="520"/>
      <c r="AJ47" s="520"/>
      <c r="AK47" s="520"/>
      <c r="AL47" s="520"/>
      <c r="AM47" s="520"/>
      <c r="AN47" s="520"/>
      <c r="AO47" s="520"/>
      <c r="AP47" s="520"/>
      <c r="AQ47" s="520"/>
      <c r="AR47" s="520"/>
      <c r="AS47" s="520"/>
      <c r="AT47" s="520"/>
      <c r="AU47" s="520"/>
      <c r="AV47" s="520"/>
      <c r="AW47" s="520"/>
      <c r="AX47" s="520"/>
      <c r="AY47" s="520"/>
      <c r="AZ47" s="520"/>
      <c r="BA47" s="520"/>
      <c r="BB47" s="520"/>
      <c r="BC47" s="520"/>
      <c r="BD47" s="520"/>
      <c r="BE47" s="520"/>
      <c r="BF47" s="520"/>
      <c r="BG47" s="520"/>
      <c r="BH47" s="520"/>
      <c r="BI47" s="520"/>
      <c r="BJ47" s="520"/>
      <c r="BK47" s="520"/>
      <c r="BL47" s="520"/>
      <c r="BM47" s="520"/>
      <c r="BN47" s="520"/>
      <c r="BO47" s="520"/>
      <c r="BP47" s="520"/>
      <c r="BQ47" s="520"/>
      <c r="BR47" s="520"/>
      <c r="BS47" s="520"/>
      <c r="BT47" s="520"/>
      <c r="BU47" s="520"/>
      <c r="BV47" s="520"/>
      <c r="BW47" s="520"/>
      <c r="BX47" s="520"/>
      <c r="BY47" s="520"/>
      <c r="BZ47" s="520"/>
      <c r="CA47" s="520"/>
      <c r="CB47" s="520"/>
      <c r="CC47" s="520"/>
      <c r="CD47" s="520"/>
      <c r="CE47" s="520"/>
      <c r="CF47" s="520"/>
      <c r="CG47" s="520"/>
      <c r="CH47" s="520"/>
      <c r="CI47" s="520"/>
      <c r="CJ47" s="520"/>
      <c r="CK47" s="520"/>
      <c r="CL47" s="520"/>
      <c r="CM47" s="520"/>
      <c r="CN47" s="520"/>
      <c r="CO47" s="520"/>
      <c r="CP47" s="520"/>
      <c r="CQ47" s="520"/>
      <c r="CR47" s="520"/>
      <c r="CS47" s="520"/>
      <c r="CT47" s="520"/>
      <c r="CU47" s="520"/>
      <c r="CV47" s="520"/>
      <c r="CW47" s="520"/>
      <c r="CX47" s="520"/>
      <c r="CY47" s="520"/>
      <c r="CZ47" s="520"/>
      <c r="DA47" s="520"/>
      <c r="DB47" s="520"/>
      <c r="DC47" s="520"/>
      <c r="DD47" s="520"/>
      <c r="DE47" s="520"/>
      <c r="DF47" s="520"/>
      <c r="DG47" s="520"/>
      <c r="DH47" s="520"/>
      <c r="DI47" s="520"/>
      <c r="DJ47" s="520"/>
      <c r="DK47" s="520"/>
      <c r="DL47" s="520"/>
      <c r="DM47" s="520"/>
      <c r="DN47" s="520"/>
      <c r="DO47" s="520"/>
      <c r="DP47" s="520"/>
      <c r="DQ47" s="520"/>
      <c r="DR47" s="520"/>
      <c r="DS47" s="520"/>
      <c r="DT47" s="520"/>
      <c r="DU47" s="520"/>
      <c r="DV47" s="520"/>
      <c r="DW47" s="520"/>
      <c r="DX47" s="520"/>
      <c r="DY47" s="520"/>
      <c r="DZ47" s="520"/>
      <c r="EA47" s="520"/>
      <c r="EB47" s="520"/>
      <c r="EC47" s="520"/>
      <c r="ED47" s="520"/>
      <c r="EE47" s="520"/>
      <c r="EF47" s="520"/>
      <c r="EG47" s="520"/>
      <c r="EH47" s="520"/>
      <c r="EI47" s="520"/>
      <c r="EJ47" s="520"/>
      <c r="EK47" s="520"/>
      <c r="EL47" s="520"/>
      <c r="EM47" s="520"/>
      <c r="EN47" s="520"/>
      <c r="EO47" s="520"/>
      <c r="EP47" s="520"/>
      <c r="EQ47" s="520"/>
      <c r="ER47" s="520"/>
      <c r="ES47" s="520"/>
      <c r="ET47" s="520"/>
      <c r="EU47" s="520"/>
      <c r="EV47" s="520"/>
      <c r="EW47" s="520"/>
      <c r="EX47" s="520"/>
      <c r="EY47" s="520"/>
      <c r="EZ47" s="520"/>
      <c r="FA47" s="520"/>
      <c r="FB47" s="520"/>
      <c r="FC47" s="520"/>
      <c r="FD47" s="520"/>
      <c r="FE47" s="520"/>
      <c r="FF47" s="520"/>
      <c r="FG47" s="520"/>
      <c r="FH47" s="520"/>
      <c r="FI47" s="520"/>
      <c r="FJ47" s="520"/>
      <c r="FK47" s="520"/>
      <c r="FL47" s="520"/>
      <c r="FM47" s="520"/>
      <c r="FN47" s="520"/>
      <c r="FO47" s="520"/>
      <c r="FP47" s="520"/>
      <c r="FQ47" s="520"/>
      <c r="FR47" s="520"/>
      <c r="FS47" s="520"/>
      <c r="FT47" s="520"/>
      <c r="FU47" s="520"/>
      <c r="FV47" s="520"/>
      <c r="FW47" s="520"/>
      <c r="FX47" s="520"/>
      <c r="FY47" s="520"/>
      <c r="FZ47" s="520"/>
      <c r="GA47" s="520"/>
      <c r="GB47" s="520"/>
      <c r="GC47" s="520"/>
      <c r="GD47" s="520"/>
      <c r="GE47" s="520"/>
      <c r="GF47" s="520"/>
      <c r="GG47" s="520"/>
      <c r="GH47" s="520"/>
      <c r="GI47" s="520"/>
      <c r="GJ47" s="520"/>
      <c r="GK47" s="520"/>
      <c r="GL47" s="520"/>
      <c r="GM47" s="520"/>
      <c r="GN47" s="520"/>
      <c r="GO47" s="520"/>
      <c r="GP47" s="520"/>
      <c r="GQ47" s="520"/>
      <c r="GR47" s="520"/>
      <c r="GS47" s="520"/>
      <c r="GT47" s="520"/>
      <c r="GU47" s="520"/>
      <c r="GV47" s="520"/>
      <c r="GW47" s="520"/>
      <c r="GX47" s="520"/>
      <c r="GY47" s="520"/>
      <c r="GZ47" s="520"/>
      <c r="HA47" s="520"/>
      <c r="HB47" s="520"/>
      <c r="HC47" s="520"/>
      <c r="HD47" s="520"/>
      <c r="HE47" s="520"/>
      <c r="HF47" s="520"/>
      <c r="HG47" s="520"/>
      <c r="HH47" s="520"/>
      <c r="HI47" s="520"/>
      <c r="HJ47" s="520"/>
      <c r="HK47" s="520"/>
      <c r="HL47" s="520"/>
      <c r="HM47" s="520"/>
      <c r="HN47" s="520"/>
      <c r="HO47" s="520"/>
      <c r="HP47" s="520"/>
      <c r="HQ47" s="520"/>
      <c r="HR47" s="520"/>
      <c r="HS47" s="520"/>
      <c r="HT47" s="520"/>
      <c r="HU47" s="520"/>
      <c r="HV47" s="520"/>
      <c r="HW47" s="520"/>
      <c r="HX47" s="520"/>
      <c r="HY47" s="520"/>
      <c r="HZ47" s="520"/>
      <c r="IA47" s="520"/>
      <c r="IB47" s="520"/>
      <c r="IC47" s="520"/>
      <c r="ID47" s="520"/>
      <c r="IE47" s="520"/>
      <c r="IF47" s="520"/>
      <c r="IG47" s="520"/>
      <c r="IH47" s="520"/>
      <c r="II47" s="520"/>
      <c r="IJ47" s="520"/>
      <c r="IK47" s="520"/>
      <c r="IL47" s="520"/>
      <c r="IM47" s="520"/>
      <c r="IN47" s="520"/>
      <c r="IO47" s="520"/>
      <c r="IP47" s="520"/>
      <c r="IQ47" s="520"/>
      <c r="IR47" s="520"/>
      <c r="IS47" s="520"/>
      <c r="IT47" s="520"/>
      <c r="IU47" s="520"/>
      <c r="IV47" s="520"/>
    </row>
    <row r="48" spans="1:256" ht="19.899999999999999" customHeight="1">
      <c r="A48" s="521"/>
      <c r="B48" s="375" t="s">
        <v>4383</v>
      </c>
      <c r="C48" s="523">
        <v>1</v>
      </c>
      <c r="D48" s="523" t="s">
        <v>4377</v>
      </c>
      <c r="E48" s="376">
        <v>1</v>
      </c>
      <c r="F48" s="374">
        <f>F25</f>
        <v>56.2</v>
      </c>
      <c r="G48" s="388" t="s">
        <v>4382</v>
      </c>
      <c r="H48" s="374">
        <v>0.6</v>
      </c>
      <c r="I48" s="525">
        <f>ROUND(PRODUCT(C48:H48),2)</f>
        <v>33.72</v>
      </c>
      <c r="J48" s="519"/>
      <c r="K48" s="520"/>
      <c r="L48" s="520">
        <v>0.6</v>
      </c>
      <c r="M48" s="520"/>
      <c r="N48" s="520"/>
      <c r="O48" s="520"/>
      <c r="P48" s="520"/>
      <c r="Q48" s="520"/>
      <c r="R48" s="520"/>
      <c r="S48" s="520"/>
      <c r="T48" s="520"/>
      <c r="U48" s="520"/>
      <c r="V48" s="520"/>
      <c r="W48" s="520"/>
      <c r="X48" s="520"/>
      <c r="Y48" s="520"/>
      <c r="Z48" s="520"/>
      <c r="AA48" s="520"/>
      <c r="AB48" s="520"/>
      <c r="AC48" s="520"/>
      <c r="AD48" s="520"/>
      <c r="AE48" s="520"/>
      <c r="AF48" s="520"/>
      <c r="AG48" s="520"/>
      <c r="AH48" s="520"/>
      <c r="AI48" s="520"/>
      <c r="AJ48" s="520"/>
      <c r="AK48" s="520"/>
      <c r="AL48" s="520"/>
      <c r="AM48" s="520"/>
      <c r="AN48" s="520"/>
      <c r="AO48" s="520"/>
      <c r="AP48" s="520"/>
      <c r="AQ48" s="520"/>
      <c r="AR48" s="520"/>
      <c r="AS48" s="520"/>
      <c r="AT48" s="520"/>
      <c r="AU48" s="520"/>
      <c r="AV48" s="520"/>
      <c r="AW48" s="520"/>
      <c r="AX48" s="520"/>
      <c r="AY48" s="520"/>
      <c r="AZ48" s="520"/>
      <c r="BA48" s="520"/>
      <c r="BB48" s="520"/>
      <c r="BC48" s="520"/>
      <c r="BD48" s="520"/>
      <c r="BE48" s="520"/>
      <c r="BF48" s="520"/>
      <c r="BG48" s="520"/>
      <c r="BH48" s="520"/>
      <c r="BI48" s="520"/>
      <c r="BJ48" s="520"/>
      <c r="BK48" s="520"/>
      <c r="BL48" s="520"/>
      <c r="BM48" s="520"/>
      <c r="BN48" s="520"/>
      <c r="BO48" s="520"/>
      <c r="BP48" s="520"/>
      <c r="BQ48" s="520"/>
      <c r="BR48" s="520"/>
      <c r="BS48" s="520"/>
      <c r="BT48" s="520"/>
      <c r="BU48" s="520"/>
      <c r="BV48" s="520"/>
      <c r="BW48" s="520"/>
      <c r="BX48" s="520"/>
      <c r="BY48" s="520"/>
      <c r="BZ48" s="520"/>
      <c r="CA48" s="520"/>
      <c r="CB48" s="520"/>
      <c r="CC48" s="520"/>
      <c r="CD48" s="520"/>
      <c r="CE48" s="520"/>
      <c r="CF48" s="520"/>
      <c r="CG48" s="520"/>
      <c r="CH48" s="520"/>
      <c r="CI48" s="520"/>
      <c r="CJ48" s="520"/>
      <c r="CK48" s="520"/>
      <c r="CL48" s="520"/>
      <c r="CM48" s="520"/>
      <c r="CN48" s="520"/>
      <c r="CO48" s="520"/>
      <c r="CP48" s="520"/>
      <c r="CQ48" s="520"/>
      <c r="CR48" s="520"/>
      <c r="CS48" s="520"/>
      <c r="CT48" s="520"/>
      <c r="CU48" s="520"/>
      <c r="CV48" s="520"/>
      <c r="CW48" s="520"/>
      <c r="CX48" s="520"/>
      <c r="CY48" s="520"/>
      <c r="CZ48" s="520"/>
      <c r="DA48" s="520"/>
      <c r="DB48" s="520"/>
      <c r="DC48" s="520"/>
      <c r="DD48" s="520"/>
      <c r="DE48" s="520"/>
      <c r="DF48" s="520"/>
      <c r="DG48" s="520"/>
      <c r="DH48" s="520"/>
      <c r="DI48" s="520"/>
      <c r="DJ48" s="520"/>
      <c r="DK48" s="520"/>
      <c r="DL48" s="520"/>
      <c r="DM48" s="520"/>
      <c r="DN48" s="520"/>
      <c r="DO48" s="520"/>
      <c r="DP48" s="520"/>
      <c r="DQ48" s="520"/>
      <c r="DR48" s="520"/>
      <c r="DS48" s="520"/>
      <c r="DT48" s="520"/>
      <c r="DU48" s="520"/>
      <c r="DV48" s="520"/>
      <c r="DW48" s="520"/>
      <c r="DX48" s="520"/>
      <c r="DY48" s="520"/>
      <c r="DZ48" s="520"/>
      <c r="EA48" s="520"/>
      <c r="EB48" s="520"/>
      <c r="EC48" s="520"/>
      <c r="ED48" s="520"/>
      <c r="EE48" s="520"/>
      <c r="EF48" s="520"/>
      <c r="EG48" s="520"/>
      <c r="EH48" s="520"/>
      <c r="EI48" s="520"/>
      <c r="EJ48" s="520"/>
      <c r="EK48" s="520"/>
      <c r="EL48" s="520"/>
      <c r="EM48" s="520"/>
      <c r="EN48" s="520"/>
      <c r="EO48" s="520"/>
      <c r="EP48" s="520"/>
      <c r="EQ48" s="520"/>
      <c r="ER48" s="520"/>
      <c r="ES48" s="520"/>
      <c r="ET48" s="520"/>
      <c r="EU48" s="520"/>
      <c r="EV48" s="520"/>
      <c r="EW48" s="520"/>
      <c r="EX48" s="520"/>
      <c r="EY48" s="520"/>
      <c r="EZ48" s="520"/>
      <c r="FA48" s="520"/>
      <c r="FB48" s="520"/>
      <c r="FC48" s="520"/>
      <c r="FD48" s="520"/>
      <c r="FE48" s="520"/>
      <c r="FF48" s="520"/>
      <c r="FG48" s="520"/>
      <c r="FH48" s="520"/>
      <c r="FI48" s="520"/>
      <c r="FJ48" s="520"/>
      <c r="FK48" s="520"/>
      <c r="FL48" s="520"/>
      <c r="FM48" s="520"/>
      <c r="FN48" s="520"/>
      <c r="FO48" s="520"/>
      <c r="FP48" s="520"/>
      <c r="FQ48" s="520"/>
      <c r="FR48" s="520"/>
      <c r="FS48" s="520"/>
      <c r="FT48" s="520"/>
      <c r="FU48" s="520"/>
      <c r="FV48" s="520"/>
      <c r="FW48" s="520"/>
      <c r="FX48" s="520"/>
      <c r="FY48" s="520"/>
      <c r="FZ48" s="520"/>
      <c r="GA48" s="520"/>
      <c r="GB48" s="520"/>
      <c r="GC48" s="520"/>
      <c r="GD48" s="520"/>
      <c r="GE48" s="520"/>
      <c r="GF48" s="520"/>
      <c r="GG48" s="520"/>
      <c r="GH48" s="520"/>
      <c r="GI48" s="520"/>
      <c r="GJ48" s="520"/>
      <c r="GK48" s="520"/>
      <c r="GL48" s="520"/>
      <c r="GM48" s="520"/>
      <c r="GN48" s="520"/>
      <c r="GO48" s="520"/>
      <c r="GP48" s="520"/>
      <c r="GQ48" s="520"/>
      <c r="GR48" s="520"/>
      <c r="GS48" s="520"/>
      <c r="GT48" s="520"/>
      <c r="GU48" s="520"/>
      <c r="GV48" s="520"/>
      <c r="GW48" s="520"/>
      <c r="GX48" s="520"/>
      <c r="GY48" s="520"/>
      <c r="GZ48" s="520"/>
      <c r="HA48" s="520"/>
      <c r="HB48" s="520"/>
      <c r="HC48" s="520"/>
      <c r="HD48" s="520"/>
      <c r="HE48" s="520"/>
      <c r="HF48" s="520"/>
      <c r="HG48" s="520"/>
      <c r="HH48" s="520"/>
      <c r="HI48" s="520"/>
      <c r="HJ48" s="520"/>
      <c r="HK48" s="520"/>
      <c r="HL48" s="520"/>
      <c r="HM48" s="520"/>
      <c r="HN48" s="520"/>
      <c r="HO48" s="520"/>
      <c r="HP48" s="520"/>
      <c r="HQ48" s="520"/>
      <c r="HR48" s="520"/>
      <c r="HS48" s="520"/>
      <c r="HT48" s="520"/>
      <c r="HU48" s="520"/>
      <c r="HV48" s="520"/>
      <c r="HW48" s="520"/>
      <c r="HX48" s="520"/>
      <c r="HY48" s="520"/>
      <c r="HZ48" s="520"/>
      <c r="IA48" s="520"/>
      <c r="IB48" s="520"/>
      <c r="IC48" s="520"/>
      <c r="ID48" s="520"/>
      <c r="IE48" s="520"/>
      <c r="IF48" s="520"/>
      <c r="IG48" s="520"/>
      <c r="IH48" s="520"/>
      <c r="II48" s="520"/>
      <c r="IJ48" s="520"/>
      <c r="IK48" s="520"/>
      <c r="IL48" s="520"/>
      <c r="IM48" s="520"/>
      <c r="IN48" s="520"/>
      <c r="IO48" s="520"/>
      <c r="IP48" s="520"/>
      <c r="IQ48" s="520"/>
      <c r="IR48" s="520"/>
      <c r="IS48" s="520"/>
      <c r="IT48" s="520"/>
      <c r="IU48" s="520"/>
      <c r="IV48" s="520"/>
    </row>
    <row r="49" spans="1:256" ht="21" customHeight="1">
      <c r="A49" s="521"/>
      <c r="B49" s="375" t="s">
        <v>4795</v>
      </c>
      <c r="C49" s="523">
        <v>-1</v>
      </c>
      <c r="D49" s="523" t="s">
        <v>4377</v>
      </c>
      <c r="E49" s="861">
        <v>1</v>
      </c>
      <c r="F49" s="524">
        <v>6.91</v>
      </c>
      <c r="G49" s="374" t="s">
        <v>1288</v>
      </c>
      <c r="H49" s="374">
        <v>0.6</v>
      </c>
      <c r="I49" s="525">
        <f>ROUND(PRODUCT(C49:H49),2)</f>
        <v>-4.1500000000000004</v>
      </c>
      <c r="J49" s="519"/>
      <c r="K49" s="520"/>
      <c r="L49" s="520"/>
      <c r="M49" s="520"/>
      <c r="N49" s="520"/>
      <c r="O49" s="520"/>
      <c r="P49" s="520"/>
      <c r="Q49" s="520"/>
      <c r="R49" s="520"/>
      <c r="S49" s="520"/>
      <c r="T49" s="520"/>
      <c r="U49" s="520"/>
      <c r="V49" s="520"/>
      <c r="W49" s="520"/>
      <c r="X49" s="520"/>
      <c r="Y49" s="520"/>
      <c r="Z49" s="520"/>
      <c r="AA49" s="520"/>
      <c r="AB49" s="520"/>
      <c r="AC49" s="520"/>
      <c r="AD49" s="520"/>
      <c r="AE49" s="520"/>
      <c r="AF49" s="520"/>
      <c r="AG49" s="520"/>
      <c r="AH49" s="520"/>
      <c r="AI49" s="520"/>
      <c r="AJ49" s="520"/>
      <c r="AK49" s="520"/>
      <c r="AL49" s="520"/>
      <c r="AM49" s="520"/>
      <c r="AN49" s="520"/>
      <c r="AO49" s="520"/>
      <c r="AP49" s="520"/>
      <c r="AQ49" s="520"/>
      <c r="AR49" s="520"/>
      <c r="AS49" s="520"/>
      <c r="AT49" s="520"/>
      <c r="AU49" s="520"/>
      <c r="AV49" s="520"/>
      <c r="AW49" s="520"/>
      <c r="AX49" s="520"/>
      <c r="AY49" s="520"/>
      <c r="AZ49" s="520"/>
      <c r="BA49" s="520"/>
      <c r="BB49" s="520"/>
      <c r="BC49" s="520"/>
      <c r="BD49" s="520"/>
      <c r="BE49" s="520"/>
      <c r="BF49" s="520"/>
      <c r="BG49" s="520"/>
      <c r="BH49" s="520"/>
      <c r="BI49" s="520"/>
      <c r="BJ49" s="520"/>
      <c r="BK49" s="520"/>
      <c r="BL49" s="520"/>
      <c r="BM49" s="520"/>
      <c r="BN49" s="520"/>
      <c r="BO49" s="520"/>
      <c r="BP49" s="520"/>
      <c r="BQ49" s="520"/>
      <c r="BR49" s="520"/>
      <c r="BS49" s="520"/>
      <c r="BT49" s="520"/>
      <c r="BU49" s="520"/>
      <c r="BV49" s="520"/>
      <c r="BW49" s="520"/>
      <c r="BX49" s="520"/>
      <c r="BY49" s="520"/>
      <c r="BZ49" s="520"/>
      <c r="CA49" s="520"/>
      <c r="CB49" s="520"/>
      <c r="CC49" s="520"/>
      <c r="CD49" s="520"/>
      <c r="CE49" s="520"/>
      <c r="CF49" s="520"/>
      <c r="CG49" s="520"/>
      <c r="CH49" s="520"/>
      <c r="CI49" s="520"/>
      <c r="CJ49" s="520"/>
      <c r="CK49" s="520"/>
      <c r="CL49" s="520"/>
      <c r="CM49" s="520"/>
      <c r="CN49" s="520"/>
      <c r="CO49" s="520"/>
      <c r="CP49" s="520"/>
      <c r="CQ49" s="520"/>
      <c r="CR49" s="520"/>
      <c r="CS49" s="520"/>
      <c r="CT49" s="520"/>
      <c r="CU49" s="520"/>
      <c r="CV49" s="520"/>
      <c r="CW49" s="520"/>
      <c r="CX49" s="520"/>
      <c r="CY49" s="520"/>
      <c r="CZ49" s="520"/>
      <c r="DA49" s="520"/>
      <c r="DB49" s="520"/>
      <c r="DC49" s="520"/>
      <c r="DD49" s="520"/>
      <c r="DE49" s="520"/>
      <c r="DF49" s="520"/>
      <c r="DG49" s="520"/>
      <c r="DH49" s="520"/>
      <c r="DI49" s="520"/>
      <c r="DJ49" s="520"/>
      <c r="DK49" s="520"/>
      <c r="DL49" s="520"/>
      <c r="DM49" s="520"/>
      <c r="DN49" s="520"/>
      <c r="DO49" s="520"/>
      <c r="DP49" s="520"/>
      <c r="DQ49" s="520"/>
      <c r="DR49" s="520"/>
      <c r="DS49" s="520"/>
      <c r="DT49" s="520"/>
      <c r="DU49" s="520"/>
      <c r="DV49" s="520"/>
      <c r="DW49" s="520"/>
      <c r="DX49" s="520"/>
      <c r="DY49" s="520"/>
      <c r="DZ49" s="520"/>
      <c r="EA49" s="520"/>
      <c r="EB49" s="520"/>
      <c r="EC49" s="520"/>
      <c r="ED49" s="520"/>
      <c r="EE49" s="520"/>
      <c r="EF49" s="520"/>
      <c r="EG49" s="520"/>
      <c r="EH49" s="520"/>
      <c r="EI49" s="520"/>
      <c r="EJ49" s="520"/>
      <c r="EK49" s="520"/>
      <c r="EL49" s="520"/>
      <c r="EM49" s="520"/>
      <c r="EN49" s="520"/>
      <c r="EO49" s="520"/>
      <c r="EP49" s="520"/>
      <c r="EQ49" s="520"/>
      <c r="ER49" s="520"/>
      <c r="ES49" s="520"/>
      <c r="ET49" s="520"/>
      <c r="EU49" s="520"/>
      <c r="EV49" s="520"/>
      <c r="EW49" s="520"/>
      <c r="EX49" s="520"/>
      <c r="EY49" s="520"/>
      <c r="EZ49" s="520"/>
      <c r="FA49" s="520"/>
      <c r="FB49" s="520"/>
      <c r="FC49" s="520"/>
      <c r="FD49" s="520"/>
      <c r="FE49" s="520"/>
      <c r="FF49" s="520"/>
      <c r="FG49" s="520"/>
      <c r="FH49" s="520"/>
      <c r="FI49" s="520"/>
      <c r="FJ49" s="520"/>
      <c r="FK49" s="520"/>
      <c r="FL49" s="520"/>
      <c r="FM49" s="520"/>
      <c r="FN49" s="520"/>
      <c r="FO49" s="520"/>
      <c r="FP49" s="520"/>
      <c r="FQ49" s="520"/>
      <c r="FR49" s="520"/>
      <c r="FS49" s="520"/>
      <c r="FT49" s="520"/>
      <c r="FU49" s="520"/>
      <c r="FV49" s="520"/>
      <c r="FW49" s="520"/>
      <c r="FX49" s="520"/>
      <c r="FY49" s="520"/>
      <c r="FZ49" s="520"/>
      <c r="GA49" s="520"/>
      <c r="GB49" s="520"/>
      <c r="GC49" s="520"/>
      <c r="GD49" s="520"/>
      <c r="GE49" s="520"/>
      <c r="GF49" s="520"/>
      <c r="GG49" s="520"/>
      <c r="GH49" s="520"/>
      <c r="GI49" s="520"/>
      <c r="GJ49" s="520"/>
      <c r="GK49" s="520"/>
      <c r="GL49" s="520"/>
      <c r="GM49" s="520"/>
      <c r="GN49" s="520"/>
      <c r="GO49" s="520"/>
      <c r="GP49" s="520"/>
      <c r="GQ49" s="520"/>
      <c r="GR49" s="520"/>
      <c r="GS49" s="520"/>
      <c r="GT49" s="520"/>
      <c r="GU49" s="520"/>
      <c r="GV49" s="520"/>
      <c r="GW49" s="520"/>
      <c r="GX49" s="520"/>
      <c r="GY49" s="520"/>
      <c r="GZ49" s="520"/>
      <c r="HA49" s="520"/>
      <c r="HB49" s="520"/>
      <c r="HC49" s="520"/>
      <c r="HD49" s="520"/>
      <c r="HE49" s="520"/>
      <c r="HF49" s="520"/>
      <c r="HG49" s="520"/>
      <c r="HH49" s="520"/>
      <c r="HI49" s="520"/>
      <c r="HJ49" s="520"/>
      <c r="HK49" s="520"/>
      <c r="HL49" s="520"/>
      <c r="HM49" s="520"/>
      <c r="HN49" s="520"/>
      <c r="HO49" s="520"/>
      <c r="HP49" s="520"/>
      <c r="HQ49" s="520"/>
      <c r="HR49" s="520"/>
      <c r="HS49" s="520"/>
      <c r="HT49" s="520"/>
      <c r="HU49" s="520"/>
      <c r="HV49" s="520"/>
      <c r="HW49" s="520"/>
      <c r="HX49" s="520"/>
      <c r="HY49" s="520"/>
      <c r="HZ49" s="520"/>
      <c r="IA49" s="520"/>
      <c r="IB49" s="520"/>
      <c r="IC49" s="520"/>
      <c r="ID49" s="520"/>
      <c r="IE49" s="520"/>
      <c r="IF49" s="520"/>
      <c r="IG49" s="520"/>
      <c r="IH49" s="520"/>
      <c r="II49" s="520"/>
      <c r="IJ49" s="520"/>
      <c r="IK49" s="520"/>
      <c r="IL49" s="520"/>
      <c r="IM49" s="520"/>
      <c r="IN49" s="520"/>
      <c r="IO49" s="520"/>
      <c r="IP49" s="520"/>
      <c r="IQ49" s="520"/>
      <c r="IR49" s="520"/>
      <c r="IS49" s="520"/>
      <c r="IT49" s="520"/>
      <c r="IU49" s="520"/>
      <c r="IV49" s="520"/>
    </row>
    <row r="50" spans="1:256" ht="19.899999999999999" customHeight="1">
      <c r="A50" s="521"/>
      <c r="B50" s="375"/>
      <c r="C50" s="523"/>
      <c r="D50" s="523"/>
      <c r="E50" s="376"/>
      <c r="F50" s="374"/>
      <c r="G50" s="374"/>
      <c r="H50" s="374"/>
      <c r="I50" s="525">
        <v>0.03</v>
      </c>
      <c r="J50" s="519"/>
      <c r="K50" s="520"/>
      <c r="L50" s="520"/>
      <c r="M50" s="520"/>
      <c r="N50" s="520"/>
      <c r="O50" s="520"/>
      <c r="P50" s="520"/>
      <c r="Q50" s="520"/>
      <c r="R50" s="520"/>
      <c r="S50" s="520"/>
      <c r="T50" s="520"/>
      <c r="U50" s="520"/>
      <c r="V50" s="520"/>
      <c r="W50" s="520"/>
      <c r="X50" s="520"/>
      <c r="Y50" s="520"/>
      <c r="Z50" s="520"/>
      <c r="AA50" s="520"/>
      <c r="AB50" s="520"/>
      <c r="AC50" s="520"/>
      <c r="AD50" s="520"/>
      <c r="AE50" s="520"/>
      <c r="AF50" s="520"/>
      <c r="AG50" s="520"/>
      <c r="AH50" s="520"/>
      <c r="AI50" s="520"/>
      <c r="AJ50" s="520"/>
      <c r="AK50" s="520"/>
      <c r="AL50" s="520"/>
      <c r="AM50" s="520"/>
      <c r="AN50" s="520"/>
      <c r="AO50" s="520"/>
      <c r="AP50" s="520"/>
      <c r="AQ50" s="520"/>
      <c r="AR50" s="520"/>
      <c r="AS50" s="520"/>
      <c r="AT50" s="520"/>
      <c r="AU50" s="520"/>
      <c r="AV50" s="520"/>
      <c r="AW50" s="520"/>
      <c r="AX50" s="520"/>
      <c r="AY50" s="520"/>
      <c r="AZ50" s="520"/>
      <c r="BA50" s="520"/>
      <c r="BB50" s="520"/>
      <c r="BC50" s="520"/>
      <c r="BD50" s="520"/>
      <c r="BE50" s="520"/>
      <c r="BF50" s="520"/>
      <c r="BG50" s="520"/>
      <c r="BH50" s="520"/>
      <c r="BI50" s="520"/>
      <c r="BJ50" s="520"/>
      <c r="BK50" s="520"/>
      <c r="BL50" s="520"/>
      <c r="BM50" s="520"/>
      <c r="BN50" s="520"/>
      <c r="BO50" s="520"/>
      <c r="BP50" s="520"/>
      <c r="BQ50" s="520"/>
      <c r="BR50" s="520"/>
      <c r="BS50" s="520"/>
      <c r="BT50" s="520"/>
      <c r="BU50" s="520"/>
      <c r="BV50" s="520"/>
      <c r="BW50" s="520"/>
      <c r="BX50" s="520"/>
      <c r="BY50" s="520"/>
      <c r="BZ50" s="520"/>
      <c r="CA50" s="520"/>
      <c r="CB50" s="520"/>
      <c r="CC50" s="520"/>
      <c r="CD50" s="520"/>
      <c r="CE50" s="520"/>
      <c r="CF50" s="520"/>
      <c r="CG50" s="520"/>
      <c r="CH50" s="520"/>
      <c r="CI50" s="520"/>
      <c r="CJ50" s="520"/>
      <c r="CK50" s="520"/>
      <c r="CL50" s="520"/>
      <c r="CM50" s="520"/>
      <c r="CN50" s="520"/>
      <c r="CO50" s="520"/>
      <c r="CP50" s="520"/>
      <c r="CQ50" s="520"/>
      <c r="CR50" s="520"/>
      <c r="CS50" s="520"/>
      <c r="CT50" s="520"/>
      <c r="CU50" s="520"/>
      <c r="CV50" s="520"/>
      <c r="CW50" s="520"/>
      <c r="CX50" s="520"/>
      <c r="CY50" s="520"/>
      <c r="CZ50" s="520"/>
      <c r="DA50" s="520"/>
      <c r="DB50" s="520"/>
      <c r="DC50" s="520"/>
      <c r="DD50" s="520"/>
      <c r="DE50" s="520"/>
      <c r="DF50" s="520"/>
      <c r="DG50" s="520"/>
      <c r="DH50" s="520"/>
      <c r="DI50" s="520"/>
      <c r="DJ50" s="520"/>
      <c r="DK50" s="520"/>
      <c r="DL50" s="520"/>
      <c r="DM50" s="520"/>
      <c r="DN50" s="520"/>
      <c r="DO50" s="520"/>
      <c r="DP50" s="520"/>
      <c r="DQ50" s="520"/>
      <c r="DR50" s="520"/>
      <c r="DS50" s="520"/>
      <c r="DT50" s="520"/>
      <c r="DU50" s="520"/>
      <c r="DV50" s="520"/>
      <c r="DW50" s="520"/>
      <c r="DX50" s="520"/>
      <c r="DY50" s="520"/>
      <c r="DZ50" s="520"/>
      <c r="EA50" s="520"/>
      <c r="EB50" s="520"/>
      <c r="EC50" s="520"/>
      <c r="ED50" s="520"/>
      <c r="EE50" s="520"/>
      <c r="EF50" s="520"/>
      <c r="EG50" s="520"/>
      <c r="EH50" s="520"/>
      <c r="EI50" s="520"/>
      <c r="EJ50" s="520"/>
      <c r="EK50" s="520"/>
      <c r="EL50" s="520"/>
      <c r="EM50" s="520"/>
      <c r="EN50" s="520"/>
      <c r="EO50" s="520"/>
      <c r="EP50" s="520"/>
      <c r="EQ50" s="520"/>
      <c r="ER50" s="520"/>
      <c r="ES50" s="520"/>
      <c r="ET50" s="520"/>
      <c r="EU50" s="520"/>
      <c r="EV50" s="520"/>
      <c r="EW50" s="520"/>
      <c r="EX50" s="520"/>
      <c r="EY50" s="520"/>
      <c r="EZ50" s="520"/>
      <c r="FA50" s="520"/>
      <c r="FB50" s="520"/>
      <c r="FC50" s="520"/>
      <c r="FD50" s="520"/>
      <c r="FE50" s="520"/>
      <c r="FF50" s="520"/>
      <c r="FG50" s="520"/>
      <c r="FH50" s="520"/>
      <c r="FI50" s="520"/>
      <c r="FJ50" s="520"/>
      <c r="FK50" s="520"/>
      <c r="FL50" s="520"/>
      <c r="FM50" s="520"/>
      <c r="FN50" s="520"/>
      <c r="FO50" s="520"/>
      <c r="FP50" s="520"/>
      <c r="FQ50" s="520"/>
      <c r="FR50" s="520"/>
      <c r="FS50" s="520"/>
      <c r="FT50" s="520"/>
      <c r="FU50" s="520"/>
      <c r="FV50" s="520"/>
      <c r="FW50" s="520"/>
      <c r="FX50" s="520"/>
      <c r="FY50" s="520"/>
      <c r="FZ50" s="520"/>
      <c r="GA50" s="520"/>
      <c r="GB50" s="520"/>
      <c r="GC50" s="520"/>
      <c r="GD50" s="520"/>
      <c r="GE50" s="520"/>
      <c r="GF50" s="520"/>
      <c r="GG50" s="520"/>
      <c r="GH50" s="520"/>
      <c r="GI50" s="520"/>
      <c r="GJ50" s="520"/>
      <c r="GK50" s="520"/>
      <c r="GL50" s="520"/>
      <c r="GM50" s="520"/>
      <c r="GN50" s="520"/>
      <c r="GO50" s="520"/>
      <c r="GP50" s="520"/>
      <c r="GQ50" s="520"/>
      <c r="GR50" s="520"/>
      <c r="GS50" s="520"/>
      <c r="GT50" s="520"/>
      <c r="GU50" s="520"/>
      <c r="GV50" s="520"/>
      <c r="GW50" s="520"/>
      <c r="GX50" s="520"/>
      <c r="GY50" s="520"/>
      <c r="GZ50" s="520"/>
      <c r="HA50" s="520"/>
      <c r="HB50" s="520"/>
      <c r="HC50" s="520"/>
      <c r="HD50" s="520"/>
      <c r="HE50" s="520"/>
      <c r="HF50" s="520"/>
      <c r="HG50" s="520"/>
      <c r="HH50" s="520"/>
      <c r="HI50" s="520"/>
      <c r="HJ50" s="520"/>
      <c r="HK50" s="520"/>
      <c r="HL50" s="520"/>
      <c r="HM50" s="520"/>
      <c r="HN50" s="520"/>
      <c r="HO50" s="520"/>
      <c r="HP50" s="520"/>
      <c r="HQ50" s="520"/>
      <c r="HR50" s="520"/>
      <c r="HS50" s="520"/>
      <c r="HT50" s="520"/>
      <c r="HU50" s="520"/>
      <c r="HV50" s="520"/>
      <c r="HW50" s="520"/>
      <c r="HX50" s="520"/>
      <c r="HY50" s="520"/>
      <c r="HZ50" s="520"/>
      <c r="IA50" s="520"/>
      <c r="IB50" s="520"/>
      <c r="IC50" s="520"/>
      <c r="ID50" s="520"/>
      <c r="IE50" s="520"/>
      <c r="IF50" s="520"/>
      <c r="IG50" s="520"/>
      <c r="IH50" s="520"/>
      <c r="II50" s="520"/>
      <c r="IJ50" s="520"/>
      <c r="IK50" s="520"/>
      <c r="IL50" s="520"/>
      <c r="IM50" s="520"/>
      <c r="IN50" s="520"/>
      <c r="IO50" s="520"/>
      <c r="IP50" s="520"/>
      <c r="IQ50" s="520"/>
      <c r="IR50" s="520"/>
      <c r="IS50" s="520"/>
      <c r="IT50" s="520"/>
      <c r="IU50" s="520"/>
      <c r="IV50" s="520"/>
    </row>
    <row r="51" spans="1:256" ht="19.899999999999999" customHeight="1">
      <c r="A51" s="526"/>
      <c r="B51" s="527"/>
      <c r="C51" s="528"/>
      <c r="D51" s="528"/>
      <c r="E51" s="528"/>
      <c r="F51" s="529"/>
      <c r="G51" s="530"/>
      <c r="H51" s="530" t="s">
        <v>2560</v>
      </c>
      <c r="I51" s="530">
        <f>SUM(I48:I50)</f>
        <v>29.6</v>
      </c>
      <c r="J51" s="531" t="s">
        <v>1861</v>
      </c>
    </row>
    <row r="52" spans="1:256" ht="19.899999999999999" customHeight="1">
      <c r="A52" s="526"/>
      <c r="B52" s="527"/>
      <c r="C52" s="528"/>
      <c r="D52" s="528"/>
      <c r="E52" s="528"/>
      <c r="F52" s="529"/>
      <c r="G52" s="530"/>
      <c r="H52" s="530"/>
      <c r="I52" s="530"/>
      <c r="J52" s="531"/>
    </row>
    <row r="53" spans="1:256" ht="19.899999999999999" customHeight="1">
      <c r="A53" s="518">
        <v>50.6</v>
      </c>
      <c r="B53" s="1048" t="s">
        <v>871</v>
      </c>
      <c r="C53" s="1049"/>
      <c r="D53" s="1049"/>
      <c r="E53" s="1049"/>
      <c r="F53" s="1049"/>
      <c r="G53" s="1049"/>
      <c r="H53" s="1050"/>
      <c r="I53" s="374"/>
      <c r="J53" s="532"/>
      <c r="K53" s="520"/>
      <c r="L53" s="520"/>
      <c r="M53" s="520"/>
      <c r="N53" s="520"/>
      <c r="O53" s="520"/>
      <c r="P53" s="520"/>
      <c r="Q53" s="520"/>
      <c r="R53" s="520"/>
      <c r="S53" s="520"/>
      <c r="T53" s="520"/>
      <c r="U53" s="520"/>
      <c r="V53" s="520"/>
      <c r="W53" s="520"/>
      <c r="X53" s="520"/>
      <c r="Y53" s="520"/>
      <c r="Z53" s="520"/>
      <c r="AA53" s="520"/>
      <c r="AB53" s="520"/>
      <c r="AC53" s="520"/>
      <c r="AD53" s="520"/>
      <c r="AE53" s="520"/>
      <c r="AF53" s="520"/>
      <c r="AG53" s="520"/>
      <c r="AH53" s="520"/>
      <c r="AI53" s="520"/>
      <c r="AJ53" s="520"/>
      <c r="AK53" s="520"/>
      <c r="AL53" s="520"/>
      <c r="AM53" s="520"/>
      <c r="AN53" s="520"/>
      <c r="AO53" s="520"/>
      <c r="AP53" s="520"/>
      <c r="AQ53" s="520"/>
      <c r="AR53" s="520"/>
      <c r="AS53" s="520"/>
      <c r="AT53" s="520"/>
      <c r="AU53" s="520"/>
      <c r="AV53" s="520"/>
      <c r="AW53" s="520"/>
      <c r="AX53" s="520"/>
      <c r="AY53" s="520"/>
      <c r="AZ53" s="520"/>
      <c r="BA53" s="520"/>
      <c r="BB53" s="520"/>
      <c r="BC53" s="520"/>
      <c r="BD53" s="520"/>
      <c r="BE53" s="520"/>
      <c r="BF53" s="520"/>
      <c r="BG53" s="520"/>
      <c r="BH53" s="520"/>
      <c r="BI53" s="520"/>
      <c r="BJ53" s="520"/>
      <c r="BK53" s="520"/>
      <c r="BL53" s="520"/>
      <c r="BM53" s="520"/>
      <c r="BN53" s="520"/>
      <c r="BO53" s="520"/>
      <c r="BP53" s="520"/>
      <c r="BQ53" s="520"/>
      <c r="BR53" s="520"/>
      <c r="BS53" s="520"/>
      <c r="BT53" s="520"/>
      <c r="BU53" s="520"/>
      <c r="BV53" s="520"/>
      <c r="BW53" s="520"/>
      <c r="BX53" s="520"/>
      <c r="BY53" s="520"/>
      <c r="BZ53" s="520"/>
      <c r="CA53" s="520"/>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0"/>
      <c r="DC53" s="520"/>
      <c r="DD53" s="520"/>
      <c r="DE53" s="520"/>
      <c r="DF53" s="520"/>
      <c r="DG53" s="520"/>
      <c r="DH53" s="520"/>
      <c r="DI53" s="520"/>
      <c r="DJ53" s="520"/>
      <c r="DK53" s="520"/>
      <c r="DL53" s="520"/>
      <c r="DM53" s="520"/>
      <c r="DN53" s="520"/>
      <c r="DO53" s="520"/>
      <c r="DP53" s="520"/>
      <c r="DQ53" s="520"/>
      <c r="DR53" s="520"/>
      <c r="DS53" s="520"/>
      <c r="DT53" s="520"/>
      <c r="DU53" s="520"/>
      <c r="DV53" s="520"/>
      <c r="DW53" s="520"/>
      <c r="DX53" s="520"/>
      <c r="DY53" s="520"/>
      <c r="DZ53" s="520"/>
      <c r="EA53" s="520"/>
      <c r="EB53" s="520"/>
      <c r="EC53" s="520"/>
      <c r="ED53" s="520"/>
      <c r="EE53" s="520"/>
      <c r="EF53" s="520"/>
      <c r="EG53" s="520"/>
      <c r="EH53" s="520"/>
      <c r="EI53" s="520"/>
      <c r="EJ53" s="520"/>
      <c r="EK53" s="520"/>
      <c r="EL53" s="520"/>
      <c r="EM53" s="520"/>
      <c r="EN53" s="520"/>
      <c r="EO53" s="520"/>
      <c r="EP53" s="520"/>
      <c r="EQ53" s="520"/>
      <c r="ER53" s="520"/>
      <c r="ES53" s="520"/>
      <c r="ET53" s="520"/>
      <c r="EU53" s="520"/>
      <c r="EV53" s="520"/>
      <c r="EW53" s="520"/>
      <c r="EX53" s="520"/>
      <c r="EY53" s="520"/>
      <c r="EZ53" s="520"/>
      <c r="FA53" s="520"/>
      <c r="FB53" s="520"/>
      <c r="FC53" s="520"/>
      <c r="FD53" s="520"/>
      <c r="FE53" s="520"/>
      <c r="FF53" s="520"/>
      <c r="FG53" s="520"/>
      <c r="FH53" s="520"/>
      <c r="FI53" s="520"/>
      <c r="FJ53" s="520"/>
      <c r="FK53" s="520"/>
      <c r="FL53" s="520"/>
      <c r="FM53" s="520"/>
      <c r="FN53" s="520"/>
      <c r="FO53" s="520"/>
      <c r="FP53" s="520"/>
      <c r="FQ53" s="520"/>
      <c r="FR53" s="520"/>
      <c r="FS53" s="520"/>
      <c r="FT53" s="520"/>
      <c r="FU53" s="520"/>
      <c r="FV53" s="520"/>
      <c r="FW53" s="520"/>
      <c r="FX53" s="520"/>
      <c r="FY53" s="520"/>
      <c r="FZ53" s="520"/>
      <c r="GA53" s="520"/>
      <c r="GB53" s="520"/>
      <c r="GC53" s="520"/>
      <c r="GD53" s="520"/>
      <c r="GE53" s="520"/>
      <c r="GF53" s="520"/>
      <c r="GG53" s="520"/>
      <c r="GH53" s="520"/>
      <c r="GI53" s="520"/>
      <c r="GJ53" s="520"/>
      <c r="GK53" s="520"/>
      <c r="GL53" s="520"/>
      <c r="GM53" s="520"/>
      <c r="GN53" s="520"/>
      <c r="GO53" s="520"/>
      <c r="GP53" s="520"/>
      <c r="GQ53" s="520"/>
      <c r="GR53" s="520"/>
      <c r="GS53" s="520"/>
      <c r="GT53" s="520"/>
      <c r="GU53" s="520"/>
      <c r="GV53" s="520"/>
      <c r="GW53" s="520"/>
      <c r="GX53" s="520"/>
      <c r="GY53" s="520"/>
      <c r="GZ53" s="520"/>
      <c r="HA53" s="520"/>
      <c r="HB53" s="520"/>
      <c r="HC53" s="520"/>
      <c r="HD53" s="520"/>
      <c r="HE53" s="520"/>
      <c r="HF53" s="520"/>
      <c r="HG53" s="520"/>
      <c r="HH53" s="520"/>
      <c r="HI53" s="520"/>
      <c r="HJ53" s="520"/>
      <c r="HK53" s="520"/>
      <c r="HL53" s="520"/>
      <c r="HM53" s="520"/>
      <c r="HN53" s="520"/>
      <c r="HO53" s="520"/>
      <c r="HP53" s="520"/>
      <c r="HQ53" s="520"/>
      <c r="HR53" s="520"/>
      <c r="HS53" s="520"/>
      <c r="HT53" s="520"/>
      <c r="HU53" s="520"/>
      <c r="HV53" s="520"/>
      <c r="HW53" s="520"/>
      <c r="HX53" s="520"/>
      <c r="HY53" s="520"/>
      <c r="HZ53" s="520"/>
      <c r="IA53" s="520"/>
      <c r="IB53" s="520"/>
      <c r="IC53" s="520"/>
      <c r="ID53" s="520"/>
      <c r="IE53" s="520"/>
      <c r="IF53" s="520"/>
      <c r="IG53" s="520"/>
      <c r="IH53" s="520"/>
      <c r="II53" s="520"/>
      <c r="IJ53" s="520"/>
      <c r="IK53" s="520"/>
      <c r="IL53" s="520"/>
      <c r="IM53" s="520"/>
      <c r="IN53" s="520"/>
      <c r="IO53" s="520"/>
      <c r="IP53" s="520"/>
      <c r="IQ53" s="520"/>
      <c r="IR53" s="520"/>
      <c r="IS53" s="520"/>
      <c r="IT53" s="520"/>
      <c r="IU53" s="520"/>
      <c r="IV53" s="520"/>
    </row>
    <row r="54" spans="1:256" ht="19.899999999999999" customHeight="1">
      <c r="A54" s="521"/>
      <c r="B54" s="522" t="str">
        <f>B47</f>
        <v>For Urban Police Station</v>
      </c>
      <c r="C54" s="372"/>
      <c r="D54" s="372"/>
      <c r="E54" s="376"/>
      <c r="F54" s="374"/>
      <c r="G54" s="374"/>
      <c r="H54" s="374"/>
      <c r="I54" s="374"/>
      <c r="J54" s="519"/>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c r="AS54" s="520"/>
      <c r="AT54" s="520"/>
      <c r="AU54" s="520"/>
      <c r="AV54" s="520"/>
      <c r="AW54" s="520"/>
      <c r="AX54" s="520"/>
      <c r="AY54" s="520"/>
      <c r="AZ54" s="520"/>
      <c r="BA54" s="520"/>
      <c r="BB54" s="520"/>
      <c r="BC54" s="520"/>
      <c r="BD54" s="520"/>
      <c r="BE54" s="520"/>
      <c r="BF54" s="520"/>
      <c r="BG54" s="520"/>
      <c r="BH54" s="520"/>
      <c r="BI54" s="520"/>
      <c r="BJ54" s="520"/>
      <c r="BK54" s="520"/>
      <c r="BL54" s="520"/>
      <c r="BM54" s="520"/>
      <c r="BN54" s="520"/>
      <c r="BO54" s="520"/>
      <c r="BP54" s="520"/>
      <c r="BQ54" s="520"/>
      <c r="BR54" s="520"/>
      <c r="BS54" s="520"/>
      <c r="BT54" s="520"/>
      <c r="BU54" s="520"/>
      <c r="BV54" s="520"/>
      <c r="BW54" s="520"/>
      <c r="BX54" s="520"/>
      <c r="BY54" s="520"/>
      <c r="BZ54" s="520"/>
      <c r="CA54" s="520"/>
      <c r="CB54" s="520"/>
      <c r="CC54" s="520"/>
      <c r="CD54" s="520"/>
      <c r="CE54" s="520"/>
      <c r="CF54" s="520"/>
      <c r="CG54" s="520"/>
      <c r="CH54" s="520"/>
      <c r="CI54" s="520"/>
      <c r="CJ54" s="520"/>
      <c r="CK54" s="520"/>
      <c r="CL54" s="520"/>
      <c r="CM54" s="520"/>
      <c r="CN54" s="520"/>
      <c r="CO54" s="520"/>
      <c r="CP54" s="520"/>
      <c r="CQ54" s="520"/>
      <c r="CR54" s="520"/>
      <c r="CS54" s="520"/>
      <c r="CT54" s="520"/>
      <c r="CU54" s="520"/>
      <c r="CV54" s="520"/>
      <c r="CW54" s="520"/>
      <c r="CX54" s="520"/>
      <c r="CY54" s="520"/>
      <c r="CZ54" s="520"/>
      <c r="DA54" s="520"/>
      <c r="DB54" s="520"/>
      <c r="DC54" s="520"/>
      <c r="DD54" s="520"/>
      <c r="DE54" s="520"/>
      <c r="DF54" s="520"/>
      <c r="DG54" s="520"/>
      <c r="DH54" s="520"/>
      <c r="DI54" s="520"/>
      <c r="DJ54" s="520"/>
      <c r="DK54" s="520"/>
      <c r="DL54" s="520"/>
      <c r="DM54" s="520"/>
      <c r="DN54" s="520"/>
      <c r="DO54" s="520"/>
      <c r="DP54" s="520"/>
      <c r="DQ54" s="520"/>
      <c r="DR54" s="520"/>
      <c r="DS54" s="520"/>
      <c r="DT54" s="520"/>
      <c r="DU54" s="520"/>
      <c r="DV54" s="520"/>
      <c r="DW54" s="520"/>
      <c r="DX54" s="520"/>
      <c r="DY54" s="520"/>
      <c r="DZ54" s="520"/>
      <c r="EA54" s="520"/>
      <c r="EB54" s="520"/>
      <c r="EC54" s="520"/>
      <c r="ED54" s="520"/>
      <c r="EE54" s="520"/>
      <c r="EF54" s="520"/>
      <c r="EG54" s="520"/>
      <c r="EH54" s="520"/>
      <c r="EI54" s="520"/>
      <c r="EJ54" s="520"/>
      <c r="EK54" s="520"/>
      <c r="EL54" s="520"/>
      <c r="EM54" s="520"/>
      <c r="EN54" s="520"/>
      <c r="EO54" s="520"/>
      <c r="EP54" s="520"/>
      <c r="EQ54" s="520"/>
      <c r="ER54" s="520"/>
      <c r="ES54" s="520"/>
      <c r="ET54" s="520"/>
      <c r="EU54" s="520"/>
      <c r="EV54" s="520"/>
      <c r="EW54" s="520"/>
      <c r="EX54" s="520"/>
      <c r="EY54" s="520"/>
      <c r="EZ54" s="520"/>
      <c r="FA54" s="520"/>
      <c r="FB54" s="520"/>
      <c r="FC54" s="520"/>
      <c r="FD54" s="520"/>
      <c r="FE54" s="520"/>
      <c r="FF54" s="520"/>
      <c r="FG54" s="520"/>
      <c r="FH54" s="520"/>
      <c r="FI54" s="520"/>
      <c r="FJ54" s="520"/>
      <c r="FK54" s="520"/>
      <c r="FL54" s="520"/>
      <c r="FM54" s="520"/>
      <c r="FN54" s="520"/>
      <c r="FO54" s="520"/>
      <c r="FP54" s="520"/>
      <c r="FQ54" s="520"/>
      <c r="FR54" s="520"/>
      <c r="FS54" s="520"/>
      <c r="FT54" s="520"/>
      <c r="FU54" s="520"/>
      <c r="FV54" s="520"/>
      <c r="FW54" s="520"/>
      <c r="FX54" s="520"/>
      <c r="FY54" s="520"/>
      <c r="FZ54" s="520"/>
      <c r="GA54" s="520"/>
      <c r="GB54" s="520"/>
      <c r="GC54" s="520"/>
      <c r="GD54" s="520"/>
      <c r="GE54" s="520"/>
      <c r="GF54" s="520"/>
      <c r="GG54" s="520"/>
      <c r="GH54" s="520"/>
      <c r="GI54" s="520"/>
      <c r="GJ54" s="520"/>
      <c r="GK54" s="520"/>
      <c r="GL54" s="520"/>
      <c r="GM54" s="520"/>
      <c r="GN54" s="520"/>
      <c r="GO54" s="520"/>
      <c r="GP54" s="520"/>
      <c r="GQ54" s="520"/>
      <c r="GR54" s="520"/>
      <c r="GS54" s="520"/>
      <c r="GT54" s="520"/>
      <c r="GU54" s="520"/>
      <c r="GV54" s="520"/>
      <c r="GW54" s="520"/>
      <c r="GX54" s="520"/>
      <c r="GY54" s="520"/>
      <c r="GZ54" s="520"/>
      <c r="HA54" s="520"/>
      <c r="HB54" s="520"/>
      <c r="HC54" s="520"/>
      <c r="HD54" s="520"/>
      <c r="HE54" s="520"/>
      <c r="HF54" s="520"/>
      <c r="HG54" s="520"/>
      <c r="HH54" s="520"/>
      <c r="HI54" s="520"/>
      <c r="HJ54" s="520"/>
      <c r="HK54" s="520"/>
      <c r="HL54" s="520"/>
      <c r="HM54" s="520"/>
      <c r="HN54" s="520"/>
      <c r="HO54" s="520"/>
      <c r="HP54" s="520"/>
      <c r="HQ54" s="520"/>
      <c r="HR54" s="520"/>
      <c r="HS54" s="520"/>
      <c r="HT54" s="520"/>
      <c r="HU54" s="520"/>
      <c r="HV54" s="520"/>
      <c r="HW54" s="520"/>
      <c r="HX54" s="520"/>
      <c r="HY54" s="520"/>
      <c r="HZ54" s="520"/>
      <c r="IA54" s="520"/>
      <c r="IB54" s="520"/>
      <c r="IC54" s="520"/>
      <c r="ID54" s="520"/>
      <c r="IE54" s="520"/>
      <c r="IF54" s="520"/>
      <c r="IG54" s="520"/>
      <c r="IH54" s="520"/>
      <c r="II54" s="520"/>
      <c r="IJ54" s="520"/>
      <c r="IK54" s="520"/>
      <c r="IL54" s="520"/>
      <c r="IM54" s="520"/>
      <c r="IN54" s="520"/>
      <c r="IO54" s="520"/>
      <c r="IP54" s="520"/>
      <c r="IQ54" s="520"/>
      <c r="IR54" s="520"/>
      <c r="IS54" s="520"/>
      <c r="IT54" s="520"/>
      <c r="IU54" s="520"/>
      <c r="IV54" s="520"/>
    </row>
    <row r="55" spans="1:256" ht="19.899999999999999" customHeight="1">
      <c r="A55" s="521"/>
      <c r="B55" s="375" t="s">
        <v>4376</v>
      </c>
      <c r="C55" s="523">
        <v>1</v>
      </c>
      <c r="D55" s="523" t="s">
        <v>4377</v>
      </c>
      <c r="E55" s="376">
        <v>1</v>
      </c>
      <c r="F55" s="374">
        <f>F48</f>
        <v>56.2</v>
      </c>
      <c r="G55" s="374">
        <v>0.6</v>
      </c>
      <c r="H55" s="388" t="s">
        <v>4382</v>
      </c>
      <c r="I55" s="525">
        <f>ROUND(PRODUCT(C55:H55),2)</f>
        <v>33.72</v>
      </c>
      <c r="J55" s="519"/>
      <c r="K55" s="520"/>
      <c r="L55" s="520">
        <v>0.6</v>
      </c>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c r="AS55" s="520"/>
      <c r="AT55" s="520"/>
      <c r="AU55" s="520"/>
      <c r="AV55" s="520"/>
      <c r="AW55" s="520"/>
      <c r="AX55" s="520"/>
      <c r="AY55" s="520"/>
      <c r="AZ55" s="520"/>
      <c r="BA55" s="520"/>
      <c r="BB55" s="520"/>
      <c r="BC55" s="520"/>
      <c r="BD55" s="520"/>
      <c r="BE55" s="520"/>
      <c r="BF55" s="520"/>
      <c r="BG55" s="520"/>
      <c r="BH55" s="520"/>
      <c r="BI55" s="520"/>
      <c r="BJ55" s="520"/>
      <c r="BK55" s="520"/>
      <c r="BL55" s="520"/>
      <c r="BM55" s="520"/>
      <c r="BN55" s="520"/>
      <c r="BO55" s="520"/>
      <c r="BP55" s="520"/>
      <c r="BQ55" s="520"/>
      <c r="BR55" s="520"/>
      <c r="BS55" s="520"/>
      <c r="BT55" s="520"/>
      <c r="BU55" s="520"/>
      <c r="BV55" s="520"/>
      <c r="BW55" s="520"/>
      <c r="BX55" s="520"/>
      <c r="BY55" s="520"/>
      <c r="BZ55" s="520"/>
      <c r="CA55" s="520"/>
      <c r="CB55" s="520"/>
      <c r="CC55" s="520"/>
      <c r="CD55" s="520"/>
      <c r="CE55" s="520"/>
      <c r="CF55" s="520"/>
      <c r="CG55" s="520"/>
      <c r="CH55" s="520"/>
      <c r="CI55" s="520"/>
      <c r="CJ55" s="520"/>
      <c r="CK55" s="520"/>
      <c r="CL55" s="520"/>
      <c r="CM55" s="520"/>
      <c r="CN55" s="520"/>
      <c r="CO55" s="520"/>
      <c r="CP55" s="520"/>
      <c r="CQ55" s="520"/>
      <c r="CR55" s="520"/>
      <c r="CS55" s="520"/>
      <c r="CT55" s="520"/>
      <c r="CU55" s="520"/>
      <c r="CV55" s="520"/>
      <c r="CW55" s="520"/>
      <c r="CX55" s="520"/>
      <c r="CY55" s="520"/>
      <c r="CZ55" s="520"/>
      <c r="DA55" s="520"/>
      <c r="DB55" s="520"/>
      <c r="DC55" s="520"/>
      <c r="DD55" s="520"/>
      <c r="DE55" s="520"/>
      <c r="DF55" s="520"/>
      <c r="DG55" s="520"/>
      <c r="DH55" s="520"/>
      <c r="DI55" s="520"/>
      <c r="DJ55" s="520"/>
      <c r="DK55" s="520"/>
      <c r="DL55" s="520"/>
      <c r="DM55" s="520"/>
      <c r="DN55" s="520"/>
      <c r="DO55" s="520"/>
      <c r="DP55" s="520"/>
      <c r="DQ55" s="520"/>
      <c r="DR55" s="520"/>
      <c r="DS55" s="520"/>
      <c r="DT55" s="520"/>
      <c r="DU55" s="520"/>
      <c r="DV55" s="520"/>
      <c r="DW55" s="520"/>
      <c r="DX55" s="520"/>
      <c r="DY55" s="520"/>
      <c r="DZ55" s="520"/>
      <c r="EA55" s="520"/>
      <c r="EB55" s="520"/>
      <c r="EC55" s="520"/>
      <c r="ED55" s="520"/>
      <c r="EE55" s="520"/>
      <c r="EF55" s="520"/>
      <c r="EG55" s="520"/>
      <c r="EH55" s="520"/>
      <c r="EI55" s="520"/>
      <c r="EJ55" s="520"/>
      <c r="EK55" s="520"/>
      <c r="EL55" s="520"/>
      <c r="EM55" s="520"/>
      <c r="EN55" s="520"/>
      <c r="EO55" s="520"/>
      <c r="EP55" s="520"/>
      <c r="EQ55" s="520"/>
      <c r="ER55" s="520"/>
      <c r="ES55" s="520"/>
      <c r="ET55" s="520"/>
      <c r="EU55" s="520"/>
      <c r="EV55" s="520"/>
      <c r="EW55" s="520"/>
      <c r="EX55" s="520"/>
      <c r="EY55" s="520"/>
      <c r="EZ55" s="520"/>
      <c r="FA55" s="520"/>
      <c r="FB55" s="520"/>
      <c r="FC55" s="520"/>
      <c r="FD55" s="520"/>
      <c r="FE55" s="520"/>
      <c r="FF55" s="520"/>
      <c r="FG55" s="520"/>
      <c r="FH55" s="520"/>
      <c r="FI55" s="520"/>
      <c r="FJ55" s="520"/>
      <c r="FK55" s="520"/>
      <c r="FL55" s="520"/>
      <c r="FM55" s="520"/>
      <c r="FN55" s="520"/>
      <c r="FO55" s="520"/>
      <c r="FP55" s="520"/>
      <c r="FQ55" s="520"/>
      <c r="FR55" s="520"/>
      <c r="FS55" s="520"/>
      <c r="FT55" s="520"/>
      <c r="FU55" s="520"/>
      <c r="FV55" s="520"/>
      <c r="FW55" s="520"/>
      <c r="FX55" s="520"/>
      <c r="FY55" s="520"/>
      <c r="FZ55" s="520"/>
      <c r="GA55" s="520"/>
      <c r="GB55" s="520"/>
      <c r="GC55" s="520"/>
      <c r="GD55" s="520"/>
      <c r="GE55" s="520"/>
      <c r="GF55" s="520"/>
      <c r="GG55" s="520"/>
      <c r="GH55" s="520"/>
      <c r="GI55" s="520"/>
      <c r="GJ55" s="520"/>
      <c r="GK55" s="520"/>
      <c r="GL55" s="520"/>
      <c r="GM55" s="520"/>
      <c r="GN55" s="520"/>
      <c r="GO55" s="520"/>
      <c r="GP55" s="520"/>
      <c r="GQ55" s="520"/>
      <c r="GR55" s="520"/>
      <c r="GS55" s="520"/>
      <c r="GT55" s="520"/>
      <c r="GU55" s="520"/>
      <c r="GV55" s="520"/>
      <c r="GW55" s="520"/>
      <c r="GX55" s="520"/>
      <c r="GY55" s="520"/>
      <c r="GZ55" s="520"/>
      <c r="HA55" s="520"/>
      <c r="HB55" s="520"/>
      <c r="HC55" s="520"/>
      <c r="HD55" s="520"/>
      <c r="HE55" s="520"/>
      <c r="HF55" s="520"/>
      <c r="HG55" s="520"/>
      <c r="HH55" s="520"/>
      <c r="HI55" s="520"/>
      <c r="HJ55" s="520"/>
      <c r="HK55" s="520"/>
      <c r="HL55" s="520"/>
      <c r="HM55" s="520"/>
      <c r="HN55" s="520"/>
      <c r="HO55" s="520"/>
      <c r="HP55" s="520"/>
      <c r="HQ55" s="520"/>
      <c r="HR55" s="520"/>
      <c r="HS55" s="520"/>
      <c r="HT55" s="520"/>
      <c r="HU55" s="520"/>
      <c r="HV55" s="520"/>
      <c r="HW55" s="520"/>
      <c r="HX55" s="520"/>
      <c r="HY55" s="520"/>
      <c r="HZ55" s="520"/>
      <c r="IA55" s="520"/>
      <c r="IB55" s="520"/>
      <c r="IC55" s="520"/>
      <c r="ID55" s="520"/>
      <c r="IE55" s="520"/>
      <c r="IF55" s="520"/>
      <c r="IG55" s="520"/>
      <c r="IH55" s="520"/>
      <c r="II55" s="520"/>
      <c r="IJ55" s="520"/>
      <c r="IK55" s="520"/>
      <c r="IL55" s="520"/>
      <c r="IM55" s="520"/>
      <c r="IN55" s="520"/>
      <c r="IO55" s="520"/>
      <c r="IP55" s="520"/>
      <c r="IQ55" s="520"/>
      <c r="IR55" s="520"/>
      <c r="IS55" s="520"/>
      <c r="IT55" s="520"/>
      <c r="IU55" s="520"/>
      <c r="IV55" s="520"/>
    </row>
    <row r="56" spans="1:256" ht="21" customHeight="1">
      <c r="A56" s="521"/>
      <c r="B56" s="375" t="s">
        <v>4795</v>
      </c>
      <c r="C56" s="523">
        <v>-1</v>
      </c>
      <c r="D56" s="523" t="s">
        <v>4377</v>
      </c>
      <c r="E56" s="861">
        <v>1</v>
      </c>
      <c r="F56" s="524">
        <v>6.91</v>
      </c>
      <c r="G56" s="374">
        <v>0.6</v>
      </c>
      <c r="H56" s="374" t="s">
        <v>1288</v>
      </c>
      <c r="I56" s="525">
        <f>ROUND(PRODUCT(C56:H56),2)</f>
        <v>-4.1500000000000004</v>
      </c>
      <c r="J56" s="519"/>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c r="AS56" s="520"/>
      <c r="AT56" s="520"/>
      <c r="AU56" s="520"/>
      <c r="AV56" s="520"/>
      <c r="AW56" s="520"/>
      <c r="AX56" s="520"/>
      <c r="AY56" s="520"/>
      <c r="AZ56" s="520"/>
      <c r="BA56" s="520"/>
      <c r="BB56" s="520"/>
      <c r="BC56" s="520"/>
      <c r="BD56" s="520"/>
      <c r="BE56" s="520"/>
      <c r="BF56" s="520"/>
      <c r="BG56" s="520"/>
      <c r="BH56" s="520"/>
      <c r="BI56" s="520"/>
      <c r="BJ56" s="520"/>
      <c r="BK56" s="520"/>
      <c r="BL56" s="520"/>
      <c r="BM56" s="520"/>
      <c r="BN56" s="520"/>
      <c r="BO56" s="520"/>
      <c r="BP56" s="520"/>
      <c r="BQ56" s="520"/>
      <c r="BR56" s="520"/>
      <c r="BS56" s="520"/>
      <c r="BT56" s="520"/>
      <c r="BU56" s="520"/>
      <c r="BV56" s="520"/>
      <c r="BW56" s="520"/>
      <c r="BX56" s="520"/>
      <c r="BY56" s="520"/>
      <c r="BZ56" s="520"/>
      <c r="CA56" s="520"/>
      <c r="CB56" s="520"/>
      <c r="CC56" s="520"/>
      <c r="CD56" s="520"/>
      <c r="CE56" s="520"/>
      <c r="CF56" s="520"/>
      <c r="CG56" s="520"/>
      <c r="CH56" s="520"/>
      <c r="CI56" s="520"/>
      <c r="CJ56" s="520"/>
      <c r="CK56" s="520"/>
      <c r="CL56" s="520"/>
      <c r="CM56" s="520"/>
      <c r="CN56" s="520"/>
      <c r="CO56" s="520"/>
      <c r="CP56" s="520"/>
      <c r="CQ56" s="520"/>
      <c r="CR56" s="520"/>
      <c r="CS56" s="520"/>
      <c r="CT56" s="520"/>
      <c r="CU56" s="520"/>
      <c r="CV56" s="520"/>
      <c r="CW56" s="520"/>
      <c r="CX56" s="520"/>
      <c r="CY56" s="520"/>
      <c r="CZ56" s="520"/>
      <c r="DA56" s="520"/>
      <c r="DB56" s="520"/>
      <c r="DC56" s="520"/>
      <c r="DD56" s="520"/>
      <c r="DE56" s="520"/>
      <c r="DF56" s="520"/>
      <c r="DG56" s="520"/>
      <c r="DH56" s="520"/>
      <c r="DI56" s="520"/>
      <c r="DJ56" s="520"/>
      <c r="DK56" s="520"/>
      <c r="DL56" s="520"/>
      <c r="DM56" s="520"/>
      <c r="DN56" s="520"/>
      <c r="DO56" s="520"/>
      <c r="DP56" s="520"/>
      <c r="DQ56" s="520"/>
      <c r="DR56" s="520"/>
      <c r="DS56" s="520"/>
      <c r="DT56" s="520"/>
      <c r="DU56" s="520"/>
      <c r="DV56" s="520"/>
      <c r="DW56" s="520"/>
      <c r="DX56" s="520"/>
      <c r="DY56" s="520"/>
      <c r="DZ56" s="520"/>
      <c r="EA56" s="520"/>
      <c r="EB56" s="520"/>
      <c r="EC56" s="520"/>
      <c r="ED56" s="520"/>
      <c r="EE56" s="520"/>
      <c r="EF56" s="520"/>
      <c r="EG56" s="520"/>
      <c r="EH56" s="520"/>
      <c r="EI56" s="520"/>
      <c r="EJ56" s="520"/>
      <c r="EK56" s="520"/>
      <c r="EL56" s="520"/>
      <c r="EM56" s="520"/>
      <c r="EN56" s="520"/>
      <c r="EO56" s="520"/>
      <c r="EP56" s="520"/>
      <c r="EQ56" s="520"/>
      <c r="ER56" s="520"/>
      <c r="ES56" s="520"/>
      <c r="ET56" s="520"/>
      <c r="EU56" s="520"/>
      <c r="EV56" s="520"/>
      <c r="EW56" s="520"/>
      <c r="EX56" s="520"/>
      <c r="EY56" s="520"/>
      <c r="EZ56" s="520"/>
      <c r="FA56" s="520"/>
      <c r="FB56" s="520"/>
      <c r="FC56" s="520"/>
      <c r="FD56" s="520"/>
      <c r="FE56" s="520"/>
      <c r="FF56" s="520"/>
      <c r="FG56" s="520"/>
      <c r="FH56" s="520"/>
      <c r="FI56" s="520"/>
      <c r="FJ56" s="520"/>
      <c r="FK56" s="520"/>
      <c r="FL56" s="520"/>
      <c r="FM56" s="520"/>
      <c r="FN56" s="520"/>
      <c r="FO56" s="520"/>
      <c r="FP56" s="520"/>
      <c r="FQ56" s="520"/>
      <c r="FR56" s="520"/>
      <c r="FS56" s="520"/>
      <c r="FT56" s="520"/>
      <c r="FU56" s="520"/>
      <c r="FV56" s="520"/>
      <c r="FW56" s="520"/>
      <c r="FX56" s="520"/>
      <c r="FY56" s="520"/>
      <c r="FZ56" s="520"/>
      <c r="GA56" s="520"/>
      <c r="GB56" s="520"/>
      <c r="GC56" s="520"/>
      <c r="GD56" s="520"/>
      <c r="GE56" s="520"/>
      <c r="GF56" s="520"/>
      <c r="GG56" s="520"/>
      <c r="GH56" s="520"/>
      <c r="GI56" s="520"/>
      <c r="GJ56" s="520"/>
      <c r="GK56" s="520"/>
      <c r="GL56" s="520"/>
      <c r="GM56" s="520"/>
      <c r="GN56" s="520"/>
      <c r="GO56" s="520"/>
      <c r="GP56" s="520"/>
      <c r="GQ56" s="520"/>
      <c r="GR56" s="520"/>
      <c r="GS56" s="520"/>
      <c r="GT56" s="520"/>
      <c r="GU56" s="520"/>
      <c r="GV56" s="520"/>
      <c r="GW56" s="520"/>
      <c r="GX56" s="520"/>
      <c r="GY56" s="520"/>
      <c r="GZ56" s="520"/>
      <c r="HA56" s="520"/>
      <c r="HB56" s="520"/>
      <c r="HC56" s="520"/>
      <c r="HD56" s="520"/>
      <c r="HE56" s="520"/>
      <c r="HF56" s="520"/>
      <c r="HG56" s="520"/>
      <c r="HH56" s="520"/>
      <c r="HI56" s="520"/>
      <c r="HJ56" s="520"/>
      <c r="HK56" s="520"/>
      <c r="HL56" s="520"/>
      <c r="HM56" s="520"/>
      <c r="HN56" s="520"/>
      <c r="HO56" s="520"/>
      <c r="HP56" s="520"/>
      <c r="HQ56" s="520"/>
      <c r="HR56" s="520"/>
      <c r="HS56" s="520"/>
      <c r="HT56" s="520"/>
      <c r="HU56" s="520"/>
      <c r="HV56" s="520"/>
      <c r="HW56" s="520"/>
      <c r="HX56" s="520"/>
      <c r="HY56" s="520"/>
      <c r="HZ56" s="520"/>
      <c r="IA56" s="520"/>
      <c r="IB56" s="520"/>
      <c r="IC56" s="520"/>
      <c r="ID56" s="520"/>
      <c r="IE56" s="520"/>
      <c r="IF56" s="520"/>
      <c r="IG56" s="520"/>
      <c r="IH56" s="520"/>
      <c r="II56" s="520"/>
      <c r="IJ56" s="520"/>
      <c r="IK56" s="520"/>
      <c r="IL56" s="520"/>
      <c r="IM56" s="520"/>
      <c r="IN56" s="520"/>
      <c r="IO56" s="520"/>
      <c r="IP56" s="520"/>
      <c r="IQ56" s="520"/>
      <c r="IR56" s="520"/>
      <c r="IS56" s="520"/>
      <c r="IT56" s="520"/>
      <c r="IU56" s="520"/>
      <c r="IV56" s="520"/>
    </row>
    <row r="57" spans="1:256" ht="19.899999999999999" customHeight="1">
      <c r="A57" s="521"/>
      <c r="B57" s="375"/>
      <c r="C57" s="523"/>
      <c r="D57" s="523"/>
      <c r="E57" s="376"/>
      <c r="F57" s="374"/>
      <c r="G57" s="374"/>
      <c r="H57" s="388"/>
      <c r="I57" s="525">
        <v>0.03</v>
      </c>
      <c r="J57" s="519"/>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0"/>
      <c r="BN57" s="520"/>
      <c r="BO57" s="520"/>
      <c r="BP57" s="520"/>
      <c r="BQ57" s="520"/>
      <c r="BR57" s="520"/>
      <c r="BS57" s="520"/>
      <c r="BT57" s="520"/>
      <c r="BU57" s="520"/>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520"/>
      <c r="CZ57" s="520"/>
      <c r="DA57" s="520"/>
      <c r="DB57" s="520"/>
      <c r="DC57" s="520"/>
      <c r="DD57" s="520"/>
      <c r="DE57" s="520"/>
      <c r="DF57" s="520"/>
      <c r="DG57" s="520"/>
      <c r="DH57" s="520"/>
      <c r="DI57" s="520"/>
      <c r="DJ57" s="520"/>
      <c r="DK57" s="520"/>
      <c r="DL57" s="520"/>
      <c r="DM57" s="520"/>
      <c r="DN57" s="520"/>
      <c r="DO57" s="520"/>
      <c r="DP57" s="520"/>
      <c r="DQ57" s="520"/>
      <c r="DR57" s="520"/>
      <c r="DS57" s="520"/>
      <c r="DT57" s="520"/>
      <c r="DU57" s="520"/>
      <c r="DV57" s="520"/>
      <c r="DW57" s="520"/>
      <c r="DX57" s="520"/>
      <c r="DY57" s="520"/>
      <c r="DZ57" s="520"/>
      <c r="EA57" s="520"/>
      <c r="EB57" s="520"/>
      <c r="EC57" s="520"/>
      <c r="ED57" s="520"/>
      <c r="EE57" s="520"/>
      <c r="EF57" s="520"/>
      <c r="EG57" s="520"/>
      <c r="EH57" s="520"/>
      <c r="EI57" s="520"/>
      <c r="EJ57" s="520"/>
      <c r="EK57" s="520"/>
      <c r="EL57" s="520"/>
      <c r="EM57" s="520"/>
      <c r="EN57" s="520"/>
      <c r="EO57" s="520"/>
      <c r="EP57" s="520"/>
      <c r="EQ57" s="520"/>
      <c r="ER57" s="520"/>
      <c r="ES57" s="520"/>
      <c r="ET57" s="520"/>
      <c r="EU57" s="520"/>
      <c r="EV57" s="520"/>
      <c r="EW57" s="520"/>
      <c r="EX57" s="520"/>
      <c r="EY57" s="520"/>
      <c r="EZ57" s="520"/>
      <c r="FA57" s="520"/>
      <c r="FB57" s="520"/>
      <c r="FC57" s="520"/>
      <c r="FD57" s="520"/>
      <c r="FE57" s="520"/>
      <c r="FF57" s="520"/>
      <c r="FG57" s="520"/>
      <c r="FH57" s="520"/>
      <c r="FI57" s="520"/>
      <c r="FJ57" s="520"/>
      <c r="FK57" s="520"/>
      <c r="FL57" s="520"/>
      <c r="FM57" s="520"/>
      <c r="FN57" s="520"/>
      <c r="FO57" s="520"/>
      <c r="FP57" s="520"/>
      <c r="FQ57" s="520"/>
      <c r="FR57" s="520"/>
      <c r="FS57" s="520"/>
      <c r="FT57" s="520"/>
      <c r="FU57" s="520"/>
      <c r="FV57" s="520"/>
      <c r="FW57" s="520"/>
      <c r="FX57" s="520"/>
      <c r="FY57" s="520"/>
      <c r="FZ57" s="520"/>
      <c r="GA57" s="520"/>
      <c r="GB57" s="520"/>
      <c r="GC57" s="520"/>
      <c r="GD57" s="520"/>
      <c r="GE57" s="520"/>
      <c r="GF57" s="520"/>
      <c r="GG57" s="520"/>
      <c r="GH57" s="520"/>
      <c r="GI57" s="520"/>
      <c r="GJ57" s="520"/>
      <c r="GK57" s="520"/>
      <c r="GL57" s="520"/>
      <c r="GM57" s="520"/>
      <c r="GN57" s="520"/>
      <c r="GO57" s="520"/>
      <c r="GP57" s="520"/>
      <c r="GQ57" s="520"/>
      <c r="GR57" s="520"/>
      <c r="GS57" s="520"/>
      <c r="GT57" s="520"/>
      <c r="GU57" s="520"/>
      <c r="GV57" s="520"/>
      <c r="GW57" s="520"/>
      <c r="GX57" s="520"/>
      <c r="GY57" s="520"/>
      <c r="GZ57" s="520"/>
      <c r="HA57" s="520"/>
      <c r="HB57" s="520"/>
      <c r="HC57" s="520"/>
      <c r="HD57" s="520"/>
      <c r="HE57" s="520"/>
      <c r="HF57" s="520"/>
      <c r="HG57" s="520"/>
      <c r="HH57" s="520"/>
      <c r="HI57" s="520"/>
      <c r="HJ57" s="520"/>
      <c r="HK57" s="520"/>
      <c r="HL57" s="520"/>
      <c r="HM57" s="520"/>
      <c r="HN57" s="520"/>
      <c r="HO57" s="520"/>
      <c r="HP57" s="520"/>
      <c r="HQ57" s="520"/>
      <c r="HR57" s="520"/>
      <c r="HS57" s="520"/>
      <c r="HT57" s="520"/>
      <c r="HU57" s="520"/>
      <c r="HV57" s="520"/>
      <c r="HW57" s="520"/>
      <c r="HX57" s="520"/>
      <c r="HY57" s="520"/>
      <c r="HZ57" s="520"/>
      <c r="IA57" s="520"/>
      <c r="IB57" s="520"/>
      <c r="IC57" s="520"/>
      <c r="ID57" s="520"/>
      <c r="IE57" s="520"/>
      <c r="IF57" s="520"/>
      <c r="IG57" s="520"/>
      <c r="IH57" s="520"/>
      <c r="II57" s="520"/>
      <c r="IJ57" s="520"/>
      <c r="IK57" s="520"/>
      <c r="IL57" s="520"/>
      <c r="IM57" s="520"/>
      <c r="IN57" s="520"/>
      <c r="IO57" s="520"/>
      <c r="IP57" s="520"/>
      <c r="IQ57" s="520"/>
      <c r="IR57" s="520"/>
      <c r="IS57" s="520"/>
      <c r="IT57" s="520"/>
      <c r="IU57" s="520"/>
      <c r="IV57" s="520"/>
    </row>
    <row r="58" spans="1:256" ht="19.899999999999999" customHeight="1">
      <c r="A58" s="521"/>
      <c r="B58" s="375"/>
      <c r="C58" s="523"/>
      <c r="D58" s="523"/>
      <c r="E58" s="376"/>
      <c r="F58" s="374"/>
      <c r="G58" s="374"/>
      <c r="H58" s="390" t="s">
        <v>2560</v>
      </c>
      <c r="I58" s="530">
        <f>SUM(I55:I57)</f>
        <v>29.6</v>
      </c>
      <c r="J58" s="519" t="s">
        <v>1861</v>
      </c>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c r="AS58" s="520"/>
      <c r="AT58" s="520"/>
      <c r="AU58" s="520"/>
      <c r="AV58" s="520"/>
      <c r="AW58" s="520"/>
      <c r="AX58" s="520"/>
      <c r="AY58" s="520"/>
      <c r="AZ58" s="520"/>
      <c r="BA58" s="520"/>
      <c r="BB58" s="520"/>
      <c r="BC58" s="520"/>
      <c r="BD58" s="520"/>
      <c r="BE58" s="520"/>
      <c r="BF58" s="520"/>
      <c r="BG58" s="520"/>
      <c r="BH58" s="520"/>
      <c r="BI58" s="520"/>
      <c r="BJ58" s="520"/>
      <c r="BK58" s="520"/>
      <c r="BL58" s="520"/>
      <c r="BM58" s="520"/>
      <c r="BN58" s="520"/>
      <c r="BO58" s="520"/>
      <c r="BP58" s="520"/>
      <c r="BQ58" s="520"/>
      <c r="BR58" s="520"/>
      <c r="BS58" s="520"/>
      <c r="BT58" s="520"/>
      <c r="BU58" s="520"/>
      <c r="BV58" s="520"/>
      <c r="BW58" s="520"/>
      <c r="BX58" s="520"/>
      <c r="BY58" s="520"/>
      <c r="BZ58" s="520"/>
      <c r="CA58" s="520"/>
      <c r="CB58" s="520"/>
      <c r="CC58" s="520"/>
      <c r="CD58" s="520"/>
      <c r="CE58" s="520"/>
      <c r="CF58" s="520"/>
      <c r="CG58" s="520"/>
      <c r="CH58" s="520"/>
      <c r="CI58" s="520"/>
      <c r="CJ58" s="520"/>
      <c r="CK58" s="520"/>
      <c r="CL58" s="520"/>
      <c r="CM58" s="520"/>
      <c r="CN58" s="520"/>
      <c r="CO58" s="520"/>
      <c r="CP58" s="520"/>
      <c r="CQ58" s="520"/>
      <c r="CR58" s="520"/>
      <c r="CS58" s="520"/>
      <c r="CT58" s="520"/>
      <c r="CU58" s="520"/>
      <c r="CV58" s="520"/>
      <c r="CW58" s="520"/>
      <c r="CX58" s="520"/>
      <c r="CY58" s="520"/>
      <c r="CZ58" s="520"/>
      <c r="DA58" s="520"/>
      <c r="DB58" s="520"/>
      <c r="DC58" s="520"/>
      <c r="DD58" s="520"/>
      <c r="DE58" s="520"/>
      <c r="DF58" s="520"/>
      <c r="DG58" s="520"/>
      <c r="DH58" s="520"/>
      <c r="DI58" s="520"/>
      <c r="DJ58" s="520"/>
      <c r="DK58" s="520"/>
      <c r="DL58" s="520"/>
      <c r="DM58" s="520"/>
      <c r="DN58" s="520"/>
      <c r="DO58" s="520"/>
      <c r="DP58" s="520"/>
      <c r="DQ58" s="520"/>
      <c r="DR58" s="520"/>
      <c r="DS58" s="520"/>
      <c r="DT58" s="520"/>
      <c r="DU58" s="520"/>
      <c r="DV58" s="520"/>
      <c r="DW58" s="520"/>
      <c r="DX58" s="520"/>
      <c r="DY58" s="520"/>
      <c r="DZ58" s="520"/>
      <c r="EA58" s="520"/>
      <c r="EB58" s="520"/>
      <c r="EC58" s="520"/>
      <c r="ED58" s="520"/>
      <c r="EE58" s="520"/>
      <c r="EF58" s="520"/>
      <c r="EG58" s="520"/>
      <c r="EH58" s="520"/>
      <c r="EI58" s="520"/>
      <c r="EJ58" s="520"/>
      <c r="EK58" s="520"/>
      <c r="EL58" s="520"/>
      <c r="EM58" s="520"/>
      <c r="EN58" s="520"/>
      <c r="EO58" s="520"/>
      <c r="EP58" s="520"/>
      <c r="EQ58" s="520"/>
      <c r="ER58" s="520"/>
      <c r="ES58" s="520"/>
      <c r="ET58" s="520"/>
      <c r="EU58" s="520"/>
      <c r="EV58" s="520"/>
      <c r="EW58" s="520"/>
      <c r="EX58" s="520"/>
      <c r="EY58" s="520"/>
      <c r="EZ58" s="520"/>
      <c r="FA58" s="520"/>
      <c r="FB58" s="520"/>
      <c r="FC58" s="520"/>
      <c r="FD58" s="520"/>
      <c r="FE58" s="520"/>
      <c r="FF58" s="520"/>
      <c r="FG58" s="520"/>
      <c r="FH58" s="520"/>
      <c r="FI58" s="520"/>
      <c r="FJ58" s="520"/>
      <c r="FK58" s="520"/>
      <c r="FL58" s="520"/>
      <c r="FM58" s="520"/>
      <c r="FN58" s="520"/>
      <c r="FO58" s="520"/>
      <c r="FP58" s="520"/>
      <c r="FQ58" s="520"/>
      <c r="FR58" s="520"/>
      <c r="FS58" s="520"/>
      <c r="FT58" s="520"/>
      <c r="FU58" s="520"/>
      <c r="FV58" s="520"/>
      <c r="FW58" s="520"/>
      <c r="FX58" s="520"/>
      <c r="FY58" s="520"/>
      <c r="FZ58" s="520"/>
      <c r="GA58" s="520"/>
      <c r="GB58" s="520"/>
      <c r="GC58" s="520"/>
      <c r="GD58" s="520"/>
      <c r="GE58" s="520"/>
      <c r="GF58" s="520"/>
      <c r="GG58" s="520"/>
      <c r="GH58" s="520"/>
      <c r="GI58" s="520"/>
      <c r="GJ58" s="520"/>
      <c r="GK58" s="520"/>
      <c r="GL58" s="520"/>
      <c r="GM58" s="520"/>
      <c r="GN58" s="520"/>
      <c r="GO58" s="520"/>
      <c r="GP58" s="520"/>
      <c r="GQ58" s="520"/>
      <c r="GR58" s="520"/>
      <c r="GS58" s="520"/>
      <c r="GT58" s="520"/>
      <c r="GU58" s="520"/>
      <c r="GV58" s="520"/>
      <c r="GW58" s="520"/>
      <c r="GX58" s="520"/>
      <c r="GY58" s="520"/>
      <c r="GZ58" s="520"/>
      <c r="HA58" s="520"/>
      <c r="HB58" s="520"/>
      <c r="HC58" s="520"/>
      <c r="HD58" s="520"/>
      <c r="HE58" s="520"/>
      <c r="HF58" s="520"/>
      <c r="HG58" s="520"/>
      <c r="HH58" s="520"/>
      <c r="HI58" s="520"/>
      <c r="HJ58" s="520"/>
      <c r="HK58" s="520"/>
      <c r="HL58" s="520"/>
      <c r="HM58" s="520"/>
      <c r="HN58" s="520"/>
      <c r="HO58" s="520"/>
      <c r="HP58" s="520"/>
      <c r="HQ58" s="520"/>
      <c r="HR58" s="520"/>
      <c r="HS58" s="520"/>
      <c r="HT58" s="520"/>
      <c r="HU58" s="520"/>
      <c r="HV58" s="520"/>
      <c r="HW58" s="520"/>
      <c r="HX58" s="520"/>
      <c r="HY58" s="520"/>
      <c r="HZ58" s="520"/>
      <c r="IA58" s="520"/>
      <c r="IB58" s="520"/>
      <c r="IC58" s="520"/>
      <c r="ID58" s="520"/>
      <c r="IE58" s="520"/>
      <c r="IF58" s="520"/>
      <c r="IG58" s="520"/>
      <c r="IH58" s="520"/>
      <c r="II58" s="520"/>
      <c r="IJ58" s="520"/>
      <c r="IK58" s="520"/>
      <c r="IL58" s="520"/>
      <c r="IM58" s="520"/>
      <c r="IN58" s="520"/>
      <c r="IO58" s="520"/>
      <c r="IP58" s="520"/>
      <c r="IQ58" s="520"/>
      <c r="IR58" s="520"/>
      <c r="IS58" s="520"/>
      <c r="IT58" s="520"/>
      <c r="IU58" s="520"/>
      <c r="IV58" s="520"/>
    </row>
    <row r="59" spans="1:256" ht="19.899999999999999" customHeight="1">
      <c r="A59" s="526"/>
      <c r="B59" s="527"/>
      <c r="C59" s="528"/>
      <c r="D59" s="528"/>
      <c r="E59" s="528"/>
      <c r="F59" s="529"/>
      <c r="G59" s="530"/>
      <c r="H59" s="530"/>
      <c r="I59" s="530"/>
      <c r="J59" s="531"/>
    </row>
    <row r="60" spans="1:256" ht="19.899999999999999" customHeight="1">
      <c r="A60" s="518" t="s">
        <v>3518</v>
      </c>
      <c r="B60" s="867" t="s">
        <v>4798</v>
      </c>
      <c r="C60" s="523"/>
      <c r="D60" s="523"/>
      <c r="E60" s="868"/>
      <c r="F60" s="374"/>
      <c r="G60" s="374"/>
      <c r="H60" s="374"/>
      <c r="I60" s="374"/>
      <c r="J60" s="532"/>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c r="AS60" s="520"/>
      <c r="AT60" s="520"/>
      <c r="AU60" s="520"/>
      <c r="AV60" s="520"/>
      <c r="AW60" s="520"/>
      <c r="AX60" s="520"/>
      <c r="AY60" s="520"/>
      <c r="AZ60" s="520"/>
      <c r="BA60" s="520"/>
      <c r="BB60" s="520"/>
      <c r="BC60" s="520"/>
      <c r="BD60" s="520"/>
      <c r="BE60" s="520"/>
      <c r="BF60" s="520"/>
      <c r="BG60" s="520"/>
      <c r="BH60" s="520"/>
      <c r="BI60" s="520"/>
      <c r="BJ60" s="520"/>
      <c r="BK60" s="520"/>
      <c r="BL60" s="520"/>
      <c r="BM60" s="520"/>
      <c r="BN60" s="520"/>
      <c r="BO60" s="520"/>
      <c r="BP60" s="520"/>
      <c r="BQ60" s="520"/>
      <c r="BR60" s="520"/>
      <c r="BS60" s="520"/>
      <c r="BT60" s="520"/>
      <c r="BU60" s="520"/>
      <c r="BV60" s="520"/>
      <c r="BW60" s="520"/>
      <c r="BX60" s="520"/>
      <c r="BY60" s="520"/>
      <c r="BZ60" s="520"/>
      <c r="CA60" s="520"/>
      <c r="CB60" s="520"/>
      <c r="CC60" s="520"/>
      <c r="CD60" s="520"/>
      <c r="CE60" s="520"/>
      <c r="CF60" s="520"/>
      <c r="CG60" s="520"/>
      <c r="CH60" s="520"/>
      <c r="CI60" s="520"/>
      <c r="CJ60" s="520"/>
      <c r="CK60" s="520"/>
      <c r="CL60" s="520"/>
      <c r="CM60" s="520"/>
      <c r="CN60" s="520"/>
      <c r="CO60" s="520"/>
      <c r="CP60" s="520"/>
      <c r="CQ60" s="520"/>
      <c r="CR60" s="520"/>
      <c r="CS60" s="520"/>
      <c r="CT60" s="520"/>
      <c r="CU60" s="520"/>
      <c r="CV60" s="520"/>
      <c r="CW60" s="520"/>
      <c r="CX60" s="520"/>
      <c r="CY60" s="520"/>
      <c r="CZ60" s="520"/>
      <c r="DA60" s="520"/>
      <c r="DB60" s="520"/>
      <c r="DC60" s="520"/>
      <c r="DD60" s="520"/>
      <c r="DE60" s="520"/>
      <c r="DF60" s="520"/>
      <c r="DG60" s="520"/>
      <c r="DH60" s="520"/>
      <c r="DI60" s="520"/>
      <c r="DJ60" s="520"/>
      <c r="DK60" s="520"/>
      <c r="DL60" s="520"/>
      <c r="DM60" s="520"/>
      <c r="DN60" s="520"/>
      <c r="DO60" s="520"/>
      <c r="DP60" s="520"/>
      <c r="DQ60" s="520"/>
      <c r="DR60" s="520"/>
      <c r="DS60" s="520"/>
      <c r="DT60" s="520"/>
      <c r="DU60" s="520"/>
      <c r="DV60" s="520"/>
      <c r="DW60" s="520"/>
      <c r="DX60" s="520"/>
      <c r="DY60" s="520"/>
      <c r="DZ60" s="520"/>
      <c r="EA60" s="520"/>
      <c r="EB60" s="520"/>
      <c r="EC60" s="520"/>
      <c r="ED60" s="520"/>
      <c r="EE60" s="520"/>
      <c r="EF60" s="520"/>
      <c r="EG60" s="520"/>
      <c r="EH60" s="520"/>
      <c r="EI60" s="520"/>
      <c r="EJ60" s="520"/>
      <c r="EK60" s="520"/>
      <c r="EL60" s="520"/>
      <c r="EM60" s="520"/>
      <c r="EN60" s="520"/>
      <c r="EO60" s="520"/>
      <c r="EP60" s="520"/>
      <c r="EQ60" s="520"/>
      <c r="ER60" s="520"/>
      <c r="ES60" s="520"/>
      <c r="ET60" s="520"/>
      <c r="EU60" s="520"/>
      <c r="EV60" s="520"/>
      <c r="EW60" s="520"/>
      <c r="EX60" s="520"/>
      <c r="EY60" s="520"/>
      <c r="EZ60" s="520"/>
      <c r="FA60" s="520"/>
      <c r="FB60" s="520"/>
      <c r="FC60" s="520"/>
      <c r="FD60" s="520"/>
      <c r="FE60" s="520"/>
      <c r="FF60" s="520"/>
      <c r="FG60" s="520"/>
      <c r="FH60" s="520"/>
      <c r="FI60" s="520"/>
      <c r="FJ60" s="520"/>
      <c r="FK60" s="520"/>
      <c r="FL60" s="520"/>
      <c r="FM60" s="520"/>
      <c r="FN60" s="520"/>
      <c r="FO60" s="520"/>
      <c r="FP60" s="520"/>
      <c r="FQ60" s="520"/>
      <c r="FR60" s="520"/>
      <c r="FS60" s="520"/>
      <c r="FT60" s="520"/>
      <c r="FU60" s="520"/>
      <c r="FV60" s="520"/>
      <c r="FW60" s="520"/>
      <c r="FX60" s="520"/>
      <c r="FY60" s="520"/>
      <c r="FZ60" s="520"/>
      <c r="GA60" s="520"/>
      <c r="GB60" s="520"/>
      <c r="GC60" s="520"/>
      <c r="GD60" s="520"/>
      <c r="GE60" s="520"/>
      <c r="GF60" s="520"/>
      <c r="GG60" s="520"/>
      <c r="GH60" s="520"/>
      <c r="GI60" s="520"/>
      <c r="GJ60" s="520"/>
      <c r="GK60" s="520"/>
      <c r="GL60" s="520"/>
      <c r="GM60" s="520"/>
      <c r="GN60" s="520"/>
      <c r="GO60" s="520"/>
      <c r="GP60" s="520"/>
      <c r="GQ60" s="520"/>
      <c r="GR60" s="520"/>
      <c r="GS60" s="520"/>
      <c r="GT60" s="520"/>
      <c r="GU60" s="520"/>
      <c r="GV60" s="520"/>
      <c r="GW60" s="520"/>
      <c r="GX60" s="520"/>
      <c r="GY60" s="520"/>
      <c r="GZ60" s="520"/>
      <c r="HA60" s="520"/>
      <c r="HB60" s="520"/>
      <c r="HC60" s="520"/>
      <c r="HD60" s="520"/>
      <c r="HE60" s="520"/>
      <c r="HF60" s="520"/>
      <c r="HG60" s="520"/>
      <c r="HH60" s="520"/>
      <c r="HI60" s="520"/>
      <c r="HJ60" s="520"/>
      <c r="HK60" s="520"/>
      <c r="HL60" s="520"/>
      <c r="HM60" s="520"/>
      <c r="HN60" s="520"/>
      <c r="HO60" s="520"/>
      <c r="HP60" s="520"/>
      <c r="HQ60" s="520"/>
      <c r="HR60" s="520"/>
      <c r="HS60" s="520"/>
      <c r="HT60" s="520"/>
      <c r="HU60" s="520"/>
      <c r="HV60" s="520"/>
      <c r="HW60" s="520"/>
      <c r="HX60" s="520"/>
      <c r="HY60" s="520"/>
      <c r="HZ60" s="520"/>
      <c r="IA60" s="520"/>
      <c r="IB60" s="520"/>
      <c r="IC60" s="520"/>
      <c r="ID60" s="520"/>
      <c r="IE60" s="520"/>
      <c r="IF60" s="520"/>
      <c r="IG60" s="520"/>
      <c r="IH60" s="520"/>
      <c r="II60" s="520"/>
      <c r="IJ60" s="520"/>
      <c r="IK60" s="520"/>
      <c r="IL60" s="520"/>
      <c r="IM60" s="520"/>
      <c r="IN60" s="520"/>
      <c r="IO60" s="520"/>
      <c r="IP60" s="520"/>
      <c r="IQ60" s="520"/>
      <c r="IR60" s="520"/>
      <c r="IS60" s="520"/>
      <c r="IT60" s="520"/>
      <c r="IU60" s="520"/>
      <c r="IV60" s="520"/>
    </row>
    <row r="61" spans="1:256" ht="19.899999999999999" customHeight="1">
      <c r="A61" s="521"/>
      <c r="B61" s="522" t="str">
        <f>B54</f>
        <v>For Urban Police Station</v>
      </c>
      <c r="C61" s="372"/>
      <c r="D61" s="372"/>
      <c r="E61" s="868"/>
      <c r="F61" s="374"/>
      <c r="G61" s="374"/>
      <c r="H61" s="374"/>
      <c r="I61" s="374"/>
      <c r="J61" s="519"/>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c r="AS61" s="520"/>
      <c r="AT61" s="520"/>
      <c r="AU61" s="520"/>
      <c r="AV61" s="520"/>
      <c r="AW61" s="520"/>
      <c r="AX61" s="520"/>
      <c r="AY61" s="520"/>
      <c r="AZ61" s="520"/>
      <c r="BA61" s="520"/>
      <c r="BB61" s="520"/>
      <c r="BC61" s="520"/>
      <c r="BD61" s="520"/>
      <c r="BE61" s="520"/>
      <c r="BF61" s="520"/>
      <c r="BG61" s="520"/>
      <c r="BH61" s="520"/>
      <c r="BI61" s="520"/>
      <c r="BJ61" s="520"/>
      <c r="BK61" s="520"/>
      <c r="BL61" s="520"/>
      <c r="BM61" s="520"/>
      <c r="BN61" s="520"/>
      <c r="BO61" s="520"/>
      <c r="BP61" s="520"/>
      <c r="BQ61" s="520"/>
      <c r="BR61" s="520"/>
      <c r="BS61" s="520"/>
      <c r="BT61" s="520"/>
      <c r="BU61" s="520"/>
      <c r="BV61" s="520"/>
      <c r="BW61" s="520"/>
      <c r="BX61" s="520"/>
      <c r="BY61" s="520"/>
      <c r="BZ61" s="520"/>
      <c r="CA61" s="520"/>
      <c r="CB61" s="520"/>
      <c r="CC61" s="520"/>
      <c r="CD61" s="520"/>
      <c r="CE61" s="520"/>
      <c r="CF61" s="520"/>
      <c r="CG61" s="520"/>
      <c r="CH61" s="520"/>
      <c r="CI61" s="520"/>
      <c r="CJ61" s="520"/>
      <c r="CK61" s="520"/>
      <c r="CL61" s="520"/>
      <c r="CM61" s="520"/>
      <c r="CN61" s="520"/>
      <c r="CO61" s="520"/>
      <c r="CP61" s="520"/>
      <c r="CQ61" s="520"/>
      <c r="CR61" s="520"/>
      <c r="CS61" s="520"/>
      <c r="CT61" s="520"/>
      <c r="CU61" s="520"/>
      <c r="CV61" s="520"/>
      <c r="CW61" s="520"/>
      <c r="CX61" s="520"/>
      <c r="CY61" s="520"/>
      <c r="CZ61" s="520"/>
      <c r="DA61" s="520"/>
      <c r="DB61" s="520"/>
      <c r="DC61" s="520"/>
      <c r="DD61" s="520"/>
      <c r="DE61" s="520"/>
      <c r="DF61" s="520"/>
      <c r="DG61" s="520"/>
      <c r="DH61" s="520"/>
      <c r="DI61" s="520"/>
      <c r="DJ61" s="520"/>
      <c r="DK61" s="520"/>
      <c r="DL61" s="520"/>
      <c r="DM61" s="520"/>
      <c r="DN61" s="520"/>
      <c r="DO61" s="520"/>
      <c r="DP61" s="520"/>
      <c r="DQ61" s="520"/>
      <c r="DR61" s="520"/>
      <c r="DS61" s="520"/>
      <c r="DT61" s="520"/>
      <c r="DU61" s="520"/>
      <c r="DV61" s="520"/>
      <c r="DW61" s="520"/>
      <c r="DX61" s="520"/>
      <c r="DY61" s="520"/>
      <c r="DZ61" s="520"/>
      <c r="EA61" s="520"/>
      <c r="EB61" s="520"/>
      <c r="EC61" s="520"/>
      <c r="ED61" s="520"/>
      <c r="EE61" s="520"/>
      <c r="EF61" s="520"/>
      <c r="EG61" s="520"/>
      <c r="EH61" s="520"/>
      <c r="EI61" s="520"/>
      <c r="EJ61" s="520"/>
      <c r="EK61" s="520"/>
      <c r="EL61" s="520"/>
      <c r="EM61" s="520"/>
      <c r="EN61" s="520"/>
      <c r="EO61" s="520"/>
      <c r="EP61" s="520"/>
      <c r="EQ61" s="520"/>
      <c r="ER61" s="520"/>
      <c r="ES61" s="520"/>
      <c r="ET61" s="520"/>
      <c r="EU61" s="520"/>
      <c r="EV61" s="520"/>
      <c r="EW61" s="520"/>
      <c r="EX61" s="520"/>
      <c r="EY61" s="520"/>
      <c r="EZ61" s="520"/>
      <c r="FA61" s="520"/>
      <c r="FB61" s="520"/>
      <c r="FC61" s="520"/>
      <c r="FD61" s="520"/>
      <c r="FE61" s="520"/>
      <c r="FF61" s="520"/>
      <c r="FG61" s="520"/>
      <c r="FH61" s="520"/>
      <c r="FI61" s="520"/>
      <c r="FJ61" s="520"/>
      <c r="FK61" s="520"/>
      <c r="FL61" s="520"/>
      <c r="FM61" s="520"/>
      <c r="FN61" s="520"/>
      <c r="FO61" s="520"/>
      <c r="FP61" s="520"/>
      <c r="FQ61" s="520"/>
      <c r="FR61" s="520"/>
      <c r="FS61" s="520"/>
      <c r="FT61" s="520"/>
      <c r="FU61" s="520"/>
      <c r="FV61" s="520"/>
      <c r="FW61" s="520"/>
      <c r="FX61" s="520"/>
      <c r="FY61" s="520"/>
      <c r="FZ61" s="520"/>
      <c r="GA61" s="520"/>
      <c r="GB61" s="520"/>
      <c r="GC61" s="520"/>
      <c r="GD61" s="520"/>
      <c r="GE61" s="520"/>
      <c r="GF61" s="520"/>
      <c r="GG61" s="520"/>
      <c r="GH61" s="520"/>
      <c r="GI61" s="520"/>
      <c r="GJ61" s="520"/>
      <c r="GK61" s="520"/>
      <c r="GL61" s="520"/>
      <c r="GM61" s="520"/>
      <c r="GN61" s="520"/>
      <c r="GO61" s="520"/>
      <c r="GP61" s="520"/>
      <c r="GQ61" s="520"/>
      <c r="GR61" s="520"/>
      <c r="GS61" s="520"/>
      <c r="GT61" s="520"/>
      <c r="GU61" s="520"/>
      <c r="GV61" s="520"/>
      <c r="GW61" s="520"/>
      <c r="GX61" s="520"/>
      <c r="GY61" s="520"/>
      <c r="GZ61" s="520"/>
      <c r="HA61" s="520"/>
      <c r="HB61" s="520"/>
      <c r="HC61" s="520"/>
      <c r="HD61" s="520"/>
      <c r="HE61" s="520"/>
      <c r="HF61" s="520"/>
      <c r="HG61" s="520"/>
      <c r="HH61" s="520"/>
      <c r="HI61" s="520"/>
      <c r="HJ61" s="520"/>
      <c r="HK61" s="520"/>
      <c r="HL61" s="520"/>
      <c r="HM61" s="520"/>
      <c r="HN61" s="520"/>
      <c r="HO61" s="520"/>
      <c r="HP61" s="520"/>
      <c r="HQ61" s="520"/>
      <c r="HR61" s="520"/>
      <c r="HS61" s="520"/>
      <c r="HT61" s="520"/>
      <c r="HU61" s="520"/>
      <c r="HV61" s="520"/>
      <c r="HW61" s="520"/>
      <c r="HX61" s="520"/>
      <c r="HY61" s="520"/>
      <c r="HZ61" s="520"/>
      <c r="IA61" s="520"/>
      <c r="IB61" s="520"/>
      <c r="IC61" s="520"/>
      <c r="ID61" s="520"/>
      <c r="IE61" s="520"/>
      <c r="IF61" s="520"/>
      <c r="IG61" s="520"/>
      <c r="IH61" s="520"/>
      <c r="II61" s="520"/>
      <c r="IJ61" s="520"/>
      <c r="IK61" s="520"/>
      <c r="IL61" s="520"/>
      <c r="IM61" s="520"/>
      <c r="IN61" s="520"/>
      <c r="IO61" s="520"/>
      <c r="IP61" s="520"/>
      <c r="IQ61" s="520"/>
      <c r="IR61" s="520"/>
      <c r="IS61" s="520"/>
      <c r="IT61" s="520"/>
      <c r="IU61" s="520"/>
      <c r="IV61" s="520"/>
    </row>
    <row r="62" spans="1:256" ht="19.899999999999999" customHeight="1">
      <c r="A62" s="521"/>
      <c r="B62" s="375" t="s">
        <v>4376</v>
      </c>
      <c r="C62" s="523">
        <v>1</v>
      </c>
      <c r="D62" s="523" t="s">
        <v>4377</v>
      </c>
      <c r="E62" s="868">
        <v>1</v>
      </c>
      <c r="F62" s="374">
        <f>F55</f>
        <v>56.2</v>
      </c>
      <c r="G62" s="374">
        <v>0.38</v>
      </c>
      <c r="H62" s="374">
        <v>0.45</v>
      </c>
      <c r="I62" s="525">
        <f>ROUND(PRODUCT(C62:H62),2)</f>
        <v>9.61</v>
      </c>
      <c r="J62" s="519"/>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c r="AS62" s="520"/>
      <c r="AT62" s="520"/>
      <c r="AU62" s="520"/>
      <c r="AV62" s="520"/>
      <c r="AW62" s="520"/>
      <c r="AX62" s="520"/>
      <c r="AY62" s="520"/>
      <c r="AZ62" s="520"/>
      <c r="BA62" s="520"/>
      <c r="BB62" s="520"/>
      <c r="BC62" s="520"/>
      <c r="BD62" s="520"/>
      <c r="BE62" s="520"/>
      <c r="BF62" s="520"/>
      <c r="BG62" s="520"/>
      <c r="BH62" s="520"/>
      <c r="BI62" s="520"/>
      <c r="BJ62" s="520"/>
      <c r="BK62" s="520"/>
      <c r="BL62" s="520"/>
      <c r="BM62" s="520"/>
      <c r="BN62" s="520"/>
      <c r="BO62" s="520"/>
      <c r="BP62" s="520"/>
      <c r="BQ62" s="520"/>
      <c r="BR62" s="520"/>
      <c r="BS62" s="520"/>
      <c r="BT62" s="520"/>
      <c r="BU62" s="520"/>
      <c r="BV62" s="520"/>
      <c r="BW62" s="520"/>
      <c r="BX62" s="520"/>
      <c r="BY62" s="520"/>
      <c r="BZ62" s="520"/>
      <c r="CA62" s="520"/>
      <c r="CB62" s="520"/>
      <c r="CC62" s="520"/>
      <c r="CD62" s="520"/>
      <c r="CE62" s="520"/>
      <c r="CF62" s="520"/>
      <c r="CG62" s="520"/>
      <c r="CH62" s="520"/>
      <c r="CI62" s="520"/>
      <c r="CJ62" s="520"/>
      <c r="CK62" s="520"/>
      <c r="CL62" s="520"/>
      <c r="CM62" s="520"/>
      <c r="CN62" s="520"/>
      <c r="CO62" s="520"/>
      <c r="CP62" s="520"/>
      <c r="CQ62" s="520"/>
      <c r="CR62" s="520"/>
      <c r="CS62" s="520"/>
      <c r="CT62" s="520"/>
      <c r="CU62" s="520"/>
      <c r="CV62" s="520"/>
      <c r="CW62" s="520"/>
      <c r="CX62" s="520"/>
      <c r="CY62" s="520"/>
      <c r="CZ62" s="520"/>
      <c r="DA62" s="520"/>
      <c r="DB62" s="520"/>
      <c r="DC62" s="520"/>
      <c r="DD62" s="520"/>
      <c r="DE62" s="520"/>
      <c r="DF62" s="520"/>
      <c r="DG62" s="520"/>
      <c r="DH62" s="520"/>
      <c r="DI62" s="520"/>
      <c r="DJ62" s="520"/>
      <c r="DK62" s="520"/>
      <c r="DL62" s="520"/>
      <c r="DM62" s="520"/>
      <c r="DN62" s="520"/>
      <c r="DO62" s="520"/>
      <c r="DP62" s="520"/>
      <c r="DQ62" s="520"/>
      <c r="DR62" s="520"/>
      <c r="DS62" s="520"/>
      <c r="DT62" s="520"/>
      <c r="DU62" s="520"/>
      <c r="DV62" s="520"/>
      <c r="DW62" s="520"/>
      <c r="DX62" s="520"/>
      <c r="DY62" s="520"/>
      <c r="DZ62" s="520"/>
      <c r="EA62" s="520"/>
      <c r="EB62" s="520"/>
      <c r="EC62" s="520"/>
      <c r="ED62" s="520"/>
      <c r="EE62" s="520"/>
      <c r="EF62" s="520"/>
      <c r="EG62" s="520"/>
      <c r="EH62" s="520"/>
      <c r="EI62" s="520"/>
      <c r="EJ62" s="520"/>
      <c r="EK62" s="520"/>
      <c r="EL62" s="520"/>
      <c r="EM62" s="520"/>
      <c r="EN62" s="520"/>
      <c r="EO62" s="520"/>
      <c r="EP62" s="520"/>
      <c r="EQ62" s="520"/>
      <c r="ER62" s="520"/>
      <c r="ES62" s="520"/>
      <c r="ET62" s="520"/>
      <c r="EU62" s="520"/>
      <c r="EV62" s="520"/>
      <c r="EW62" s="520"/>
      <c r="EX62" s="520"/>
      <c r="EY62" s="520"/>
      <c r="EZ62" s="520"/>
      <c r="FA62" s="520"/>
      <c r="FB62" s="520"/>
      <c r="FC62" s="520"/>
      <c r="FD62" s="520"/>
      <c r="FE62" s="520"/>
      <c r="FF62" s="520"/>
      <c r="FG62" s="520"/>
      <c r="FH62" s="520"/>
      <c r="FI62" s="520"/>
      <c r="FJ62" s="520"/>
      <c r="FK62" s="520"/>
      <c r="FL62" s="520"/>
      <c r="FM62" s="520"/>
      <c r="FN62" s="520"/>
      <c r="FO62" s="520"/>
      <c r="FP62" s="520"/>
      <c r="FQ62" s="520"/>
      <c r="FR62" s="520"/>
      <c r="FS62" s="520"/>
      <c r="FT62" s="520"/>
      <c r="FU62" s="520"/>
      <c r="FV62" s="520"/>
      <c r="FW62" s="520"/>
      <c r="FX62" s="520"/>
      <c r="FY62" s="520"/>
      <c r="FZ62" s="520"/>
      <c r="GA62" s="520"/>
      <c r="GB62" s="520"/>
      <c r="GC62" s="520"/>
      <c r="GD62" s="520"/>
      <c r="GE62" s="520"/>
      <c r="GF62" s="520"/>
      <c r="GG62" s="520"/>
      <c r="GH62" s="520"/>
      <c r="GI62" s="520"/>
      <c r="GJ62" s="520"/>
      <c r="GK62" s="520"/>
      <c r="GL62" s="520"/>
      <c r="GM62" s="520"/>
      <c r="GN62" s="520"/>
      <c r="GO62" s="520"/>
      <c r="GP62" s="520"/>
      <c r="GQ62" s="520"/>
      <c r="GR62" s="520"/>
      <c r="GS62" s="520"/>
      <c r="GT62" s="520"/>
      <c r="GU62" s="520"/>
      <c r="GV62" s="520"/>
      <c r="GW62" s="520"/>
      <c r="GX62" s="520"/>
      <c r="GY62" s="520"/>
      <c r="GZ62" s="520"/>
      <c r="HA62" s="520"/>
      <c r="HB62" s="520"/>
      <c r="HC62" s="520"/>
      <c r="HD62" s="520"/>
      <c r="HE62" s="520"/>
      <c r="HF62" s="520"/>
      <c r="HG62" s="520"/>
      <c r="HH62" s="520"/>
      <c r="HI62" s="520"/>
      <c r="HJ62" s="520"/>
      <c r="HK62" s="520"/>
      <c r="HL62" s="520"/>
      <c r="HM62" s="520"/>
      <c r="HN62" s="520"/>
      <c r="HO62" s="520"/>
      <c r="HP62" s="520"/>
      <c r="HQ62" s="520"/>
      <c r="HR62" s="520"/>
      <c r="HS62" s="520"/>
      <c r="HT62" s="520"/>
      <c r="HU62" s="520"/>
      <c r="HV62" s="520"/>
      <c r="HW62" s="520"/>
      <c r="HX62" s="520"/>
      <c r="HY62" s="520"/>
      <c r="HZ62" s="520"/>
      <c r="IA62" s="520"/>
      <c r="IB62" s="520"/>
      <c r="IC62" s="520"/>
      <c r="ID62" s="520"/>
      <c r="IE62" s="520"/>
      <c r="IF62" s="520"/>
      <c r="IG62" s="520"/>
      <c r="IH62" s="520"/>
      <c r="II62" s="520"/>
      <c r="IJ62" s="520"/>
      <c r="IK62" s="520"/>
      <c r="IL62" s="520"/>
      <c r="IM62" s="520"/>
      <c r="IN62" s="520"/>
      <c r="IO62" s="520"/>
      <c r="IP62" s="520"/>
      <c r="IQ62" s="520"/>
      <c r="IR62" s="520"/>
      <c r="IS62" s="520"/>
      <c r="IT62" s="520"/>
      <c r="IU62" s="520"/>
      <c r="IV62" s="520"/>
    </row>
    <row r="63" spans="1:256" ht="19.899999999999999" customHeight="1">
      <c r="A63" s="521"/>
      <c r="B63" s="375" t="s">
        <v>4795</v>
      </c>
      <c r="C63" s="523">
        <v>-1</v>
      </c>
      <c r="D63" s="523" t="s">
        <v>4377</v>
      </c>
      <c r="E63" s="868">
        <v>1</v>
      </c>
      <c r="F63" s="374">
        <f>F56</f>
        <v>6.91</v>
      </c>
      <c r="G63" s="374">
        <v>0.38</v>
      </c>
      <c r="H63" s="374">
        <v>0.45</v>
      </c>
      <c r="I63" s="525">
        <f>ROUND(PRODUCT(C63:H63),2)</f>
        <v>-1.18</v>
      </c>
      <c r="J63" s="519"/>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c r="AS63" s="520"/>
      <c r="AT63" s="520"/>
      <c r="AU63" s="520"/>
      <c r="AV63" s="520"/>
      <c r="AW63" s="520"/>
      <c r="AX63" s="520"/>
      <c r="AY63" s="520"/>
      <c r="AZ63" s="520"/>
      <c r="BA63" s="520"/>
      <c r="BB63" s="520"/>
      <c r="BC63" s="520"/>
      <c r="BD63" s="520"/>
      <c r="BE63" s="520"/>
      <c r="BF63" s="520"/>
      <c r="BG63" s="520"/>
      <c r="BH63" s="520"/>
      <c r="BI63" s="520"/>
      <c r="BJ63" s="520"/>
      <c r="BK63" s="520"/>
      <c r="BL63" s="520"/>
      <c r="BM63" s="520"/>
      <c r="BN63" s="520"/>
      <c r="BO63" s="520"/>
      <c r="BP63" s="520"/>
      <c r="BQ63" s="520"/>
      <c r="BR63" s="520"/>
      <c r="BS63" s="520"/>
      <c r="BT63" s="520"/>
      <c r="BU63" s="520"/>
      <c r="BV63" s="520"/>
      <c r="BW63" s="520"/>
      <c r="BX63" s="520"/>
      <c r="BY63" s="520"/>
      <c r="BZ63" s="520"/>
      <c r="CA63" s="520"/>
      <c r="CB63" s="520"/>
      <c r="CC63" s="520"/>
      <c r="CD63" s="520"/>
      <c r="CE63" s="520"/>
      <c r="CF63" s="520"/>
      <c r="CG63" s="520"/>
      <c r="CH63" s="520"/>
      <c r="CI63" s="520"/>
      <c r="CJ63" s="520"/>
      <c r="CK63" s="520"/>
      <c r="CL63" s="520"/>
      <c r="CM63" s="520"/>
      <c r="CN63" s="520"/>
      <c r="CO63" s="520"/>
      <c r="CP63" s="520"/>
      <c r="CQ63" s="520"/>
      <c r="CR63" s="520"/>
      <c r="CS63" s="520"/>
      <c r="CT63" s="520"/>
      <c r="CU63" s="520"/>
      <c r="CV63" s="520"/>
      <c r="CW63" s="520"/>
      <c r="CX63" s="520"/>
      <c r="CY63" s="520"/>
      <c r="CZ63" s="520"/>
      <c r="DA63" s="520"/>
      <c r="DB63" s="520"/>
      <c r="DC63" s="520"/>
      <c r="DD63" s="520"/>
      <c r="DE63" s="520"/>
      <c r="DF63" s="520"/>
      <c r="DG63" s="520"/>
      <c r="DH63" s="520"/>
      <c r="DI63" s="520"/>
      <c r="DJ63" s="520"/>
      <c r="DK63" s="520"/>
      <c r="DL63" s="520"/>
      <c r="DM63" s="520"/>
      <c r="DN63" s="520"/>
      <c r="DO63" s="520"/>
      <c r="DP63" s="520"/>
      <c r="DQ63" s="520"/>
      <c r="DR63" s="520"/>
      <c r="DS63" s="520"/>
      <c r="DT63" s="520"/>
      <c r="DU63" s="520"/>
      <c r="DV63" s="520"/>
      <c r="DW63" s="520"/>
      <c r="DX63" s="520"/>
      <c r="DY63" s="520"/>
      <c r="DZ63" s="520"/>
      <c r="EA63" s="520"/>
      <c r="EB63" s="520"/>
      <c r="EC63" s="520"/>
      <c r="ED63" s="520"/>
      <c r="EE63" s="520"/>
      <c r="EF63" s="520"/>
      <c r="EG63" s="520"/>
      <c r="EH63" s="520"/>
      <c r="EI63" s="520"/>
      <c r="EJ63" s="520"/>
      <c r="EK63" s="520"/>
      <c r="EL63" s="520"/>
      <c r="EM63" s="520"/>
      <c r="EN63" s="520"/>
      <c r="EO63" s="520"/>
      <c r="EP63" s="520"/>
      <c r="EQ63" s="520"/>
      <c r="ER63" s="520"/>
      <c r="ES63" s="520"/>
      <c r="ET63" s="520"/>
      <c r="EU63" s="520"/>
      <c r="EV63" s="520"/>
      <c r="EW63" s="520"/>
      <c r="EX63" s="520"/>
      <c r="EY63" s="520"/>
      <c r="EZ63" s="520"/>
      <c r="FA63" s="520"/>
      <c r="FB63" s="520"/>
      <c r="FC63" s="520"/>
      <c r="FD63" s="520"/>
      <c r="FE63" s="520"/>
      <c r="FF63" s="520"/>
      <c r="FG63" s="520"/>
      <c r="FH63" s="520"/>
      <c r="FI63" s="520"/>
      <c r="FJ63" s="520"/>
      <c r="FK63" s="520"/>
      <c r="FL63" s="520"/>
      <c r="FM63" s="520"/>
      <c r="FN63" s="520"/>
      <c r="FO63" s="520"/>
      <c r="FP63" s="520"/>
      <c r="FQ63" s="520"/>
      <c r="FR63" s="520"/>
      <c r="FS63" s="520"/>
      <c r="FT63" s="520"/>
      <c r="FU63" s="520"/>
      <c r="FV63" s="520"/>
      <c r="FW63" s="520"/>
      <c r="FX63" s="520"/>
      <c r="FY63" s="520"/>
      <c r="FZ63" s="520"/>
      <c r="GA63" s="520"/>
      <c r="GB63" s="520"/>
      <c r="GC63" s="520"/>
      <c r="GD63" s="520"/>
      <c r="GE63" s="520"/>
      <c r="GF63" s="520"/>
      <c r="GG63" s="520"/>
      <c r="GH63" s="520"/>
      <c r="GI63" s="520"/>
      <c r="GJ63" s="520"/>
      <c r="GK63" s="520"/>
      <c r="GL63" s="520"/>
      <c r="GM63" s="520"/>
      <c r="GN63" s="520"/>
      <c r="GO63" s="520"/>
      <c r="GP63" s="520"/>
      <c r="GQ63" s="520"/>
      <c r="GR63" s="520"/>
      <c r="GS63" s="520"/>
      <c r="GT63" s="520"/>
      <c r="GU63" s="520"/>
      <c r="GV63" s="520"/>
      <c r="GW63" s="520"/>
      <c r="GX63" s="520"/>
      <c r="GY63" s="520"/>
      <c r="GZ63" s="520"/>
      <c r="HA63" s="520"/>
      <c r="HB63" s="520"/>
      <c r="HC63" s="520"/>
      <c r="HD63" s="520"/>
      <c r="HE63" s="520"/>
      <c r="HF63" s="520"/>
      <c r="HG63" s="520"/>
      <c r="HH63" s="520"/>
      <c r="HI63" s="520"/>
      <c r="HJ63" s="520"/>
      <c r="HK63" s="520"/>
      <c r="HL63" s="520"/>
      <c r="HM63" s="520"/>
      <c r="HN63" s="520"/>
      <c r="HO63" s="520"/>
      <c r="HP63" s="520"/>
      <c r="HQ63" s="520"/>
      <c r="HR63" s="520"/>
      <c r="HS63" s="520"/>
      <c r="HT63" s="520"/>
      <c r="HU63" s="520"/>
      <c r="HV63" s="520"/>
      <c r="HW63" s="520"/>
      <c r="HX63" s="520"/>
      <c r="HY63" s="520"/>
      <c r="HZ63" s="520"/>
      <c r="IA63" s="520"/>
      <c r="IB63" s="520"/>
      <c r="IC63" s="520"/>
      <c r="ID63" s="520"/>
      <c r="IE63" s="520"/>
      <c r="IF63" s="520"/>
      <c r="IG63" s="520"/>
      <c r="IH63" s="520"/>
      <c r="II63" s="520"/>
      <c r="IJ63" s="520"/>
      <c r="IK63" s="520"/>
      <c r="IL63" s="520"/>
      <c r="IM63" s="520"/>
      <c r="IN63" s="520"/>
      <c r="IO63" s="520"/>
      <c r="IP63" s="520"/>
      <c r="IQ63" s="520"/>
      <c r="IR63" s="520"/>
      <c r="IS63" s="520"/>
      <c r="IT63" s="520"/>
      <c r="IU63" s="520"/>
      <c r="IV63" s="520"/>
    </row>
    <row r="64" spans="1:256" ht="19.899999999999999" customHeight="1">
      <c r="A64" s="521"/>
      <c r="B64" s="375"/>
      <c r="C64" s="523"/>
      <c r="D64" s="523"/>
      <c r="E64" s="868"/>
      <c r="F64" s="374"/>
      <c r="G64" s="374"/>
      <c r="H64" s="374"/>
      <c r="I64" s="525">
        <v>7.0000000000000007E-2</v>
      </c>
      <c r="J64" s="519"/>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c r="AS64" s="520"/>
      <c r="AT64" s="520"/>
      <c r="AU64" s="520"/>
      <c r="AV64" s="520"/>
      <c r="AW64" s="520"/>
      <c r="AX64" s="520"/>
      <c r="AY64" s="520"/>
      <c r="AZ64" s="520"/>
      <c r="BA64" s="520"/>
      <c r="BB64" s="520"/>
      <c r="BC64" s="520"/>
      <c r="BD64" s="520"/>
      <c r="BE64" s="520"/>
      <c r="BF64" s="520"/>
      <c r="BG64" s="520"/>
      <c r="BH64" s="520"/>
      <c r="BI64" s="520"/>
      <c r="BJ64" s="520"/>
      <c r="BK64" s="520"/>
      <c r="BL64" s="520"/>
      <c r="BM64" s="520"/>
      <c r="BN64" s="520"/>
      <c r="BO64" s="520"/>
      <c r="BP64" s="520"/>
      <c r="BQ64" s="520"/>
      <c r="BR64" s="520"/>
      <c r="BS64" s="520"/>
      <c r="BT64" s="520"/>
      <c r="BU64" s="520"/>
      <c r="BV64" s="520"/>
      <c r="BW64" s="520"/>
      <c r="BX64" s="520"/>
      <c r="BY64" s="520"/>
      <c r="BZ64" s="520"/>
      <c r="CA64" s="520"/>
      <c r="CB64" s="520"/>
      <c r="CC64" s="520"/>
      <c r="CD64" s="520"/>
      <c r="CE64" s="520"/>
      <c r="CF64" s="520"/>
      <c r="CG64" s="520"/>
      <c r="CH64" s="520"/>
      <c r="CI64" s="520"/>
      <c r="CJ64" s="520"/>
      <c r="CK64" s="520"/>
      <c r="CL64" s="520"/>
      <c r="CM64" s="520"/>
      <c r="CN64" s="520"/>
      <c r="CO64" s="520"/>
      <c r="CP64" s="520"/>
      <c r="CQ64" s="520"/>
      <c r="CR64" s="520"/>
      <c r="CS64" s="520"/>
      <c r="CT64" s="520"/>
      <c r="CU64" s="520"/>
      <c r="CV64" s="520"/>
      <c r="CW64" s="520"/>
      <c r="CX64" s="520"/>
      <c r="CY64" s="520"/>
      <c r="CZ64" s="520"/>
      <c r="DA64" s="520"/>
      <c r="DB64" s="520"/>
      <c r="DC64" s="520"/>
      <c r="DD64" s="520"/>
      <c r="DE64" s="520"/>
      <c r="DF64" s="520"/>
      <c r="DG64" s="520"/>
      <c r="DH64" s="520"/>
      <c r="DI64" s="520"/>
      <c r="DJ64" s="520"/>
      <c r="DK64" s="520"/>
      <c r="DL64" s="520"/>
      <c r="DM64" s="520"/>
      <c r="DN64" s="520"/>
      <c r="DO64" s="520"/>
      <c r="DP64" s="520"/>
      <c r="DQ64" s="520"/>
      <c r="DR64" s="520"/>
      <c r="DS64" s="520"/>
      <c r="DT64" s="520"/>
      <c r="DU64" s="520"/>
      <c r="DV64" s="520"/>
      <c r="DW64" s="520"/>
      <c r="DX64" s="520"/>
      <c r="DY64" s="520"/>
      <c r="DZ64" s="520"/>
      <c r="EA64" s="520"/>
      <c r="EB64" s="520"/>
      <c r="EC64" s="520"/>
      <c r="ED64" s="520"/>
      <c r="EE64" s="520"/>
      <c r="EF64" s="520"/>
      <c r="EG64" s="520"/>
      <c r="EH64" s="520"/>
      <c r="EI64" s="520"/>
      <c r="EJ64" s="520"/>
      <c r="EK64" s="520"/>
      <c r="EL64" s="520"/>
      <c r="EM64" s="520"/>
      <c r="EN64" s="520"/>
      <c r="EO64" s="520"/>
      <c r="EP64" s="520"/>
      <c r="EQ64" s="520"/>
      <c r="ER64" s="520"/>
      <c r="ES64" s="520"/>
      <c r="ET64" s="520"/>
      <c r="EU64" s="520"/>
      <c r="EV64" s="520"/>
      <c r="EW64" s="520"/>
      <c r="EX64" s="520"/>
      <c r="EY64" s="520"/>
      <c r="EZ64" s="520"/>
      <c r="FA64" s="520"/>
      <c r="FB64" s="520"/>
      <c r="FC64" s="520"/>
      <c r="FD64" s="520"/>
      <c r="FE64" s="520"/>
      <c r="FF64" s="520"/>
      <c r="FG64" s="520"/>
      <c r="FH64" s="520"/>
      <c r="FI64" s="520"/>
      <c r="FJ64" s="520"/>
      <c r="FK64" s="520"/>
      <c r="FL64" s="520"/>
      <c r="FM64" s="520"/>
      <c r="FN64" s="520"/>
      <c r="FO64" s="520"/>
      <c r="FP64" s="520"/>
      <c r="FQ64" s="520"/>
      <c r="FR64" s="520"/>
      <c r="FS64" s="520"/>
      <c r="FT64" s="520"/>
      <c r="FU64" s="520"/>
      <c r="FV64" s="520"/>
      <c r="FW64" s="520"/>
      <c r="FX64" s="520"/>
      <c r="FY64" s="520"/>
      <c r="FZ64" s="520"/>
      <c r="GA64" s="520"/>
      <c r="GB64" s="520"/>
      <c r="GC64" s="520"/>
      <c r="GD64" s="520"/>
      <c r="GE64" s="520"/>
      <c r="GF64" s="520"/>
      <c r="GG64" s="520"/>
      <c r="GH64" s="520"/>
      <c r="GI64" s="520"/>
      <c r="GJ64" s="520"/>
      <c r="GK64" s="520"/>
      <c r="GL64" s="520"/>
      <c r="GM64" s="520"/>
      <c r="GN64" s="520"/>
      <c r="GO64" s="520"/>
      <c r="GP64" s="520"/>
      <c r="GQ64" s="520"/>
      <c r="GR64" s="520"/>
      <c r="GS64" s="520"/>
      <c r="GT64" s="520"/>
      <c r="GU64" s="520"/>
      <c r="GV64" s="520"/>
      <c r="GW64" s="520"/>
      <c r="GX64" s="520"/>
      <c r="GY64" s="520"/>
      <c r="GZ64" s="520"/>
      <c r="HA64" s="520"/>
      <c r="HB64" s="520"/>
      <c r="HC64" s="520"/>
      <c r="HD64" s="520"/>
      <c r="HE64" s="520"/>
      <c r="HF64" s="520"/>
      <c r="HG64" s="520"/>
      <c r="HH64" s="520"/>
      <c r="HI64" s="520"/>
      <c r="HJ64" s="520"/>
      <c r="HK64" s="520"/>
      <c r="HL64" s="520"/>
      <c r="HM64" s="520"/>
      <c r="HN64" s="520"/>
      <c r="HO64" s="520"/>
      <c r="HP64" s="520"/>
      <c r="HQ64" s="520"/>
      <c r="HR64" s="520"/>
      <c r="HS64" s="520"/>
      <c r="HT64" s="520"/>
      <c r="HU64" s="520"/>
      <c r="HV64" s="520"/>
      <c r="HW64" s="520"/>
      <c r="HX64" s="520"/>
      <c r="HY64" s="520"/>
      <c r="HZ64" s="520"/>
      <c r="IA64" s="520"/>
      <c r="IB64" s="520"/>
      <c r="IC64" s="520"/>
      <c r="ID64" s="520"/>
      <c r="IE64" s="520"/>
      <c r="IF64" s="520"/>
      <c r="IG64" s="520"/>
      <c r="IH64" s="520"/>
      <c r="II64" s="520"/>
      <c r="IJ64" s="520"/>
      <c r="IK64" s="520"/>
      <c r="IL64" s="520"/>
      <c r="IM64" s="520"/>
      <c r="IN64" s="520"/>
      <c r="IO64" s="520"/>
      <c r="IP64" s="520"/>
      <c r="IQ64" s="520"/>
      <c r="IR64" s="520"/>
      <c r="IS64" s="520"/>
      <c r="IT64" s="520"/>
      <c r="IU64" s="520"/>
      <c r="IV64" s="520"/>
    </row>
    <row r="65" spans="1:10" ht="19.899999999999999" customHeight="1">
      <c r="A65" s="526"/>
      <c r="B65" s="527"/>
      <c r="C65" s="528"/>
      <c r="D65" s="528"/>
      <c r="E65" s="528"/>
      <c r="F65" s="529"/>
      <c r="G65" s="529"/>
      <c r="H65" s="530" t="s">
        <v>2560</v>
      </c>
      <c r="I65" s="530">
        <f>SUM(I62:I64)</f>
        <v>8.5</v>
      </c>
      <c r="J65" s="531" t="s">
        <v>1749</v>
      </c>
    </row>
    <row r="66" spans="1:10" ht="19.899999999999999" customHeight="1">
      <c r="A66" s="526"/>
      <c r="B66" s="527"/>
      <c r="C66" s="528"/>
      <c r="D66" s="528"/>
      <c r="E66" s="528"/>
      <c r="F66" s="529"/>
      <c r="G66" s="530"/>
      <c r="H66" s="530"/>
      <c r="I66" s="530"/>
      <c r="J66" s="531"/>
    </row>
  </sheetData>
  <mergeCells count="10">
    <mergeCell ref="B23:H23"/>
    <mergeCell ref="B30:H30"/>
    <mergeCell ref="B38:H38"/>
    <mergeCell ref="B53:H53"/>
    <mergeCell ref="A1:J1"/>
    <mergeCell ref="A2:J2"/>
    <mergeCell ref="A4:J4"/>
    <mergeCell ref="A6:J6"/>
    <mergeCell ref="C7:E7"/>
    <mergeCell ref="B8:H8"/>
  </mergeCells>
  <pageMargins left="0.7" right="0.7" top="0.75" bottom="0.75" header="0.3" footer="0.3"/>
  <pageSetup paperSize="9" orientation="portrait" r:id="rId1"/>
  <headerFooter>
    <oddHeader>Page &amp;P</oddHeader>
  </headerFooter>
</worksheet>
</file>

<file path=xl/worksheets/sheet8.xml><?xml version="1.0" encoding="utf-8"?>
<worksheet xmlns="http://schemas.openxmlformats.org/spreadsheetml/2006/main" xmlns:r="http://schemas.openxmlformats.org/officeDocument/2006/relationships">
  <sheetPr>
    <tabColor theme="5" tint="-0.249977111117893"/>
  </sheetPr>
  <dimension ref="A1:M346"/>
  <sheetViews>
    <sheetView view="pageBreakPreview" topLeftCell="A16" zoomScaleSheetLayoutView="100" workbookViewId="0">
      <selection activeCell="F33" sqref="F33"/>
    </sheetView>
  </sheetViews>
  <sheetFormatPr defaultRowHeight="15"/>
  <cols>
    <col min="1" max="1" width="4.77734375" style="887" customWidth="1"/>
    <col min="2" max="2" width="26.5546875" style="888" customWidth="1"/>
    <col min="3" max="4" width="4.21875" style="889" customWidth="1"/>
    <col min="5" max="8" width="7.21875" style="890" customWidth="1"/>
    <col min="9" max="9" width="4.21875" style="891" customWidth="1"/>
    <col min="10" max="256" width="8.77734375" style="873"/>
    <col min="257" max="257" width="5.6640625" style="873" customWidth="1"/>
    <col min="258" max="258" width="31.109375" style="873" customWidth="1"/>
    <col min="259" max="259" width="5.77734375" style="873" customWidth="1"/>
    <col min="260" max="260" width="7.6640625" style="873" customWidth="1"/>
    <col min="261" max="261" width="9.77734375" style="873" customWidth="1"/>
    <col min="262" max="262" width="5.21875" style="873" bestFit="1" customWidth="1"/>
    <col min="263" max="263" width="4.33203125" style="873" bestFit="1" customWidth="1"/>
    <col min="264" max="264" width="7.109375" style="873" customWidth="1"/>
    <col min="265" max="265" width="4.21875" style="873" customWidth="1"/>
    <col min="266" max="512" width="8.77734375" style="873"/>
    <col min="513" max="513" width="5.6640625" style="873" customWidth="1"/>
    <col min="514" max="514" width="31.109375" style="873" customWidth="1"/>
    <col min="515" max="515" width="5.77734375" style="873" customWidth="1"/>
    <col min="516" max="516" width="7.6640625" style="873" customWidth="1"/>
    <col min="517" max="517" width="9.77734375" style="873" customWidth="1"/>
    <col min="518" max="518" width="5.21875" style="873" bestFit="1" customWidth="1"/>
    <col min="519" max="519" width="4.33203125" style="873" bestFit="1" customWidth="1"/>
    <col min="520" max="520" width="7.109375" style="873" customWidth="1"/>
    <col min="521" max="521" width="4.21875" style="873" customWidth="1"/>
    <col min="522" max="768" width="8.77734375" style="873"/>
    <col min="769" max="769" width="5.6640625" style="873" customWidth="1"/>
    <col min="770" max="770" width="31.109375" style="873" customWidth="1"/>
    <col min="771" max="771" width="5.77734375" style="873" customWidth="1"/>
    <col min="772" max="772" width="7.6640625" style="873" customWidth="1"/>
    <col min="773" max="773" width="9.77734375" style="873" customWidth="1"/>
    <col min="774" max="774" width="5.21875" style="873" bestFit="1" customWidth="1"/>
    <col min="775" max="775" width="4.33203125" style="873" bestFit="1" customWidth="1"/>
    <col min="776" max="776" width="7.109375" style="873" customWidth="1"/>
    <col min="777" max="777" width="4.21875" style="873" customWidth="1"/>
    <col min="778" max="1024" width="8.77734375" style="873"/>
    <col min="1025" max="1025" width="5.6640625" style="873" customWidth="1"/>
    <col min="1026" max="1026" width="31.109375" style="873" customWidth="1"/>
    <col min="1027" max="1027" width="5.77734375" style="873" customWidth="1"/>
    <col min="1028" max="1028" width="7.6640625" style="873" customWidth="1"/>
    <col min="1029" max="1029" width="9.77734375" style="873" customWidth="1"/>
    <col min="1030" max="1030" width="5.21875" style="873" bestFit="1" customWidth="1"/>
    <col min="1031" max="1031" width="4.33203125" style="873" bestFit="1" customWidth="1"/>
    <col min="1032" max="1032" width="7.109375" style="873" customWidth="1"/>
    <col min="1033" max="1033" width="4.21875" style="873" customWidth="1"/>
    <col min="1034" max="1280" width="8.77734375" style="873"/>
    <col min="1281" max="1281" width="5.6640625" style="873" customWidth="1"/>
    <col min="1282" max="1282" width="31.109375" style="873" customWidth="1"/>
    <col min="1283" max="1283" width="5.77734375" style="873" customWidth="1"/>
    <col min="1284" max="1284" width="7.6640625" style="873" customWidth="1"/>
    <col min="1285" max="1285" width="9.77734375" style="873" customWidth="1"/>
    <col min="1286" max="1286" width="5.21875" style="873" bestFit="1" customWidth="1"/>
    <col min="1287" max="1287" width="4.33203125" style="873" bestFit="1" customWidth="1"/>
    <col min="1288" max="1288" width="7.109375" style="873" customWidth="1"/>
    <col min="1289" max="1289" width="4.21875" style="873" customWidth="1"/>
    <col min="1290" max="1536" width="8.77734375" style="873"/>
    <col min="1537" max="1537" width="5.6640625" style="873" customWidth="1"/>
    <col min="1538" max="1538" width="31.109375" style="873" customWidth="1"/>
    <col min="1539" max="1539" width="5.77734375" style="873" customWidth="1"/>
    <col min="1540" max="1540" width="7.6640625" style="873" customWidth="1"/>
    <col min="1541" max="1541" width="9.77734375" style="873" customWidth="1"/>
    <col min="1542" max="1542" width="5.21875" style="873" bestFit="1" customWidth="1"/>
    <col min="1543" max="1543" width="4.33203125" style="873" bestFit="1" customWidth="1"/>
    <col min="1544" max="1544" width="7.109375" style="873" customWidth="1"/>
    <col min="1545" max="1545" width="4.21875" style="873" customWidth="1"/>
    <col min="1546" max="1792" width="8.77734375" style="873"/>
    <col min="1793" max="1793" width="5.6640625" style="873" customWidth="1"/>
    <col min="1794" max="1794" width="31.109375" style="873" customWidth="1"/>
    <col min="1795" max="1795" width="5.77734375" style="873" customWidth="1"/>
    <col min="1796" max="1796" width="7.6640625" style="873" customWidth="1"/>
    <col min="1797" max="1797" width="9.77734375" style="873" customWidth="1"/>
    <col min="1798" max="1798" width="5.21875" style="873" bestFit="1" customWidth="1"/>
    <col min="1799" max="1799" width="4.33203125" style="873" bestFit="1" customWidth="1"/>
    <col min="1800" max="1800" width="7.109375" style="873" customWidth="1"/>
    <col min="1801" max="1801" width="4.21875" style="873" customWidth="1"/>
    <col min="1802" max="2048" width="8.77734375" style="873"/>
    <col min="2049" max="2049" width="5.6640625" style="873" customWidth="1"/>
    <col min="2050" max="2050" width="31.109375" style="873" customWidth="1"/>
    <col min="2051" max="2051" width="5.77734375" style="873" customWidth="1"/>
    <col min="2052" max="2052" width="7.6640625" style="873" customWidth="1"/>
    <col min="2053" max="2053" width="9.77734375" style="873" customWidth="1"/>
    <col min="2054" max="2054" width="5.21875" style="873" bestFit="1" customWidth="1"/>
    <col min="2055" max="2055" width="4.33203125" style="873" bestFit="1" customWidth="1"/>
    <col min="2056" max="2056" width="7.109375" style="873" customWidth="1"/>
    <col min="2057" max="2057" width="4.21875" style="873" customWidth="1"/>
    <col min="2058" max="2304" width="8.77734375" style="873"/>
    <col min="2305" max="2305" width="5.6640625" style="873" customWidth="1"/>
    <col min="2306" max="2306" width="31.109375" style="873" customWidth="1"/>
    <col min="2307" max="2307" width="5.77734375" style="873" customWidth="1"/>
    <col min="2308" max="2308" width="7.6640625" style="873" customWidth="1"/>
    <col min="2309" max="2309" width="9.77734375" style="873" customWidth="1"/>
    <col min="2310" max="2310" width="5.21875" style="873" bestFit="1" customWidth="1"/>
    <col min="2311" max="2311" width="4.33203125" style="873" bestFit="1" customWidth="1"/>
    <col min="2312" max="2312" width="7.109375" style="873" customWidth="1"/>
    <col min="2313" max="2313" width="4.21875" style="873" customWidth="1"/>
    <col min="2314" max="2560" width="8.77734375" style="873"/>
    <col min="2561" max="2561" width="5.6640625" style="873" customWidth="1"/>
    <col min="2562" max="2562" width="31.109375" style="873" customWidth="1"/>
    <col min="2563" max="2563" width="5.77734375" style="873" customWidth="1"/>
    <col min="2564" max="2564" width="7.6640625" style="873" customWidth="1"/>
    <col min="2565" max="2565" width="9.77734375" style="873" customWidth="1"/>
    <col min="2566" max="2566" width="5.21875" style="873" bestFit="1" customWidth="1"/>
    <col min="2567" max="2567" width="4.33203125" style="873" bestFit="1" customWidth="1"/>
    <col min="2568" max="2568" width="7.109375" style="873" customWidth="1"/>
    <col min="2569" max="2569" width="4.21875" style="873" customWidth="1"/>
    <col min="2570" max="2816" width="8.77734375" style="873"/>
    <col min="2817" max="2817" width="5.6640625" style="873" customWidth="1"/>
    <col min="2818" max="2818" width="31.109375" style="873" customWidth="1"/>
    <col min="2819" max="2819" width="5.77734375" style="873" customWidth="1"/>
    <col min="2820" max="2820" width="7.6640625" style="873" customWidth="1"/>
    <col min="2821" max="2821" width="9.77734375" style="873" customWidth="1"/>
    <col min="2822" max="2822" width="5.21875" style="873" bestFit="1" customWidth="1"/>
    <col min="2823" max="2823" width="4.33203125" style="873" bestFit="1" customWidth="1"/>
    <col min="2824" max="2824" width="7.109375" style="873" customWidth="1"/>
    <col min="2825" max="2825" width="4.21875" style="873" customWidth="1"/>
    <col min="2826" max="3072" width="8.77734375" style="873"/>
    <col min="3073" max="3073" width="5.6640625" style="873" customWidth="1"/>
    <col min="3074" max="3074" width="31.109375" style="873" customWidth="1"/>
    <col min="3075" max="3075" width="5.77734375" style="873" customWidth="1"/>
    <col min="3076" max="3076" width="7.6640625" style="873" customWidth="1"/>
    <col min="3077" max="3077" width="9.77734375" style="873" customWidth="1"/>
    <col min="3078" max="3078" width="5.21875" style="873" bestFit="1" customWidth="1"/>
    <col min="3079" max="3079" width="4.33203125" style="873" bestFit="1" customWidth="1"/>
    <col min="3080" max="3080" width="7.109375" style="873" customWidth="1"/>
    <col min="3081" max="3081" width="4.21875" style="873" customWidth="1"/>
    <col min="3082" max="3328" width="8.77734375" style="873"/>
    <col min="3329" max="3329" width="5.6640625" style="873" customWidth="1"/>
    <col min="3330" max="3330" width="31.109375" style="873" customWidth="1"/>
    <col min="3331" max="3331" width="5.77734375" style="873" customWidth="1"/>
    <col min="3332" max="3332" width="7.6640625" style="873" customWidth="1"/>
    <col min="3333" max="3333" width="9.77734375" style="873" customWidth="1"/>
    <col min="3334" max="3334" width="5.21875" style="873" bestFit="1" customWidth="1"/>
    <col min="3335" max="3335" width="4.33203125" style="873" bestFit="1" customWidth="1"/>
    <col min="3336" max="3336" width="7.109375" style="873" customWidth="1"/>
    <col min="3337" max="3337" width="4.21875" style="873" customWidth="1"/>
    <col min="3338" max="3584" width="8.77734375" style="873"/>
    <col min="3585" max="3585" width="5.6640625" style="873" customWidth="1"/>
    <col min="3586" max="3586" width="31.109375" style="873" customWidth="1"/>
    <col min="3587" max="3587" width="5.77734375" style="873" customWidth="1"/>
    <col min="3588" max="3588" width="7.6640625" style="873" customWidth="1"/>
    <col min="3589" max="3589" width="9.77734375" style="873" customWidth="1"/>
    <col min="3590" max="3590" width="5.21875" style="873" bestFit="1" customWidth="1"/>
    <col min="3591" max="3591" width="4.33203125" style="873" bestFit="1" customWidth="1"/>
    <col min="3592" max="3592" width="7.109375" style="873" customWidth="1"/>
    <col min="3593" max="3593" width="4.21875" style="873" customWidth="1"/>
    <col min="3594" max="3840" width="8.77734375" style="873"/>
    <col min="3841" max="3841" width="5.6640625" style="873" customWidth="1"/>
    <col min="3842" max="3842" width="31.109375" style="873" customWidth="1"/>
    <col min="3843" max="3843" width="5.77734375" style="873" customWidth="1"/>
    <col min="3844" max="3844" width="7.6640625" style="873" customWidth="1"/>
    <col min="3845" max="3845" width="9.77734375" style="873" customWidth="1"/>
    <col min="3846" max="3846" width="5.21875" style="873" bestFit="1" customWidth="1"/>
    <col min="3847" max="3847" width="4.33203125" style="873" bestFit="1" customWidth="1"/>
    <col min="3848" max="3848" width="7.109375" style="873" customWidth="1"/>
    <col min="3849" max="3849" width="4.21875" style="873" customWidth="1"/>
    <col min="3850" max="4096" width="8.77734375" style="873"/>
    <col min="4097" max="4097" width="5.6640625" style="873" customWidth="1"/>
    <col min="4098" max="4098" width="31.109375" style="873" customWidth="1"/>
    <col min="4099" max="4099" width="5.77734375" style="873" customWidth="1"/>
    <col min="4100" max="4100" width="7.6640625" style="873" customWidth="1"/>
    <col min="4101" max="4101" width="9.77734375" style="873" customWidth="1"/>
    <col min="4102" max="4102" width="5.21875" style="873" bestFit="1" customWidth="1"/>
    <col min="4103" max="4103" width="4.33203125" style="873" bestFit="1" customWidth="1"/>
    <col min="4104" max="4104" width="7.109375" style="873" customWidth="1"/>
    <col min="4105" max="4105" width="4.21875" style="873" customWidth="1"/>
    <col min="4106" max="4352" width="8.77734375" style="873"/>
    <col min="4353" max="4353" width="5.6640625" style="873" customWidth="1"/>
    <col min="4354" max="4354" width="31.109375" style="873" customWidth="1"/>
    <col min="4355" max="4355" width="5.77734375" style="873" customWidth="1"/>
    <col min="4356" max="4356" width="7.6640625" style="873" customWidth="1"/>
    <col min="4357" max="4357" width="9.77734375" style="873" customWidth="1"/>
    <col min="4358" max="4358" width="5.21875" style="873" bestFit="1" customWidth="1"/>
    <col min="4359" max="4359" width="4.33203125" style="873" bestFit="1" customWidth="1"/>
    <col min="4360" max="4360" width="7.109375" style="873" customWidth="1"/>
    <col min="4361" max="4361" width="4.21875" style="873" customWidth="1"/>
    <col min="4362" max="4608" width="8.77734375" style="873"/>
    <col min="4609" max="4609" width="5.6640625" style="873" customWidth="1"/>
    <col min="4610" max="4610" width="31.109375" style="873" customWidth="1"/>
    <col min="4611" max="4611" width="5.77734375" style="873" customWidth="1"/>
    <col min="4612" max="4612" width="7.6640625" style="873" customWidth="1"/>
    <col min="4613" max="4613" width="9.77734375" style="873" customWidth="1"/>
    <col min="4614" max="4614" width="5.21875" style="873" bestFit="1" customWidth="1"/>
    <col min="4615" max="4615" width="4.33203125" style="873" bestFit="1" customWidth="1"/>
    <col min="4616" max="4616" width="7.109375" style="873" customWidth="1"/>
    <col min="4617" max="4617" width="4.21875" style="873" customWidth="1"/>
    <col min="4618" max="4864" width="8.77734375" style="873"/>
    <col min="4865" max="4865" width="5.6640625" style="873" customWidth="1"/>
    <col min="4866" max="4866" width="31.109375" style="873" customWidth="1"/>
    <col min="4867" max="4867" width="5.77734375" style="873" customWidth="1"/>
    <col min="4868" max="4868" width="7.6640625" style="873" customWidth="1"/>
    <col min="4869" max="4869" width="9.77734375" style="873" customWidth="1"/>
    <col min="4870" max="4870" width="5.21875" style="873" bestFit="1" customWidth="1"/>
    <col min="4871" max="4871" width="4.33203125" style="873" bestFit="1" customWidth="1"/>
    <col min="4872" max="4872" width="7.109375" style="873" customWidth="1"/>
    <col min="4873" max="4873" width="4.21875" style="873" customWidth="1"/>
    <col min="4874" max="5120" width="8.77734375" style="873"/>
    <col min="5121" max="5121" width="5.6640625" style="873" customWidth="1"/>
    <col min="5122" max="5122" width="31.109375" style="873" customWidth="1"/>
    <col min="5123" max="5123" width="5.77734375" style="873" customWidth="1"/>
    <col min="5124" max="5124" width="7.6640625" style="873" customWidth="1"/>
    <col min="5125" max="5125" width="9.77734375" style="873" customWidth="1"/>
    <col min="5126" max="5126" width="5.21875" style="873" bestFit="1" customWidth="1"/>
    <col min="5127" max="5127" width="4.33203125" style="873" bestFit="1" customWidth="1"/>
    <col min="5128" max="5128" width="7.109375" style="873" customWidth="1"/>
    <col min="5129" max="5129" width="4.21875" style="873" customWidth="1"/>
    <col min="5130" max="5376" width="8.77734375" style="873"/>
    <col min="5377" max="5377" width="5.6640625" style="873" customWidth="1"/>
    <col min="5378" max="5378" width="31.109375" style="873" customWidth="1"/>
    <col min="5379" max="5379" width="5.77734375" style="873" customWidth="1"/>
    <col min="5380" max="5380" width="7.6640625" style="873" customWidth="1"/>
    <col min="5381" max="5381" width="9.77734375" style="873" customWidth="1"/>
    <col min="5382" max="5382" width="5.21875" style="873" bestFit="1" customWidth="1"/>
    <col min="5383" max="5383" width="4.33203125" style="873" bestFit="1" customWidth="1"/>
    <col min="5384" max="5384" width="7.109375" style="873" customWidth="1"/>
    <col min="5385" max="5385" width="4.21875" style="873" customWidth="1"/>
    <col min="5386" max="5632" width="8.77734375" style="873"/>
    <col min="5633" max="5633" width="5.6640625" style="873" customWidth="1"/>
    <col min="5634" max="5634" width="31.109375" style="873" customWidth="1"/>
    <col min="5635" max="5635" width="5.77734375" style="873" customWidth="1"/>
    <col min="5636" max="5636" width="7.6640625" style="873" customWidth="1"/>
    <col min="5637" max="5637" width="9.77734375" style="873" customWidth="1"/>
    <col min="5638" max="5638" width="5.21875" style="873" bestFit="1" customWidth="1"/>
    <col min="5639" max="5639" width="4.33203125" style="873" bestFit="1" customWidth="1"/>
    <col min="5640" max="5640" width="7.109375" style="873" customWidth="1"/>
    <col min="5641" max="5641" width="4.21875" style="873" customWidth="1"/>
    <col min="5642" max="5888" width="8.77734375" style="873"/>
    <col min="5889" max="5889" width="5.6640625" style="873" customWidth="1"/>
    <col min="5890" max="5890" width="31.109375" style="873" customWidth="1"/>
    <col min="5891" max="5891" width="5.77734375" style="873" customWidth="1"/>
    <col min="5892" max="5892" width="7.6640625" style="873" customWidth="1"/>
    <col min="5893" max="5893" width="9.77734375" style="873" customWidth="1"/>
    <col min="5894" max="5894" width="5.21875" style="873" bestFit="1" customWidth="1"/>
    <col min="5895" max="5895" width="4.33203125" style="873" bestFit="1" customWidth="1"/>
    <col min="5896" max="5896" width="7.109375" style="873" customWidth="1"/>
    <col min="5897" max="5897" width="4.21875" style="873" customWidth="1"/>
    <col min="5898" max="6144" width="8.77734375" style="873"/>
    <col min="6145" max="6145" width="5.6640625" style="873" customWidth="1"/>
    <col min="6146" max="6146" width="31.109375" style="873" customWidth="1"/>
    <col min="6147" max="6147" width="5.77734375" style="873" customWidth="1"/>
    <col min="6148" max="6148" width="7.6640625" style="873" customWidth="1"/>
    <col min="6149" max="6149" width="9.77734375" style="873" customWidth="1"/>
    <col min="6150" max="6150" width="5.21875" style="873" bestFit="1" customWidth="1"/>
    <col min="6151" max="6151" width="4.33203125" style="873" bestFit="1" customWidth="1"/>
    <col min="6152" max="6152" width="7.109375" style="873" customWidth="1"/>
    <col min="6153" max="6153" width="4.21875" style="873" customWidth="1"/>
    <col min="6154" max="6400" width="8.77734375" style="873"/>
    <col min="6401" max="6401" width="5.6640625" style="873" customWidth="1"/>
    <col min="6402" max="6402" width="31.109375" style="873" customWidth="1"/>
    <col min="6403" max="6403" width="5.77734375" style="873" customWidth="1"/>
    <col min="6404" max="6404" width="7.6640625" style="873" customWidth="1"/>
    <col min="6405" max="6405" width="9.77734375" style="873" customWidth="1"/>
    <col min="6406" max="6406" width="5.21875" style="873" bestFit="1" customWidth="1"/>
    <col min="6407" max="6407" width="4.33203125" style="873" bestFit="1" customWidth="1"/>
    <col min="6408" max="6408" width="7.109375" style="873" customWidth="1"/>
    <col min="6409" max="6409" width="4.21875" style="873" customWidth="1"/>
    <col min="6410" max="6656" width="8.77734375" style="873"/>
    <col min="6657" max="6657" width="5.6640625" style="873" customWidth="1"/>
    <col min="6658" max="6658" width="31.109375" style="873" customWidth="1"/>
    <col min="6659" max="6659" width="5.77734375" style="873" customWidth="1"/>
    <col min="6660" max="6660" width="7.6640625" style="873" customWidth="1"/>
    <col min="6661" max="6661" width="9.77734375" style="873" customWidth="1"/>
    <col min="6662" max="6662" width="5.21875" style="873" bestFit="1" customWidth="1"/>
    <col min="6663" max="6663" width="4.33203125" style="873" bestFit="1" customWidth="1"/>
    <col min="6664" max="6664" width="7.109375" style="873" customWidth="1"/>
    <col min="6665" max="6665" width="4.21875" style="873" customWidth="1"/>
    <col min="6666" max="6912" width="8.77734375" style="873"/>
    <col min="6913" max="6913" width="5.6640625" style="873" customWidth="1"/>
    <col min="6914" max="6914" width="31.109375" style="873" customWidth="1"/>
    <col min="6915" max="6915" width="5.77734375" style="873" customWidth="1"/>
    <col min="6916" max="6916" width="7.6640625" style="873" customWidth="1"/>
    <col min="6917" max="6917" width="9.77734375" style="873" customWidth="1"/>
    <col min="6918" max="6918" width="5.21875" style="873" bestFit="1" customWidth="1"/>
    <col min="6919" max="6919" width="4.33203125" style="873" bestFit="1" customWidth="1"/>
    <col min="6920" max="6920" width="7.109375" style="873" customWidth="1"/>
    <col min="6921" max="6921" width="4.21875" style="873" customWidth="1"/>
    <col min="6922" max="7168" width="8.77734375" style="873"/>
    <col min="7169" max="7169" width="5.6640625" style="873" customWidth="1"/>
    <col min="7170" max="7170" width="31.109375" style="873" customWidth="1"/>
    <col min="7171" max="7171" width="5.77734375" style="873" customWidth="1"/>
    <col min="7172" max="7172" width="7.6640625" style="873" customWidth="1"/>
    <col min="7173" max="7173" width="9.77734375" style="873" customWidth="1"/>
    <col min="7174" max="7174" width="5.21875" style="873" bestFit="1" customWidth="1"/>
    <col min="7175" max="7175" width="4.33203125" style="873" bestFit="1" customWidth="1"/>
    <col min="7176" max="7176" width="7.109375" style="873" customWidth="1"/>
    <col min="7177" max="7177" width="4.21875" style="873" customWidth="1"/>
    <col min="7178" max="7424" width="8.77734375" style="873"/>
    <col min="7425" max="7425" width="5.6640625" style="873" customWidth="1"/>
    <col min="7426" max="7426" width="31.109375" style="873" customWidth="1"/>
    <col min="7427" max="7427" width="5.77734375" style="873" customWidth="1"/>
    <col min="7428" max="7428" width="7.6640625" style="873" customWidth="1"/>
    <col min="7429" max="7429" width="9.77734375" style="873" customWidth="1"/>
    <col min="7430" max="7430" width="5.21875" style="873" bestFit="1" customWidth="1"/>
    <col min="7431" max="7431" width="4.33203125" style="873" bestFit="1" customWidth="1"/>
    <col min="7432" max="7432" width="7.109375" style="873" customWidth="1"/>
    <col min="7433" max="7433" width="4.21875" style="873" customWidth="1"/>
    <col min="7434" max="7680" width="8.77734375" style="873"/>
    <col min="7681" max="7681" width="5.6640625" style="873" customWidth="1"/>
    <col min="7682" max="7682" width="31.109375" style="873" customWidth="1"/>
    <col min="7683" max="7683" width="5.77734375" style="873" customWidth="1"/>
    <col min="7684" max="7684" width="7.6640625" style="873" customWidth="1"/>
    <col min="7685" max="7685" width="9.77734375" style="873" customWidth="1"/>
    <col min="7686" max="7686" width="5.21875" style="873" bestFit="1" customWidth="1"/>
    <col min="7687" max="7687" width="4.33203125" style="873" bestFit="1" customWidth="1"/>
    <col min="7688" max="7688" width="7.109375" style="873" customWidth="1"/>
    <col min="7689" max="7689" width="4.21875" style="873" customWidth="1"/>
    <col min="7690" max="7936" width="8.77734375" style="873"/>
    <col min="7937" max="7937" width="5.6640625" style="873" customWidth="1"/>
    <col min="7938" max="7938" width="31.109375" style="873" customWidth="1"/>
    <col min="7939" max="7939" width="5.77734375" style="873" customWidth="1"/>
    <col min="7940" max="7940" width="7.6640625" style="873" customWidth="1"/>
    <col min="7941" max="7941" width="9.77734375" style="873" customWidth="1"/>
    <col min="7942" max="7942" width="5.21875" style="873" bestFit="1" customWidth="1"/>
    <col min="7943" max="7943" width="4.33203125" style="873" bestFit="1" customWidth="1"/>
    <col min="7944" max="7944" width="7.109375" style="873" customWidth="1"/>
    <col min="7945" max="7945" width="4.21875" style="873" customWidth="1"/>
    <col min="7946" max="8192" width="8.77734375" style="873"/>
    <col min="8193" max="8193" width="5.6640625" style="873" customWidth="1"/>
    <col min="8194" max="8194" width="31.109375" style="873" customWidth="1"/>
    <col min="8195" max="8195" width="5.77734375" style="873" customWidth="1"/>
    <col min="8196" max="8196" width="7.6640625" style="873" customWidth="1"/>
    <col min="8197" max="8197" width="9.77734375" style="873" customWidth="1"/>
    <col min="8198" max="8198" width="5.21875" style="873" bestFit="1" customWidth="1"/>
    <col min="8199" max="8199" width="4.33203125" style="873" bestFit="1" customWidth="1"/>
    <col min="8200" max="8200" width="7.109375" style="873" customWidth="1"/>
    <col min="8201" max="8201" width="4.21875" style="873" customWidth="1"/>
    <col min="8202" max="8448" width="8.77734375" style="873"/>
    <col min="8449" max="8449" width="5.6640625" style="873" customWidth="1"/>
    <col min="8450" max="8450" width="31.109375" style="873" customWidth="1"/>
    <col min="8451" max="8451" width="5.77734375" style="873" customWidth="1"/>
    <col min="8452" max="8452" width="7.6640625" style="873" customWidth="1"/>
    <col min="8453" max="8453" width="9.77734375" style="873" customWidth="1"/>
    <col min="8454" max="8454" width="5.21875" style="873" bestFit="1" customWidth="1"/>
    <col min="8455" max="8455" width="4.33203125" style="873" bestFit="1" customWidth="1"/>
    <col min="8456" max="8456" width="7.109375" style="873" customWidth="1"/>
    <col min="8457" max="8457" width="4.21875" style="873" customWidth="1"/>
    <col min="8458" max="8704" width="8.77734375" style="873"/>
    <col min="8705" max="8705" width="5.6640625" style="873" customWidth="1"/>
    <col min="8706" max="8706" width="31.109375" style="873" customWidth="1"/>
    <col min="8707" max="8707" width="5.77734375" style="873" customWidth="1"/>
    <col min="8708" max="8708" width="7.6640625" style="873" customWidth="1"/>
    <col min="8709" max="8709" width="9.77734375" style="873" customWidth="1"/>
    <col min="8710" max="8710" width="5.21875" style="873" bestFit="1" customWidth="1"/>
    <col min="8711" max="8711" width="4.33203125" style="873" bestFit="1" customWidth="1"/>
    <col min="8712" max="8712" width="7.109375" style="873" customWidth="1"/>
    <col min="8713" max="8713" width="4.21875" style="873" customWidth="1"/>
    <col min="8714" max="8960" width="8.77734375" style="873"/>
    <col min="8961" max="8961" width="5.6640625" style="873" customWidth="1"/>
    <col min="8962" max="8962" width="31.109375" style="873" customWidth="1"/>
    <col min="8963" max="8963" width="5.77734375" style="873" customWidth="1"/>
    <col min="8964" max="8964" width="7.6640625" style="873" customWidth="1"/>
    <col min="8965" max="8965" width="9.77734375" style="873" customWidth="1"/>
    <col min="8966" max="8966" width="5.21875" style="873" bestFit="1" customWidth="1"/>
    <col min="8967" max="8967" width="4.33203125" style="873" bestFit="1" customWidth="1"/>
    <col min="8968" max="8968" width="7.109375" style="873" customWidth="1"/>
    <col min="8969" max="8969" width="4.21875" style="873" customWidth="1"/>
    <col min="8970" max="9216" width="8.77734375" style="873"/>
    <col min="9217" max="9217" width="5.6640625" style="873" customWidth="1"/>
    <col min="9218" max="9218" width="31.109375" style="873" customWidth="1"/>
    <col min="9219" max="9219" width="5.77734375" style="873" customWidth="1"/>
    <col min="9220" max="9220" width="7.6640625" style="873" customWidth="1"/>
    <col min="9221" max="9221" width="9.77734375" style="873" customWidth="1"/>
    <col min="9222" max="9222" width="5.21875" style="873" bestFit="1" customWidth="1"/>
    <col min="9223" max="9223" width="4.33203125" style="873" bestFit="1" customWidth="1"/>
    <col min="9224" max="9224" width="7.109375" style="873" customWidth="1"/>
    <col min="9225" max="9225" width="4.21875" style="873" customWidth="1"/>
    <col min="9226" max="9472" width="8.77734375" style="873"/>
    <col min="9473" max="9473" width="5.6640625" style="873" customWidth="1"/>
    <col min="9474" max="9474" width="31.109375" style="873" customWidth="1"/>
    <col min="9475" max="9475" width="5.77734375" style="873" customWidth="1"/>
    <col min="9476" max="9476" width="7.6640625" style="873" customWidth="1"/>
    <col min="9477" max="9477" width="9.77734375" style="873" customWidth="1"/>
    <col min="9478" max="9478" width="5.21875" style="873" bestFit="1" customWidth="1"/>
    <col min="9479" max="9479" width="4.33203125" style="873" bestFit="1" customWidth="1"/>
    <col min="9480" max="9480" width="7.109375" style="873" customWidth="1"/>
    <col min="9481" max="9481" width="4.21875" style="873" customWidth="1"/>
    <col min="9482" max="9728" width="8.77734375" style="873"/>
    <col min="9729" max="9729" width="5.6640625" style="873" customWidth="1"/>
    <col min="9730" max="9730" width="31.109375" style="873" customWidth="1"/>
    <col min="9731" max="9731" width="5.77734375" style="873" customWidth="1"/>
    <col min="9732" max="9732" width="7.6640625" style="873" customWidth="1"/>
    <col min="9733" max="9733" width="9.77734375" style="873" customWidth="1"/>
    <col min="9734" max="9734" width="5.21875" style="873" bestFit="1" customWidth="1"/>
    <col min="9735" max="9735" width="4.33203125" style="873" bestFit="1" customWidth="1"/>
    <col min="9736" max="9736" width="7.109375" style="873" customWidth="1"/>
    <col min="9737" max="9737" width="4.21875" style="873" customWidth="1"/>
    <col min="9738" max="9984" width="8.77734375" style="873"/>
    <col min="9985" max="9985" width="5.6640625" style="873" customWidth="1"/>
    <col min="9986" max="9986" width="31.109375" style="873" customWidth="1"/>
    <col min="9987" max="9987" width="5.77734375" style="873" customWidth="1"/>
    <col min="9988" max="9988" width="7.6640625" style="873" customWidth="1"/>
    <col min="9989" max="9989" width="9.77734375" style="873" customWidth="1"/>
    <col min="9990" max="9990" width="5.21875" style="873" bestFit="1" customWidth="1"/>
    <col min="9991" max="9991" width="4.33203125" style="873" bestFit="1" customWidth="1"/>
    <col min="9992" max="9992" width="7.109375" style="873" customWidth="1"/>
    <col min="9993" max="9993" width="4.21875" style="873" customWidth="1"/>
    <col min="9994" max="10240" width="8.77734375" style="873"/>
    <col min="10241" max="10241" width="5.6640625" style="873" customWidth="1"/>
    <col min="10242" max="10242" width="31.109375" style="873" customWidth="1"/>
    <col min="10243" max="10243" width="5.77734375" style="873" customWidth="1"/>
    <col min="10244" max="10244" width="7.6640625" style="873" customWidth="1"/>
    <col min="10245" max="10245" width="9.77734375" style="873" customWidth="1"/>
    <col min="10246" max="10246" width="5.21875" style="873" bestFit="1" customWidth="1"/>
    <col min="10247" max="10247" width="4.33203125" style="873" bestFit="1" customWidth="1"/>
    <col min="10248" max="10248" width="7.109375" style="873" customWidth="1"/>
    <col min="10249" max="10249" width="4.21875" style="873" customWidth="1"/>
    <col min="10250" max="10496" width="8.77734375" style="873"/>
    <col min="10497" max="10497" width="5.6640625" style="873" customWidth="1"/>
    <col min="10498" max="10498" width="31.109375" style="873" customWidth="1"/>
    <col min="10499" max="10499" width="5.77734375" style="873" customWidth="1"/>
    <col min="10500" max="10500" width="7.6640625" style="873" customWidth="1"/>
    <col min="10501" max="10501" width="9.77734375" style="873" customWidth="1"/>
    <col min="10502" max="10502" width="5.21875" style="873" bestFit="1" customWidth="1"/>
    <col min="10503" max="10503" width="4.33203125" style="873" bestFit="1" customWidth="1"/>
    <col min="10504" max="10504" width="7.109375" style="873" customWidth="1"/>
    <col min="10505" max="10505" width="4.21875" style="873" customWidth="1"/>
    <col min="10506" max="10752" width="8.77734375" style="873"/>
    <col min="10753" max="10753" width="5.6640625" style="873" customWidth="1"/>
    <col min="10754" max="10754" width="31.109375" style="873" customWidth="1"/>
    <col min="10755" max="10755" width="5.77734375" style="873" customWidth="1"/>
    <col min="10756" max="10756" width="7.6640625" style="873" customWidth="1"/>
    <col min="10757" max="10757" width="9.77734375" style="873" customWidth="1"/>
    <col min="10758" max="10758" width="5.21875" style="873" bestFit="1" customWidth="1"/>
    <col min="10759" max="10759" width="4.33203125" style="873" bestFit="1" customWidth="1"/>
    <col min="10760" max="10760" width="7.109375" style="873" customWidth="1"/>
    <col min="10761" max="10761" width="4.21875" style="873" customWidth="1"/>
    <col min="10762" max="11008" width="8.77734375" style="873"/>
    <col min="11009" max="11009" width="5.6640625" style="873" customWidth="1"/>
    <col min="11010" max="11010" width="31.109375" style="873" customWidth="1"/>
    <col min="11011" max="11011" width="5.77734375" style="873" customWidth="1"/>
    <col min="11012" max="11012" width="7.6640625" style="873" customWidth="1"/>
    <col min="11013" max="11013" width="9.77734375" style="873" customWidth="1"/>
    <col min="11014" max="11014" width="5.21875" style="873" bestFit="1" customWidth="1"/>
    <col min="11015" max="11015" width="4.33203125" style="873" bestFit="1" customWidth="1"/>
    <col min="11016" max="11016" width="7.109375" style="873" customWidth="1"/>
    <col min="11017" max="11017" width="4.21875" style="873" customWidth="1"/>
    <col min="11018" max="11264" width="8.77734375" style="873"/>
    <col min="11265" max="11265" width="5.6640625" style="873" customWidth="1"/>
    <col min="11266" max="11266" width="31.109375" style="873" customWidth="1"/>
    <col min="11267" max="11267" width="5.77734375" style="873" customWidth="1"/>
    <col min="11268" max="11268" width="7.6640625" style="873" customWidth="1"/>
    <col min="11269" max="11269" width="9.77734375" style="873" customWidth="1"/>
    <col min="11270" max="11270" width="5.21875" style="873" bestFit="1" customWidth="1"/>
    <col min="11271" max="11271" width="4.33203125" style="873" bestFit="1" customWidth="1"/>
    <col min="11272" max="11272" width="7.109375" style="873" customWidth="1"/>
    <col min="11273" max="11273" width="4.21875" style="873" customWidth="1"/>
    <col min="11274" max="11520" width="8.77734375" style="873"/>
    <col min="11521" max="11521" width="5.6640625" style="873" customWidth="1"/>
    <col min="11522" max="11522" width="31.109375" style="873" customWidth="1"/>
    <col min="11523" max="11523" width="5.77734375" style="873" customWidth="1"/>
    <col min="11524" max="11524" width="7.6640625" style="873" customWidth="1"/>
    <col min="11525" max="11525" width="9.77734375" style="873" customWidth="1"/>
    <col min="11526" max="11526" width="5.21875" style="873" bestFit="1" customWidth="1"/>
    <col min="11527" max="11527" width="4.33203125" style="873" bestFit="1" customWidth="1"/>
    <col min="11528" max="11528" width="7.109375" style="873" customWidth="1"/>
    <col min="11529" max="11529" width="4.21875" style="873" customWidth="1"/>
    <col min="11530" max="11776" width="8.77734375" style="873"/>
    <col min="11777" max="11777" width="5.6640625" style="873" customWidth="1"/>
    <col min="11778" max="11778" width="31.109375" style="873" customWidth="1"/>
    <col min="11779" max="11779" width="5.77734375" style="873" customWidth="1"/>
    <col min="11780" max="11780" width="7.6640625" style="873" customWidth="1"/>
    <col min="11781" max="11781" width="9.77734375" style="873" customWidth="1"/>
    <col min="11782" max="11782" width="5.21875" style="873" bestFit="1" customWidth="1"/>
    <col min="11783" max="11783" width="4.33203125" style="873" bestFit="1" customWidth="1"/>
    <col min="11784" max="11784" width="7.109375" style="873" customWidth="1"/>
    <col min="11785" max="11785" width="4.21875" style="873" customWidth="1"/>
    <col min="11786" max="12032" width="8.77734375" style="873"/>
    <col min="12033" max="12033" width="5.6640625" style="873" customWidth="1"/>
    <col min="12034" max="12034" width="31.109375" style="873" customWidth="1"/>
    <col min="12035" max="12035" width="5.77734375" style="873" customWidth="1"/>
    <col min="12036" max="12036" width="7.6640625" style="873" customWidth="1"/>
    <col min="12037" max="12037" width="9.77734375" style="873" customWidth="1"/>
    <col min="12038" max="12038" width="5.21875" style="873" bestFit="1" customWidth="1"/>
    <col min="12039" max="12039" width="4.33203125" style="873" bestFit="1" customWidth="1"/>
    <col min="12040" max="12040" width="7.109375" style="873" customWidth="1"/>
    <col min="12041" max="12041" width="4.21875" style="873" customWidth="1"/>
    <col min="12042" max="12288" width="8.77734375" style="873"/>
    <col min="12289" max="12289" width="5.6640625" style="873" customWidth="1"/>
    <col min="12290" max="12290" width="31.109375" style="873" customWidth="1"/>
    <col min="12291" max="12291" width="5.77734375" style="873" customWidth="1"/>
    <col min="12292" max="12292" width="7.6640625" style="873" customWidth="1"/>
    <col min="12293" max="12293" width="9.77734375" style="873" customWidth="1"/>
    <col min="12294" max="12294" width="5.21875" style="873" bestFit="1" customWidth="1"/>
    <col min="12295" max="12295" width="4.33203125" style="873" bestFit="1" customWidth="1"/>
    <col min="12296" max="12296" width="7.109375" style="873" customWidth="1"/>
    <col min="12297" max="12297" width="4.21875" style="873" customWidth="1"/>
    <col min="12298" max="12544" width="8.77734375" style="873"/>
    <col min="12545" max="12545" width="5.6640625" style="873" customWidth="1"/>
    <col min="12546" max="12546" width="31.109375" style="873" customWidth="1"/>
    <col min="12547" max="12547" width="5.77734375" style="873" customWidth="1"/>
    <col min="12548" max="12548" width="7.6640625" style="873" customWidth="1"/>
    <col min="12549" max="12549" width="9.77734375" style="873" customWidth="1"/>
    <col min="12550" max="12550" width="5.21875" style="873" bestFit="1" customWidth="1"/>
    <col min="12551" max="12551" width="4.33203125" style="873" bestFit="1" customWidth="1"/>
    <col min="12552" max="12552" width="7.109375" style="873" customWidth="1"/>
    <col min="12553" max="12553" width="4.21875" style="873" customWidth="1"/>
    <col min="12554" max="12800" width="8.77734375" style="873"/>
    <col min="12801" max="12801" width="5.6640625" style="873" customWidth="1"/>
    <col min="12802" max="12802" width="31.109375" style="873" customWidth="1"/>
    <col min="12803" max="12803" width="5.77734375" style="873" customWidth="1"/>
    <col min="12804" max="12804" width="7.6640625" style="873" customWidth="1"/>
    <col min="12805" max="12805" width="9.77734375" style="873" customWidth="1"/>
    <col min="12806" max="12806" width="5.21875" style="873" bestFit="1" customWidth="1"/>
    <col min="12807" max="12807" width="4.33203125" style="873" bestFit="1" customWidth="1"/>
    <col min="12808" max="12808" width="7.109375" style="873" customWidth="1"/>
    <col min="12809" max="12809" width="4.21875" style="873" customWidth="1"/>
    <col min="12810" max="13056" width="8.77734375" style="873"/>
    <col min="13057" max="13057" width="5.6640625" style="873" customWidth="1"/>
    <col min="13058" max="13058" width="31.109375" style="873" customWidth="1"/>
    <col min="13059" max="13059" width="5.77734375" style="873" customWidth="1"/>
    <col min="13060" max="13060" width="7.6640625" style="873" customWidth="1"/>
    <col min="13061" max="13061" width="9.77734375" style="873" customWidth="1"/>
    <col min="13062" max="13062" width="5.21875" style="873" bestFit="1" customWidth="1"/>
    <col min="13063" max="13063" width="4.33203125" style="873" bestFit="1" customWidth="1"/>
    <col min="13064" max="13064" width="7.109375" style="873" customWidth="1"/>
    <col min="13065" max="13065" width="4.21875" style="873" customWidth="1"/>
    <col min="13066" max="13312" width="8.77734375" style="873"/>
    <col min="13313" max="13313" width="5.6640625" style="873" customWidth="1"/>
    <col min="13314" max="13314" width="31.109375" style="873" customWidth="1"/>
    <col min="13315" max="13315" width="5.77734375" style="873" customWidth="1"/>
    <col min="13316" max="13316" width="7.6640625" style="873" customWidth="1"/>
    <col min="13317" max="13317" width="9.77734375" style="873" customWidth="1"/>
    <col min="13318" max="13318" width="5.21875" style="873" bestFit="1" customWidth="1"/>
    <col min="13319" max="13319" width="4.33203125" style="873" bestFit="1" customWidth="1"/>
    <col min="13320" max="13320" width="7.109375" style="873" customWidth="1"/>
    <col min="13321" max="13321" width="4.21875" style="873" customWidth="1"/>
    <col min="13322" max="13568" width="8.77734375" style="873"/>
    <col min="13569" max="13569" width="5.6640625" style="873" customWidth="1"/>
    <col min="13570" max="13570" width="31.109375" style="873" customWidth="1"/>
    <col min="13571" max="13571" width="5.77734375" style="873" customWidth="1"/>
    <col min="13572" max="13572" width="7.6640625" style="873" customWidth="1"/>
    <col min="13573" max="13573" width="9.77734375" style="873" customWidth="1"/>
    <col min="13574" max="13574" width="5.21875" style="873" bestFit="1" customWidth="1"/>
    <col min="13575" max="13575" width="4.33203125" style="873" bestFit="1" customWidth="1"/>
    <col min="13576" max="13576" width="7.109375" style="873" customWidth="1"/>
    <col min="13577" max="13577" width="4.21875" style="873" customWidth="1"/>
    <col min="13578" max="13824" width="8.77734375" style="873"/>
    <col min="13825" max="13825" width="5.6640625" style="873" customWidth="1"/>
    <col min="13826" max="13826" width="31.109375" style="873" customWidth="1"/>
    <col min="13827" max="13827" width="5.77734375" style="873" customWidth="1"/>
    <col min="13828" max="13828" width="7.6640625" style="873" customWidth="1"/>
    <col min="13829" max="13829" width="9.77734375" style="873" customWidth="1"/>
    <col min="13830" max="13830" width="5.21875" style="873" bestFit="1" customWidth="1"/>
    <col min="13831" max="13831" width="4.33203125" style="873" bestFit="1" customWidth="1"/>
    <col min="13832" max="13832" width="7.109375" style="873" customWidth="1"/>
    <col min="13833" max="13833" width="4.21875" style="873" customWidth="1"/>
    <col min="13834" max="14080" width="8.77734375" style="873"/>
    <col min="14081" max="14081" width="5.6640625" style="873" customWidth="1"/>
    <col min="14082" max="14082" width="31.109375" style="873" customWidth="1"/>
    <col min="14083" max="14083" width="5.77734375" style="873" customWidth="1"/>
    <col min="14084" max="14084" width="7.6640625" style="873" customWidth="1"/>
    <col min="14085" max="14085" width="9.77734375" style="873" customWidth="1"/>
    <col min="14086" max="14086" width="5.21875" style="873" bestFit="1" customWidth="1"/>
    <col min="14087" max="14087" width="4.33203125" style="873" bestFit="1" customWidth="1"/>
    <col min="14088" max="14088" width="7.109375" style="873" customWidth="1"/>
    <col min="14089" max="14089" width="4.21875" style="873" customWidth="1"/>
    <col min="14090" max="14336" width="8.77734375" style="873"/>
    <col min="14337" max="14337" width="5.6640625" style="873" customWidth="1"/>
    <col min="14338" max="14338" width="31.109375" style="873" customWidth="1"/>
    <col min="14339" max="14339" width="5.77734375" style="873" customWidth="1"/>
    <col min="14340" max="14340" width="7.6640625" style="873" customWidth="1"/>
    <col min="14341" max="14341" width="9.77734375" style="873" customWidth="1"/>
    <col min="14342" max="14342" width="5.21875" style="873" bestFit="1" customWidth="1"/>
    <col min="14343" max="14343" width="4.33203125" style="873" bestFit="1" customWidth="1"/>
    <col min="14344" max="14344" width="7.109375" style="873" customWidth="1"/>
    <col min="14345" max="14345" width="4.21875" style="873" customWidth="1"/>
    <col min="14346" max="14592" width="8.77734375" style="873"/>
    <col min="14593" max="14593" width="5.6640625" style="873" customWidth="1"/>
    <col min="14594" max="14594" width="31.109375" style="873" customWidth="1"/>
    <col min="14595" max="14595" width="5.77734375" style="873" customWidth="1"/>
    <col min="14596" max="14596" width="7.6640625" style="873" customWidth="1"/>
    <col min="14597" max="14597" width="9.77734375" style="873" customWidth="1"/>
    <col min="14598" max="14598" width="5.21875" style="873" bestFit="1" customWidth="1"/>
    <col min="14599" max="14599" width="4.33203125" style="873" bestFit="1" customWidth="1"/>
    <col min="14600" max="14600" width="7.109375" style="873" customWidth="1"/>
    <col min="14601" max="14601" width="4.21875" style="873" customWidth="1"/>
    <col min="14602" max="14848" width="8.77734375" style="873"/>
    <col min="14849" max="14849" width="5.6640625" style="873" customWidth="1"/>
    <col min="14850" max="14850" width="31.109375" style="873" customWidth="1"/>
    <col min="14851" max="14851" width="5.77734375" style="873" customWidth="1"/>
    <col min="14852" max="14852" width="7.6640625" style="873" customWidth="1"/>
    <col min="14853" max="14853" width="9.77734375" style="873" customWidth="1"/>
    <col min="14854" max="14854" width="5.21875" style="873" bestFit="1" customWidth="1"/>
    <col min="14855" max="14855" width="4.33203125" style="873" bestFit="1" customWidth="1"/>
    <col min="14856" max="14856" width="7.109375" style="873" customWidth="1"/>
    <col min="14857" max="14857" width="4.21875" style="873" customWidth="1"/>
    <col min="14858" max="15104" width="8.77734375" style="873"/>
    <col min="15105" max="15105" width="5.6640625" style="873" customWidth="1"/>
    <col min="15106" max="15106" width="31.109375" style="873" customWidth="1"/>
    <col min="15107" max="15107" width="5.77734375" style="873" customWidth="1"/>
    <col min="15108" max="15108" width="7.6640625" style="873" customWidth="1"/>
    <col min="15109" max="15109" width="9.77734375" style="873" customWidth="1"/>
    <col min="15110" max="15110" width="5.21875" style="873" bestFit="1" customWidth="1"/>
    <col min="15111" max="15111" width="4.33203125" style="873" bestFit="1" customWidth="1"/>
    <col min="15112" max="15112" width="7.109375" style="873" customWidth="1"/>
    <col min="15113" max="15113" width="4.21875" style="873" customWidth="1"/>
    <col min="15114" max="15360" width="8.77734375" style="873"/>
    <col min="15361" max="15361" width="5.6640625" style="873" customWidth="1"/>
    <col min="15362" max="15362" width="31.109375" style="873" customWidth="1"/>
    <col min="15363" max="15363" width="5.77734375" style="873" customWidth="1"/>
    <col min="15364" max="15364" width="7.6640625" style="873" customWidth="1"/>
    <col min="15365" max="15365" width="9.77734375" style="873" customWidth="1"/>
    <col min="15366" max="15366" width="5.21875" style="873" bestFit="1" customWidth="1"/>
    <col min="15367" max="15367" width="4.33203125" style="873" bestFit="1" customWidth="1"/>
    <col min="15368" max="15368" width="7.109375" style="873" customWidth="1"/>
    <col min="15369" max="15369" width="4.21875" style="873" customWidth="1"/>
    <col min="15370" max="15616" width="8.77734375" style="873"/>
    <col min="15617" max="15617" width="5.6640625" style="873" customWidth="1"/>
    <col min="15618" max="15618" width="31.109375" style="873" customWidth="1"/>
    <col min="15619" max="15619" width="5.77734375" style="873" customWidth="1"/>
    <col min="15620" max="15620" width="7.6640625" style="873" customWidth="1"/>
    <col min="15621" max="15621" width="9.77734375" style="873" customWidth="1"/>
    <col min="15622" max="15622" width="5.21875" style="873" bestFit="1" customWidth="1"/>
    <col min="15623" max="15623" width="4.33203125" style="873" bestFit="1" customWidth="1"/>
    <col min="15624" max="15624" width="7.109375" style="873" customWidth="1"/>
    <col min="15625" max="15625" width="4.21875" style="873" customWidth="1"/>
    <col min="15626" max="15872" width="8.77734375" style="873"/>
    <col min="15873" max="15873" width="5.6640625" style="873" customWidth="1"/>
    <col min="15874" max="15874" width="31.109375" style="873" customWidth="1"/>
    <col min="15875" max="15875" width="5.77734375" style="873" customWidth="1"/>
    <col min="15876" max="15876" width="7.6640625" style="873" customWidth="1"/>
    <col min="15877" max="15877" width="9.77734375" style="873" customWidth="1"/>
    <col min="15878" max="15878" width="5.21875" style="873" bestFit="1" customWidth="1"/>
    <col min="15879" max="15879" width="4.33203125" style="873" bestFit="1" customWidth="1"/>
    <col min="15880" max="15880" width="7.109375" style="873" customWidth="1"/>
    <col min="15881" max="15881" width="4.21875" style="873" customWidth="1"/>
    <col min="15882" max="16128" width="8.77734375" style="873"/>
    <col min="16129" max="16129" width="5.6640625" style="873" customWidth="1"/>
    <col min="16130" max="16130" width="31.109375" style="873" customWidth="1"/>
    <col min="16131" max="16131" width="5.77734375" style="873" customWidth="1"/>
    <col min="16132" max="16132" width="7.6640625" style="873" customWidth="1"/>
    <col min="16133" max="16133" width="9.77734375" style="873" customWidth="1"/>
    <col min="16134" max="16134" width="5.21875" style="873" bestFit="1" customWidth="1"/>
    <col min="16135" max="16135" width="4.33203125" style="873" bestFit="1" customWidth="1"/>
    <col min="16136" max="16136" width="7.109375" style="873" customWidth="1"/>
    <col min="16137" max="16137" width="4.21875" style="873" customWidth="1"/>
    <col min="16138" max="16384" width="8.77734375" style="873"/>
  </cols>
  <sheetData>
    <row r="1" spans="1:9" ht="18.75">
      <c r="A1" s="1063" t="s">
        <v>2403</v>
      </c>
      <c r="B1" s="1063"/>
      <c r="C1" s="1063"/>
      <c r="D1" s="1063"/>
      <c r="E1" s="1063"/>
      <c r="F1" s="1063"/>
      <c r="G1" s="1063"/>
      <c r="H1" s="1063"/>
      <c r="I1" s="1063"/>
    </row>
    <row r="2" spans="1:9" ht="18.75">
      <c r="A2" s="1063" t="s">
        <v>4214</v>
      </c>
      <c r="B2" s="1063"/>
      <c r="C2" s="1063"/>
      <c r="D2" s="1063"/>
      <c r="E2" s="1063"/>
      <c r="F2" s="1063"/>
      <c r="G2" s="1063"/>
      <c r="H2" s="1063"/>
      <c r="I2" s="1063"/>
    </row>
    <row r="3" spans="1:9" ht="7.9" customHeight="1">
      <c r="A3" s="874"/>
      <c r="B3" s="874"/>
      <c r="C3" s="874"/>
      <c r="D3" s="874"/>
      <c r="E3" s="874"/>
      <c r="F3" s="874"/>
      <c r="G3" s="874"/>
      <c r="H3" s="874"/>
      <c r="I3" s="874"/>
    </row>
    <row r="4" spans="1:9" ht="61.15" customHeight="1">
      <c r="A4" s="1064" t="str">
        <f>'Plinth Protection'!A6:J6</f>
        <v>Name of work:  Construction of Urban Police Station Building at Nachiyarkoil in Thanjavur District under Announcement made by the Hon’ble Chief Minister for the year 2023 - 2024</v>
      </c>
      <c r="B4" s="1064"/>
      <c r="C4" s="1064"/>
      <c r="D4" s="1064"/>
      <c r="E4" s="1064"/>
      <c r="F4" s="1064"/>
      <c r="G4" s="1064"/>
      <c r="H4" s="1064"/>
      <c r="I4" s="1064"/>
    </row>
    <row r="5" spans="1:9" ht="7.9" customHeight="1">
      <c r="A5" s="1063"/>
      <c r="B5" s="1063"/>
      <c r="C5" s="1063"/>
      <c r="D5" s="1063"/>
      <c r="E5" s="1063"/>
      <c r="F5" s="1063"/>
      <c r="G5" s="1063"/>
      <c r="H5" s="1063"/>
      <c r="I5" s="1063"/>
    </row>
    <row r="6" spans="1:9" ht="18.75">
      <c r="A6" s="1063" t="s">
        <v>4808</v>
      </c>
      <c r="B6" s="1063"/>
      <c r="C6" s="1063"/>
      <c r="D6" s="1063"/>
      <c r="E6" s="1063"/>
      <c r="F6" s="1063"/>
      <c r="G6" s="1063"/>
      <c r="H6" s="1063"/>
      <c r="I6" s="1063"/>
    </row>
    <row r="7" spans="1:9" ht="14.45" customHeight="1">
      <c r="A7" s="1065" t="s">
        <v>182</v>
      </c>
      <c r="B7" s="1066" t="s">
        <v>4809</v>
      </c>
      <c r="C7" s="1067" t="s">
        <v>838</v>
      </c>
      <c r="D7" s="1067"/>
      <c r="E7" s="1066" t="s">
        <v>3482</v>
      </c>
      <c r="F7" s="1068" t="s">
        <v>1261</v>
      </c>
      <c r="G7" s="1068" t="s">
        <v>3483</v>
      </c>
      <c r="H7" s="1068" t="s">
        <v>1720</v>
      </c>
      <c r="I7" s="1067" t="s">
        <v>181</v>
      </c>
    </row>
    <row r="8" spans="1:9" ht="14.45" customHeight="1">
      <c r="A8" s="1065"/>
      <c r="B8" s="1066"/>
      <c r="C8" s="1067"/>
      <c r="D8" s="1067"/>
      <c r="E8" s="1066"/>
      <c r="F8" s="1068"/>
      <c r="G8" s="1068"/>
      <c r="H8" s="1068"/>
      <c r="I8" s="1067"/>
    </row>
    <row r="9" spans="1:9" ht="19.899999999999999" customHeight="1">
      <c r="A9" s="875">
        <v>1.5</v>
      </c>
      <c r="B9" s="1061" t="s">
        <v>4810</v>
      </c>
      <c r="C9" s="1061"/>
      <c r="D9" s="1061"/>
      <c r="E9" s="1061"/>
      <c r="F9" s="1061"/>
      <c r="G9" s="1061"/>
      <c r="H9" s="876"/>
      <c r="I9" s="877"/>
    </row>
    <row r="10" spans="1:9" ht="19.899999999999999" customHeight="1">
      <c r="A10" s="875"/>
      <c r="B10" s="878" t="s">
        <v>4220</v>
      </c>
      <c r="C10" s="879"/>
      <c r="D10" s="879"/>
      <c r="E10" s="876"/>
      <c r="F10" s="876"/>
      <c r="G10" s="876"/>
      <c r="H10" s="876"/>
      <c r="I10" s="877"/>
    </row>
    <row r="11" spans="1:9" ht="19.899999999999999" customHeight="1">
      <c r="A11" s="875"/>
      <c r="B11" s="878" t="s">
        <v>4811</v>
      </c>
      <c r="C11" s="880">
        <v>3.14</v>
      </c>
      <c r="D11" s="880">
        <v>0.25</v>
      </c>
      <c r="E11" s="876">
        <v>5.46</v>
      </c>
      <c r="F11" s="876">
        <v>5.46</v>
      </c>
      <c r="G11" s="876">
        <v>0.75</v>
      </c>
      <c r="H11" s="876">
        <f>PRODUCT(C11:G11)</f>
        <v>17.55</v>
      </c>
      <c r="I11" s="877"/>
    </row>
    <row r="12" spans="1:9" ht="19.899999999999999" customHeight="1">
      <c r="A12" s="875"/>
      <c r="B12" s="878"/>
      <c r="C12" s="880"/>
      <c r="D12" s="880"/>
      <c r="E12" s="876"/>
      <c r="F12" s="876"/>
      <c r="G12" s="876"/>
      <c r="H12" s="876">
        <v>0.05</v>
      </c>
      <c r="I12" s="877"/>
    </row>
    <row r="13" spans="1:9" ht="19.899999999999999" customHeight="1">
      <c r="A13" s="875"/>
      <c r="B13" s="878"/>
      <c r="C13" s="879"/>
      <c r="D13" s="879"/>
      <c r="E13" s="876"/>
      <c r="F13" s="876"/>
      <c r="G13" s="881" t="s">
        <v>2560</v>
      </c>
      <c r="H13" s="881">
        <f>SUM(H11:H12)</f>
        <v>17.600000000000001</v>
      </c>
      <c r="I13" s="882" t="s">
        <v>1749</v>
      </c>
    </row>
    <row r="14" spans="1:9" ht="19.899999999999999" customHeight="1">
      <c r="A14" s="875">
        <v>2.1</v>
      </c>
      <c r="B14" s="878" t="s">
        <v>733</v>
      </c>
      <c r="C14" s="879"/>
      <c r="D14" s="879"/>
      <c r="E14" s="876"/>
      <c r="F14" s="876"/>
      <c r="G14" s="876"/>
      <c r="H14" s="876"/>
      <c r="I14" s="877"/>
    </row>
    <row r="15" spans="1:9" ht="19.899999999999999" customHeight="1">
      <c r="A15" s="875"/>
      <c r="B15" s="878" t="s">
        <v>4811</v>
      </c>
      <c r="C15" s="880">
        <v>3.14</v>
      </c>
      <c r="D15" s="880">
        <v>0.25</v>
      </c>
      <c r="E15" s="876">
        <f>E11</f>
        <v>5.46</v>
      </c>
      <c r="F15" s="876">
        <f>F11</f>
        <v>5.46</v>
      </c>
      <c r="G15" s="876">
        <v>0.1</v>
      </c>
      <c r="H15" s="876">
        <f>PRODUCT(C15:G15)</f>
        <v>2.34</v>
      </c>
      <c r="I15" s="877"/>
    </row>
    <row r="16" spans="1:9" ht="19.899999999999999" customHeight="1">
      <c r="A16" s="875"/>
      <c r="B16" s="878"/>
      <c r="C16" s="879"/>
      <c r="D16" s="879"/>
      <c r="E16" s="876"/>
      <c r="F16" s="876"/>
      <c r="G16" s="876"/>
      <c r="H16" s="876">
        <v>0.06</v>
      </c>
      <c r="I16" s="877"/>
    </row>
    <row r="17" spans="1:11" ht="19.899999999999999" customHeight="1">
      <c r="A17" s="875"/>
      <c r="B17" s="878"/>
      <c r="C17" s="879"/>
      <c r="D17" s="879"/>
      <c r="E17" s="876"/>
      <c r="F17" s="876"/>
      <c r="G17" s="881" t="s">
        <v>2560</v>
      </c>
      <c r="H17" s="881">
        <f>SUM(H15:H16)</f>
        <v>2.4</v>
      </c>
      <c r="I17" s="882" t="s">
        <v>1749</v>
      </c>
    </row>
    <row r="18" spans="1:11" ht="30" customHeight="1">
      <c r="A18" s="875">
        <v>3.1</v>
      </c>
      <c r="B18" s="1058" t="s">
        <v>4812</v>
      </c>
      <c r="C18" s="1059"/>
      <c r="D18" s="1059"/>
      <c r="E18" s="1059"/>
      <c r="F18" s="1059"/>
      <c r="G18" s="1060"/>
      <c r="H18" s="876"/>
      <c r="I18" s="877"/>
    </row>
    <row r="19" spans="1:11" ht="19.899999999999999" customHeight="1">
      <c r="A19" s="875"/>
      <c r="B19" s="878" t="s">
        <v>4811</v>
      </c>
      <c r="C19" s="880">
        <v>3.14</v>
      </c>
      <c r="D19" s="880">
        <v>0.25</v>
      </c>
      <c r="E19" s="876">
        <f>E15</f>
        <v>5.46</v>
      </c>
      <c r="F19" s="876">
        <f>F15</f>
        <v>5.46</v>
      </c>
      <c r="G19" s="876">
        <v>0.1</v>
      </c>
      <c r="H19" s="876">
        <f>PRODUCT(C19:G19)</f>
        <v>2.34</v>
      </c>
      <c r="I19" s="877"/>
    </row>
    <row r="20" spans="1:11" ht="19.899999999999999" customHeight="1">
      <c r="A20" s="875"/>
      <c r="B20" s="878"/>
      <c r="C20" s="879"/>
      <c r="D20" s="879"/>
      <c r="E20" s="876"/>
      <c r="F20" s="876"/>
      <c r="G20" s="876"/>
      <c r="H20" s="876">
        <v>0.06</v>
      </c>
      <c r="I20" s="877"/>
    </row>
    <row r="21" spans="1:11" ht="19.899999999999999" customHeight="1">
      <c r="A21" s="875"/>
      <c r="B21" s="878"/>
      <c r="C21" s="879"/>
      <c r="D21" s="879"/>
      <c r="E21" s="876"/>
      <c r="F21" s="876"/>
      <c r="G21" s="881" t="s">
        <v>2560</v>
      </c>
      <c r="H21" s="881">
        <f>SUM(H19:H20)</f>
        <v>2.4</v>
      </c>
      <c r="I21" s="882" t="s">
        <v>1749</v>
      </c>
    </row>
    <row r="22" spans="1:11" ht="30" customHeight="1">
      <c r="A22" s="875">
        <v>4.0999999999999996</v>
      </c>
      <c r="B22" s="1058" t="s">
        <v>4813</v>
      </c>
      <c r="C22" s="1059"/>
      <c r="D22" s="1059"/>
      <c r="E22" s="1059"/>
      <c r="F22" s="1059"/>
      <c r="G22" s="1060"/>
      <c r="H22" s="876"/>
      <c r="I22" s="877"/>
    </row>
    <row r="23" spans="1:11" ht="19.899999999999999" customHeight="1">
      <c r="A23" s="875"/>
      <c r="B23" s="878" t="s">
        <v>4814</v>
      </c>
      <c r="C23" s="879"/>
      <c r="D23" s="879"/>
      <c r="E23" s="876"/>
      <c r="F23" s="876"/>
      <c r="G23" s="876"/>
      <c r="H23" s="876"/>
      <c r="I23" s="877"/>
    </row>
    <row r="24" spans="1:11" ht="19.899999999999999" customHeight="1">
      <c r="A24" s="875"/>
      <c r="B24" s="878" t="s">
        <v>4811</v>
      </c>
      <c r="C24" s="880">
        <v>3.14</v>
      </c>
      <c r="D24" s="880">
        <v>0.25</v>
      </c>
      <c r="E24" s="876">
        <v>5.16</v>
      </c>
      <c r="F24" s="876">
        <v>5.16</v>
      </c>
      <c r="G24" s="876">
        <v>0.25</v>
      </c>
      <c r="H24" s="876">
        <f t="shared" ref="H24:H29" si="0">PRODUCT(C24:G24)</f>
        <v>5.23</v>
      </c>
      <c r="I24" s="877"/>
    </row>
    <row r="25" spans="1:11" ht="19.899999999999999" customHeight="1">
      <c r="A25" s="875"/>
      <c r="B25" s="878" t="s">
        <v>4815</v>
      </c>
      <c r="C25" s="880">
        <v>3.14</v>
      </c>
      <c r="D25" s="879">
        <v>1</v>
      </c>
      <c r="E25" s="876">
        <v>3.88</v>
      </c>
      <c r="F25" s="876">
        <v>0.15</v>
      </c>
      <c r="G25" s="876">
        <v>2.25</v>
      </c>
      <c r="H25" s="876">
        <f t="shared" si="0"/>
        <v>4.1100000000000003</v>
      </c>
      <c r="I25" s="877"/>
    </row>
    <row r="26" spans="1:11" ht="19.899999999999999" customHeight="1">
      <c r="A26" s="875"/>
      <c r="B26" s="878" t="s">
        <v>4816</v>
      </c>
      <c r="C26" s="880">
        <v>3.14</v>
      </c>
      <c r="D26" s="880">
        <v>0.5</v>
      </c>
      <c r="E26" s="876">
        <v>3.5</v>
      </c>
      <c r="F26" s="876">
        <v>0.3</v>
      </c>
      <c r="G26" s="876">
        <v>0.3</v>
      </c>
      <c r="H26" s="876">
        <f t="shared" si="0"/>
        <v>0.49</v>
      </c>
      <c r="I26" s="877"/>
    </row>
    <row r="27" spans="1:11" ht="19.899999999999999" customHeight="1">
      <c r="A27" s="875"/>
      <c r="B27" s="878" t="s">
        <v>4817</v>
      </c>
      <c r="C27" s="880">
        <v>1</v>
      </c>
      <c r="D27" s="880">
        <v>1</v>
      </c>
      <c r="E27" s="876">
        <v>3.5</v>
      </c>
      <c r="F27" s="876">
        <v>0.15</v>
      </c>
      <c r="G27" s="876">
        <v>2.25</v>
      </c>
      <c r="H27" s="876">
        <f t="shared" si="0"/>
        <v>1.18</v>
      </c>
      <c r="I27" s="877"/>
    </row>
    <row r="28" spans="1:11" ht="19.899999999999999" customHeight="1">
      <c r="A28" s="875"/>
      <c r="B28" s="878" t="s">
        <v>4818</v>
      </c>
      <c r="C28" s="880">
        <v>3.14</v>
      </c>
      <c r="D28" s="880">
        <v>0.25</v>
      </c>
      <c r="E28" s="876">
        <v>4.26</v>
      </c>
      <c r="F28" s="876">
        <v>4.26</v>
      </c>
      <c r="G28" s="876">
        <v>0.15</v>
      </c>
      <c r="H28" s="876">
        <f t="shared" si="0"/>
        <v>2.14</v>
      </c>
      <c r="I28" s="877"/>
    </row>
    <row r="29" spans="1:11" ht="19.899999999999999" customHeight="1">
      <c r="A29" s="875"/>
      <c r="B29" s="878" t="s">
        <v>4819</v>
      </c>
      <c r="C29" s="879">
        <v>2</v>
      </c>
      <c r="D29" s="879">
        <v>-1</v>
      </c>
      <c r="E29" s="876">
        <v>0.6</v>
      </c>
      <c r="F29" s="876">
        <v>0.6</v>
      </c>
      <c r="G29" s="876">
        <v>0.15</v>
      </c>
      <c r="H29" s="876">
        <f t="shared" si="0"/>
        <v>-0.11</v>
      </c>
      <c r="I29" s="877"/>
    </row>
    <row r="30" spans="1:11" ht="19.899999999999999" customHeight="1">
      <c r="A30" s="875"/>
      <c r="B30" s="878"/>
      <c r="C30" s="879"/>
      <c r="D30" s="879"/>
      <c r="E30" s="876"/>
      <c r="F30" s="876"/>
      <c r="G30" s="876"/>
      <c r="H30" s="876">
        <v>0.06</v>
      </c>
      <c r="I30" s="877"/>
    </row>
    <row r="31" spans="1:11" ht="19.899999999999999" customHeight="1">
      <c r="A31" s="875"/>
      <c r="B31" s="878"/>
      <c r="C31" s="879"/>
      <c r="D31" s="879"/>
      <c r="E31" s="876"/>
      <c r="F31" s="876"/>
      <c r="G31" s="881" t="s">
        <v>2560</v>
      </c>
      <c r="H31" s="881">
        <f>SUM(H24:H30)</f>
        <v>13.1</v>
      </c>
      <c r="I31" s="882" t="s">
        <v>1749</v>
      </c>
      <c r="J31" s="873">
        <v>130</v>
      </c>
      <c r="K31" s="873">
        <f>H31*J31</f>
        <v>1703</v>
      </c>
    </row>
    <row r="32" spans="1:11" ht="30" customHeight="1">
      <c r="A32" s="875">
        <v>10.5</v>
      </c>
      <c r="B32" s="1061" t="s">
        <v>4380</v>
      </c>
      <c r="C32" s="1061"/>
      <c r="D32" s="1061"/>
      <c r="E32" s="1061"/>
      <c r="F32" s="1061"/>
      <c r="G32" s="1061"/>
      <c r="H32" s="876"/>
      <c r="I32" s="877"/>
    </row>
    <row r="33" spans="1:9" ht="19.899999999999999" customHeight="1">
      <c r="A33" s="875"/>
      <c r="B33" s="878" t="s">
        <v>4820</v>
      </c>
      <c r="C33" s="879"/>
      <c r="D33" s="879"/>
      <c r="E33" s="876"/>
      <c r="F33" s="876"/>
      <c r="G33" s="876"/>
      <c r="H33" s="876"/>
      <c r="I33" s="877"/>
    </row>
    <row r="34" spans="1:9" ht="19.899999999999999" customHeight="1">
      <c r="A34" s="875"/>
      <c r="B34" s="878" t="s">
        <v>4821</v>
      </c>
      <c r="C34" s="879">
        <v>1</v>
      </c>
      <c r="D34" s="879">
        <v>1</v>
      </c>
      <c r="E34" s="876">
        <v>3.14</v>
      </c>
      <c r="F34" s="876">
        <v>3.62</v>
      </c>
      <c r="G34" s="876">
        <v>2.25</v>
      </c>
      <c r="H34" s="876">
        <f>PRODUCT(C34:G34)</f>
        <v>25.58</v>
      </c>
      <c r="I34" s="877"/>
    </row>
    <row r="35" spans="1:9" ht="19.899999999999999" customHeight="1">
      <c r="A35" s="875"/>
      <c r="B35" s="878" t="s">
        <v>4822</v>
      </c>
      <c r="C35" s="879">
        <v>1</v>
      </c>
      <c r="D35" s="879">
        <v>1</v>
      </c>
      <c r="E35" s="876">
        <v>3.14</v>
      </c>
      <c r="F35" s="876">
        <v>4.1500000000000004</v>
      </c>
      <c r="G35" s="876">
        <v>2.25</v>
      </c>
      <c r="H35" s="876">
        <f>PRODUCT(C35:G35)</f>
        <v>29.32</v>
      </c>
      <c r="I35" s="877"/>
    </row>
    <row r="36" spans="1:9" ht="19.899999999999999" customHeight="1">
      <c r="A36" s="875"/>
      <c r="B36" s="878"/>
      <c r="C36" s="879"/>
      <c r="D36" s="879"/>
      <c r="E36" s="876"/>
      <c r="F36" s="876"/>
      <c r="G36" s="876"/>
      <c r="H36" s="876">
        <f>SUM(H34:H35)</f>
        <v>54.9</v>
      </c>
      <c r="I36" s="877"/>
    </row>
    <row r="37" spans="1:9" ht="19.899999999999999" customHeight="1">
      <c r="A37" s="875"/>
      <c r="B37" s="878"/>
      <c r="C37" s="879"/>
      <c r="D37" s="879"/>
      <c r="E37" s="876"/>
      <c r="F37" s="876"/>
      <c r="G37" s="881" t="s">
        <v>2560</v>
      </c>
      <c r="H37" s="881">
        <f>ROUNDUP(H36,1-0)</f>
        <v>54.9</v>
      </c>
      <c r="I37" s="882" t="s">
        <v>1861</v>
      </c>
    </row>
    <row r="38" spans="1:9" ht="19.899999999999999" customHeight="1">
      <c r="A38" s="875">
        <v>33</v>
      </c>
      <c r="B38" s="878" t="s">
        <v>4823</v>
      </c>
      <c r="C38" s="879"/>
      <c r="D38" s="879"/>
      <c r="E38" s="876"/>
      <c r="F38" s="876"/>
      <c r="G38" s="876"/>
      <c r="H38" s="876"/>
      <c r="I38" s="877"/>
    </row>
    <row r="39" spans="1:9" ht="19.899999999999999" customHeight="1">
      <c r="A39" s="875"/>
      <c r="B39" s="878" t="s">
        <v>4821</v>
      </c>
      <c r="C39" s="879">
        <v>1</v>
      </c>
      <c r="D39" s="879">
        <v>1</v>
      </c>
      <c r="E39" s="876">
        <v>3.14</v>
      </c>
      <c r="F39" s="876">
        <v>3.5</v>
      </c>
      <c r="G39" s="876">
        <v>2.25</v>
      </c>
      <c r="H39" s="876">
        <f>PRODUCT(C39:G39)</f>
        <v>24.73</v>
      </c>
      <c r="I39" s="877"/>
    </row>
    <row r="40" spans="1:9" ht="19.899999999999999" customHeight="1">
      <c r="A40" s="875"/>
      <c r="B40" s="878"/>
      <c r="C40" s="879"/>
      <c r="D40" s="879"/>
      <c r="E40" s="876"/>
      <c r="F40" s="876"/>
      <c r="G40" s="876"/>
      <c r="H40" s="876">
        <f>H39</f>
        <v>24.73</v>
      </c>
      <c r="I40" s="877"/>
    </row>
    <row r="41" spans="1:9" ht="19.899999999999999" customHeight="1">
      <c r="A41" s="875"/>
      <c r="B41" s="878"/>
      <c r="C41" s="879"/>
      <c r="D41" s="879"/>
      <c r="E41" s="876"/>
      <c r="F41" s="876"/>
      <c r="G41" s="881" t="s">
        <v>2560</v>
      </c>
      <c r="H41" s="881">
        <f>ROUNDUP(H40,1-0)</f>
        <v>24.8</v>
      </c>
      <c r="I41" s="882" t="s">
        <v>1861</v>
      </c>
    </row>
    <row r="42" spans="1:9" ht="19.899999999999999" customHeight="1">
      <c r="A42" s="875">
        <v>35.1</v>
      </c>
      <c r="B42" s="1058" t="s">
        <v>2238</v>
      </c>
      <c r="C42" s="1059"/>
      <c r="D42" s="1059"/>
      <c r="E42" s="1059"/>
      <c r="F42" s="1059"/>
      <c r="G42" s="1060"/>
      <c r="H42" s="876"/>
      <c r="I42" s="877"/>
    </row>
    <row r="43" spans="1:9" ht="19.899999999999999" customHeight="1">
      <c r="A43" s="875"/>
      <c r="B43" s="878" t="s">
        <v>4824</v>
      </c>
      <c r="C43" s="879">
        <v>1</v>
      </c>
      <c r="D43" s="879">
        <v>1</v>
      </c>
      <c r="E43" s="876">
        <v>3.14</v>
      </c>
      <c r="F43" s="876">
        <v>4.26</v>
      </c>
      <c r="G43" s="876">
        <v>2.25</v>
      </c>
      <c r="H43" s="876">
        <f>PRODUCT(C43:G43)</f>
        <v>30.1</v>
      </c>
      <c r="I43" s="877"/>
    </row>
    <row r="44" spans="1:9" ht="19.899999999999999" customHeight="1">
      <c r="A44" s="875"/>
      <c r="B44" s="878"/>
      <c r="C44" s="879"/>
      <c r="D44" s="879"/>
      <c r="E44" s="876"/>
      <c r="F44" s="876"/>
      <c r="G44" s="881" t="s">
        <v>2560</v>
      </c>
      <c r="H44" s="881">
        <f>ROUNDUP(H43,1-0)</f>
        <v>30.1</v>
      </c>
      <c r="I44" s="882" t="s">
        <v>1861</v>
      </c>
    </row>
    <row r="45" spans="1:9" ht="30" customHeight="1">
      <c r="A45" s="875">
        <v>18.100000000000001</v>
      </c>
      <c r="B45" s="1061" t="s">
        <v>4825</v>
      </c>
      <c r="C45" s="1061"/>
      <c r="D45" s="1061"/>
      <c r="E45" s="1061"/>
      <c r="F45" s="1061"/>
      <c r="G45" s="1061"/>
      <c r="H45" s="876"/>
      <c r="I45" s="877"/>
    </row>
    <row r="46" spans="1:9" ht="19.899999999999999" customHeight="1">
      <c r="A46" s="875"/>
      <c r="B46" s="1058" t="s">
        <v>4826</v>
      </c>
      <c r="C46" s="1059"/>
      <c r="D46" s="1059"/>
      <c r="E46" s="1059"/>
      <c r="F46" s="1059"/>
      <c r="G46" s="1060"/>
      <c r="H46" s="876"/>
      <c r="I46" s="877"/>
    </row>
    <row r="47" spans="1:9" ht="19.899999999999999" customHeight="1">
      <c r="A47" s="875"/>
      <c r="B47" s="878" t="s">
        <v>4811</v>
      </c>
      <c r="C47" s="880">
        <v>3.14</v>
      </c>
      <c r="D47" s="879">
        <v>1</v>
      </c>
      <c r="E47" s="876">
        <v>5.16</v>
      </c>
      <c r="F47" s="876"/>
      <c r="G47" s="876">
        <v>0.25</v>
      </c>
      <c r="H47" s="876">
        <f>PRODUCT(C47:G47)</f>
        <v>4.05</v>
      </c>
      <c r="I47" s="877"/>
    </row>
    <row r="48" spans="1:9" ht="19.899999999999999" customHeight="1">
      <c r="A48" s="875"/>
      <c r="B48" s="878"/>
      <c r="C48" s="880"/>
      <c r="D48" s="879"/>
      <c r="E48" s="876"/>
      <c r="F48" s="876"/>
      <c r="G48" s="876"/>
      <c r="H48" s="876">
        <v>0.05</v>
      </c>
      <c r="I48" s="877"/>
    </row>
    <row r="49" spans="1:9" ht="19.899999999999999" customHeight="1">
      <c r="A49" s="875"/>
      <c r="B49" s="878"/>
      <c r="C49" s="880"/>
      <c r="D49" s="879"/>
      <c r="E49" s="876"/>
      <c r="F49" s="876"/>
      <c r="G49" s="881" t="s">
        <v>2560</v>
      </c>
      <c r="H49" s="881">
        <f>SUM(H47:H48)</f>
        <v>4.0999999999999996</v>
      </c>
      <c r="I49" s="882" t="s">
        <v>1861</v>
      </c>
    </row>
    <row r="50" spans="1:9" ht="30" customHeight="1">
      <c r="A50" s="875"/>
      <c r="B50" s="1058" t="s">
        <v>869</v>
      </c>
      <c r="C50" s="1059"/>
      <c r="D50" s="1059"/>
      <c r="E50" s="1059"/>
      <c r="F50" s="1059"/>
      <c r="G50" s="1060"/>
      <c r="H50" s="876"/>
      <c r="I50" s="877"/>
    </row>
    <row r="51" spans="1:9" ht="19.899999999999999" customHeight="1">
      <c r="A51" s="875"/>
      <c r="B51" s="878" t="s">
        <v>4827</v>
      </c>
      <c r="C51" s="880">
        <v>3.14</v>
      </c>
      <c r="D51" s="880">
        <v>0.25</v>
      </c>
      <c r="E51" s="876">
        <v>4.26</v>
      </c>
      <c r="F51" s="876">
        <v>4.26</v>
      </c>
      <c r="G51" s="876"/>
      <c r="H51" s="876">
        <f>PRODUCT(C51:G51)</f>
        <v>14.25</v>
      </c>
      <c r="I51" s="877"/>
    </row>
    <row r="52" spans="1:9" ht="19.899999999999999" customHeight="1">
      <c r="A52" s="875"/>
      <c r="B52" s="878" t="s">
        <v>4828</v>
      </c>
      <c r="C52" s="879">
        <v>-2</v>
      </c>
      <c r="D52" s="879">
        <v>1</v>
      </c>
      <c r="E52" s="876">
        <v>0.45</v>
      </c>
      <c r="F52" s="876">
        <v>0.45</v>
      </c>
      <c r="G52" s="876"/>
      <c r="H52" s="876">
        <f>PRODUCT(C52:G52)</f>
        <v>-0.41</v>
      </c>
      <c r="I52" s="877"/>
    </row>
    <row r="53" spans="1:9" ht="19.899999999999999" customHeight="1">
      <c r="A53" s="875"/>
      <c r="B53" s="878"/>
      <c r="C53" s="879"/>
      <c r="D53" s="879"/>
      <c r="E53" s="876"/>
      <c r="F53" s="876"/>
      <c r="G53" s="876"/>
      <c r="H53" s="876">
        <v>0.06</v>
      </c>
      <c r="I53" s="877"/>
    </row>
    <row r="54" spans="1:9" ht="19.899999999999999" customHeight="1">
      <c r="A54" s="875"/>
      <c r="B54" s="878"/>
      <c r="C54" s="879"/>
      <c r="D54" s="879"/>
      <c r="E54" s="876"/>
      <c r="F54" s="876"/>
      <c r="G54" s="881" t="s">
        <v>2560</v>
      </c>
      <c r="H54" s="881">
        <f>SUM(H51:H53)</f>
        <v>13.9</v>
      </c>
      <c r="I54" s="882" t="s">
        <v>1861</v>
      </c>
    </row>
    <row r="55" spans="1:9" ht="19.899999999999999" customHeight="1">
      <c r="A55" s="875"/>
      <c r="B55" s="878" t="s">
        <v>4829</v>
      </c>
      <c r="C55" s="880"/>
      <c r="D55" s="880"/>
      <c r="E55" s="876"/>
      <c r="F55" s="876"/>
      <c r="G55" s="876"/>
      <c r="H55" s="876"/>
      <c r="I55" s="877"/>
    </row>
    <row r="56" spans="1:9" ht="19.899999999999999" customHeight="1">
      <c r="A56" s="875"/>
      <c r="B56" s="878" t="s">
        <v>4830</v>
      </c>
      <c r="C56" s="879">
        <v>3</v>
      </c>
      <c r="D56" s="879">
        <v>1</v>
      </c>
      <c r="E56" s="876">
        <v>4.26</v>
      </c>
      <c r="F56" s="876"/>
      <c r="G56" s="876">
        <v>0.15</v>
      </c>
      <c r="H56" s="876">
        <f>PRODUCT(C56:G56)</f>
        <v>1.92</v>
      </c>
      <c r="I56" s="877"/>
    </row>
    <row r="57" spans="1:9" ht="19.899999999999999" customHeight="1">
      <c r="A57" s="875"/>
      <c r="B57" s="878"/>
      <c r="C57" s="879"/>
      <c r="D57" s="879"/>
      <c r="E57" s="876"/>
      <c r="F57" s="876"/>
      <c r="G57" s="876"/>
      <c r="H57" s="876">
        <v>0.08</v>
      </c>
      <c r="I57" s="877"/>
    </row>
    <row r="58" spans="1:9" ht="19.899999999999999" customHeight="1">
      <c r="A58" s="875"/>
      <c r="B58" s="878"/>
      <c r="C58" s="879"/>
      <c r="D58" s="879"/>
      <c r="E58" s="876"/>
      <c r="F58" s="876"/>
      <c r="G58" s="881" t="s">
        <v>2560</v>
      </c>
      <c r="H58" s="881">
        <f>SUM(H56:H57)</f>
        <v>2</v>
      </c>
      <c r="I58" s="882" t="s">
        <v>1861</v>
      </c>
    </row>
    <row r="59" spans="1:9" s="870" customFormat="1" ht="30" customHeight="1">
      <c r="A59" s="883">
        <v>43.1</v>
      </c>
      <c r="B59" s="1062" t="s">
        <v>4831</v>
      </c>
      <c r="C59" s="1062"/>
      <c r="D59" s="1062"/>
      <c r="E59" s="1062"/>
      <c r="F59" s="1062"/>
      <c r="G59" s="1062"/>
      <c r="H59" s="524"/>
      <c r="I59" s="884"/>
    </row>
    <row r="60" spans="1:9" ht="19.899999999999999" customHeight="1">
      <c r="A60" s="875"/>
      <c r="B60" s="878" t="s">
        <v>4264</v>
      </c>
      <c r="C60" s="879"/>
      <c r="D60" s="879"/>
      <c r="E60" s="876"/>
      <c r="F60" s="876">
        <f>H31</f>
        <v>13.1</v>
      </c>
      <c r="G60" s="876">
        <v>120</v>
      </c>
      <c r="H60" s="876">
        <f>G60*F60</f>
        <v>1572</v>
      </c>
      <c r="I60" s="877" t="s">
        <v>1341</v>
      </c>
    </row>
    <row r="61" spans="1:9" ht="19.899999999999999" customHeight="1">
      <c r="A61" s="875"/>
      <c r="B61" s="878"/>
      <c r="C61" s="879"/>
      <c r="D61" s="879"/>
      <c r="E61" s="876"/>
      <c r="F61" s="876"/>
      <c r="G61" s="881" t="s">
        <v>2560</v>
      </c>
      <c r="H61" s="885">
        <f>H60/1000</f>
        <v>1.5720000000000001</v>
      </c>
      <c r="I61" s="882" t="s">
        <v>427</v>
      </c>
    </row>
    <row r="62" spans="1:9" ht="19.899999999999999" customHeight="1">
      <c r="A62" s="875">
        <v>53.3</v>
      </c>
      <c r="B62" s="878" t="s">
        <v>4832</v>
      </c>
      <c r="C62" s="879"/>
      <c r="D62" s="879"/>
      <c r="E62" s="876"/>
      <c r="F62" s="876"/>
      <c r="G62" s="876"/>
      <c r="H62" s="876"/>
      <c r="I62" s="877"/>
    </row>
    <row r="63" spans="1:9" ht="19.899999999999999" customHeight="1">
      <c r="A63" s="875"/>
      <c r="B63" s="878" t="s">
        <v>4833</v>
      </c>
      <c r="C63" s="879">
        <v>2</v>
      </c>
      <c r="D63" s="879">
        <v>6</v>
      </c>
      <c r="E63" s="374"/>
      <c r="F63" s="876"/>
      <c r="G63" s="876"/>
      <c r="H63" s="876">
        <f>PRODUCT(C63:F63)</f>
        <v>12</v>
      </c>
      <c r="I63" s="877"/>
    </row>
    <row r="64" spans="1:9" ht="19.899999999999999" customHeight="1">
      <c r="A64" s="875"/>
      <c r="B64" s="878"/>
      <c r="C64" s="879"/>
      <c r="D64" s="879"/>
      <c r="E64" s="876"/>
      <c r="F64" s="876"/>
      <c r="G64" s="881" t="s">
        <v>2560</v>
      </c>
      <c r="H64" s="881">
        <f>ROUNDUP(H63,1-0)</f>
        <v>12</v>
      </c>
      <c r="I64" s="882" t="s">
        <v>1134</v>
      </c>
    </row>
    <row r="65" spans="1:9" ht="19.899999999999999" customHeight="1">
      <c r="A65" s="875">
        <v>53.4</v>
      </c>
      <c r="B65" s="1058" t="s">
        <v>51</v>
      </c>
      <c r="C65" s="1059"/>
      <c r="D65" s="1059"/>
      <c r="E65" s="1059"/>
      <c r="F65" s="1059"/>
      <c r="G65" s="1060"/>
      <c r="H65" s="876"/>
      <c r="I65" s="877"/>
    </row>
    <row r="66" spans="1:9" ht="19.899999999999999" customHeight="1">
      <c r="A66" s="875"/>
      <c r="B66" s="878" t="s">
        <v>4833</v>
      </c>
      <c r="C66" s="879">
        <v>1</v>
      </c>
      <c r="D66" s="879">
        <v>2</v>
      </c>
      <c r="E66" s="876"/>
      <c r="F66" s="876"/>
      <c r="G66" s="876"/>
      <c r="H66" s="876">
        <f>PRODUCT(C66:F66)</f>
        <v>2</v>
      </c>
      <c r="I66" s="877"/>
    </row>
    <row r="67" spans="1:9" ht="19.899999999999999" customHeight="1">
      <c r="A67" s="875"/>
      <c r="B67" s="878"/>
      <c r="C67" s="879"/>
      <c r="D67" s="879"/>
      <c r="E67" s="876"/>
      <c r="F67" s="876"/>
      <c r="G67" s="881" t="s">
        <v>2560</v>
      </c>
      <c r="H67" s="881">
        <f>ROUNDUP(H66,1-0)</f>
        <v>2</v>
      </c>
      <c r="I67" s="882" t="s">
        <v>1134</v>
      </c>
    </row>
    <row r="68" spans="1:9" ht="19.899999999999999" customHeight="1">
      <c r="A68" s="875">
        <v>30</v>
      </c>
      <c r="B68" s="878" t="s">
        <v>4247</v>
      </c>
      <c r="C68" s="879"/>
      <c r="D68" s="879"/>
      <c r="E68" s="876"/>
      <c r="F68" s="876"/>
      <c r="G68" s="876"/>
      <c r="H68" s="876"/>
      <c r="I68" s="877"/>
    </row>
    <row r="69" spans="1:9" ht="19.899999999999999" customHeight="1">
      <c r="A69" s="875"/>
      <c r="B69" s="878" t="s">
        <v>4818</v>
      </c>
      <c r="C69" s="880">
        <v>3.14</v>
      </c>
      <c r="D69" s="880">
        <v>0.25</v>
      </c>
      <c r="E69" s="876">
        <v>4.26</v>
      </c>
      <c r="F69" s="876">
        <v>4.26</v>
      </c>
      <c r="G69" s="886" t="s">
        <v>4382</v>
      </c>
      <c r="H69" s="876">
        <f>PRODUCT(C69:G69)</f>
        <v>14.25</v>
      </c>
      <c r="I69" s="877"/>
    </row>
    <row r="70" spans="1:9" ht="19.899999999999999" customHeight="1">
      <c r="A70" s="875"/>
      <c r="B70" s="878" t="s">
        <v>4828</v>
      </c>
      <c r="C70" s="879">
        <v>-1</v>
      </c>
      <c r="D70" s="879">
        <v>2</v>
      </c>
      <c r="E70" s="876">
        <v>0.6</v>
      </c>
      <c r="F70" s="876">
        <v>0.6</v>
      </c>
      <c r="G70" s="886" t="s">
        <v>4382</v>
      </c>
      <c r="H70" s="876">
        <f>PRODUCT(C70:G70)</f>
        <v>-0.72</v>
      </c>
      <c r="I70" s="877"/>
    </row>
    <row r="71" spans="1:9" ht="19.899999999999999" customHeight="1">
      <c r="A71" s="875"/>
      <c r="B71" s="878"/>
      <c r="C71" s="879"/>
      <c r="D71" s="879"/>
      <c r="E71" s="876"/>
      <c r="F71" s="876"/>
      <c r="G71" s="886"/>
      <c r="H71" s="876">
        <v>7.0000000000000007E-2</v>
      </c>
      <c r="I71" s="877"/>
    </row>
    <row r="72" spans="1:9" ht="19.899999999999999" customHeight="1">
      <c r="A72" s="875"/>
      <c r="B72" s="878"/>
      <c r="C72" s="880"/>
      <c r="D72" s="880"/>
      <c r="E72" s="876"/>
      <c r="F72" s="876"/>
      <c r="G72" s="881" t="s">
        <v>2560</v>
      </c>
      <c r="H72" s="881">
        <f>SUM(H69:H71)</f>
        <v>13.6</v>
      </c>
      <c r="I72" s="882" t="s">
        <v>1861</v>
      </c>
    </row>
    <row r="73" spans="1:9" ht="19.899999999999999" customHeight="1">
      <c r="A73" s="875"/>
      <c r="B73" s="878"/>
      <c r="C73" s="879"/>
      <c r="D73" s="879"/>
      <c r="E73" s="876"/>
      <c r="F73" s="876"/>
      <c r="G73" s="876"/>
      <c r="H73" s="876"/>
      <c r="I73" s="877"/>
    </row>
    <row r="346" spans="13:13">
      <c r="M346" s="873" t="e">
        <f>Sump!#REF!</f>
        <v>#REF!</v>
      </c>
    </row>
  </sheetData>
  <mergeCells count="23">
    <mergeCell ref="B22:G22"/>
    <mergeCell ref="A1:I1"/>
    <mergeCell ref="A2:I2"/>
    <mergeCell ref="A4:I4"/>
    <mergeCell ref="A5:I5"/>
    <mergeCell ref="A6:I6"/>
    <mergeCell ref="A7:A8"/>
    <mergeCell ref="B7:B8"/>
    <mergeCell ref="C7:D8"/>
    <mergeCell ref="E7:E8"/>
    <mergeCell ref="F7:F8"/>
    <mergeCell ref="G7:G8"/>
    <mergeCell ref="H7:H8"/>
    <mergeCell ref="I7:I8"/>
    <mergeCell ref="B9:G9"/>
    <mergeCell ref="B18:G18"/>
    <mergeCell ref="B65:G65"/>
    <mergeCell ref="B32:G32"/>
    <mergeCell ref="B42:G42"/>
    <mergeCell ref="B45:G45"/>
    <mergeCell ref="B46:G46"/>
    <mergeCell ref="B50:G50"/>
    <mergeCell ref="B59:G59"/>
  </mergeCells>
  <pageMargins left="0.7" right="0.7" top="0.6" bottom="0.2" header="0.3" footer="0.3"/>
  <pageSetup paperSize="9" orientation="portrait" r:id="rId1"/>
  <headerFooter>
    <oddHeader>Page &amp;P</oddHeader>
  </headerFooter>
</worksheet>
</file>

<file path=xl/worksheets/sheet9.xml><?xml version="1.0" encoding="utf-8"?>
<worksheet xmlns="http://schemas.openxmlformats.org/spreadsheetml/2006/main" xmlns:r="http://schemas.openxmlformats.org/officeDocument/2006/relationships">
  <sheetPr>
    <tabColor rgb="FFFF0000"/>
  </sheetPr>
  <dimension ref="A1:P192"/>
  <sheetViews>
    <sheetView view="pageBreakPreview" topLeftCell="A151" zoomScale="80" zoomScaleSheetLayoutView="80" workbookViewId="0">
      <selection activeCell="B68" sqref="B68"/>
    </sheetView>
  </sheetViews>
  <sheetFormatPr defaultColWidth="8.88671875" defaultRowHeight="20.100000000000001" customHeight="1"/>
  <cols>
    <col min="1" max="1" width="4.5546875" style="892" customWidth="1"/>
    <col min="2" max="2" width="38.5546875" style="892" customWidth="1"/>
    <col min="3" max="3" width="4.5546875" style="892" customWidth="1"/>
    <col min="4" max="4" width="4.88671875" style="892" customWidth="1"/>
    <col min="5" max="5" width="9.21875" style="954" customWidth="1"/>
    <col min="6" max="7" width="8.5546875" style="954" customWidth="1"/>
    <col min="8" max="8" width="7.21875" style="954" customWidth="1"/>
    <col min="9" max="256" width="8.88671875" style="892"/>
    <col min="257" max="257" width="5.77734375" style="892" customWidth="1"/>
    <col min="258" max="258" width="39.33203125" style="892" customWidth="1"/>
    <col min="259" max="259" width="4.5546875" style="892" customWidth="1"/>
    <col min="260" max="260" width="4.88671875" style="892" customWidth="1"/>
    <col min="261" max="261" width="9.6640625" style="892" customWidth="1"/>
    <col min="262" max="263" width="8.5546875" style="892" customWidth="1"/>
    <col min="264" max="264" width="7.21875" style="892" customWidth="1"/>
    <col min="265" max="512" width="8.88671875" style="892"/>
    <col min="513" max="513" width="5.77734375" style="892" customWidth="1"/>
    <col min="514" max="514" width="39.33203125" style="892" customWidth="1"/>
    <col min="515" max="515" width="4.5546875" style="892" customWidth="1"/>
    <col min="516" max="516" width="4.88671875" style="892" customWidth="1"/>
    <col min="517" max="517" width="9.6640625" style="892" customWidth="1"/>
    <col min="518" max="519" width="8.5546875" style="892" customWidth="1"/>
    <col min="520" max="520" width="7.21875" style="892" customWidth="1"/>
    <col min="521" max="768" width="8.88671875" style="892"/>
    <col min="769" max="769" width="5.77734375" style="892" customWidth="1"/>
    <col min="770" max="770" width="39.33203125" style="892" customWidth="1"/>
    <col min="771" max="771" width="4.5546875" style="892" customWidth="1"/>
    <col min="772" max="772" width="4.88671875" style="892" customWidth="1"/>
    <col min="773" max="773" width="9.6640625" style="892" customWidth="1"/>
    <col min="774" max="775" width="8.5546875" style="892" customWidth="1"/>
    <col min="776" max="776" width="7.21875" style="892" customWidth="1"/>
    <col min="777" max="1024" width="8.88671875" style="892"/>
    <col min="1025" max="1025" width="5.77734375" style="892" customWidth="1"/>
    <col min="1026" max="1026" width="39.33203125" style="892" customWidth="1"/>
    <col min="1027" max="1027" width="4.5546875" style="892" customWidth="1"/>
    <col min="1028" max="1028" width="4.88671875" style="892" customWidth="1"/>
    <col min="1029" max="1029" width="9.6640625" style="892" customWidth="1"/>
    <col min="1030" max="1031" width="8.5546875" style="892" customWidth="1"/>
    <col min="1032" max="1032" width="7.21875" style="892" customWidth="1"/>
    <col min="1033" max="1280" width="8.88671875" style="892"/>
    <col min="1281" max="1281" width="5.77734375" style="892" customWidth="1"/>
    <col min="1282" max="1282" width="39.33203125" style="892" customWidth="1"/>
    <col min="1283" max="1283" width="4.5546875" style="892" customWidth="1"/>
    <col min="1284" max="1284" width="4.88671875" style="892" customWidth="1"/>
    <col min="1285" max="1285" width="9.6640625" style="892" customWidth="1"/>
    <col min="1286" max="1287" width="8.5546875" style="892" customWidth="1"/>
    <col min="1288" max="1288" width="7.21875" style="892" customWidth="1"/>
    <col min="1289" max="1536" width="8.88671875" style="892"/>
    <col min="1537" max="1537" width="5.77734375" style="892" customWidth="1"/>
    <col min="1538" max="1538" width="39.33203125" style="892" customWidth="1"/>
    <col min="1539" max="1539" width="4.5546875" style="892" customWidth="1"/>
    <col min="1540" max="1540" width="4.88671875" style="892" customWidth="1"/>
    <col min="1541" max="1541" width="9.6640625" style="892" customWidth="1"/>
    <col min="1542" max="1543" width="8.5546875" style="892" customWidth="1"/>
    <col min="1544" max="1544" width="7.21875" style="892" customWidth="1"/>
    <col min="1545" max="1792" width="8.88671875" style="892"/>
    <col min="1793" max="1793" width="5.77734375" style="892" customWidth="1"/>
    <col min="1794" max="1794" width="39.33203125" style="892" customWidth="1"/>
    <col min="1795" max="1795" width="4.5546875" style="892" customWidth="1"/>
    <col min="1796" max="1796" width="4.88671875" style="892" customWidth="1"/>
    <col min="1797" max="1797" width="9.6640625" style="892" customWidth="1"/>
    <col min="1798" max="1799" width="8.5546875" style="892" customWidth="1"/>
    <col min="1800" max="1800" width="7.21875" style="892" customWidth="1"/>
    <col min="1801" max="2048" width="8.88671875" style="892"/>
    <col min="2049" max="2049" width="5.77734375" style="892" customWidth="1"/>
    <col min="2050" max="2050" width="39.33203125" style="892" customWidth="1"/>
    <col min="2051" max="2051" width="4.5546875" style="892" customWidth="1"/>
    <col min="2052" max="2052" width="4.88671875" style="892" customWidth="1"/>
    <col min="2053" max="2053" width="9.6640625" style="892" customWidth="1"/>
    <col min="2054" max="2055" width="8.5546875" style="892" customWidth="1"/>
    <col min="2056" max="2056" width="7.21875" style="892" customWidth="1"/>
    <col min="2057" max="2304" width="8.88671875" style="892"/>
    <col min="2305" max="2305" width="5.77734375" style="892" customWidth="1"/>
    <col min="2306" max="2306" width="39.33203125" style="892" customWidth="1"/>
    <col min="2307" max="2307" width="4.5546875" style="892" customWidth="1"/>
    <col min="2308" max="2308" width="4.88671875" style="892" customWidth="1"/>
    <col min="2309" max="2309" width="9.6640625" style="892" customWidth="1"/>
    <col min="2310" max="2311" width="8.5546875" style="892" customWidth="1"/>
    <col min="2312" max="2312" width="7.21875" style="892" customWidth="1"/>
    <col min="2313" max="2560" width="8.88671875" style="892"/>
    <col min="2561" max="2561" width="5.77734375" style="892" customWidth="1"/>
    <col min="2562" max="2562" width="39.33203125" style="892" customWidth="1"/>
    <col min="2563" max="2563" width="4.5546875" style="892" customWidth="1"/>
    <col min="2564" max="2564" width="4.88671875" style="892" customWidth="1"/>
    <col min="2565" max="2565" width="9.6640625" style="892" customWidth="1"/>
    <col min="2566" max="2567" width="8.5546875" style="892" customWidth="1"/>
    <col min="2568" max="2568" width="7.21875" style="892" customWidth="1"/>
    <col min="2569" max="2816" width="8.88671875" style="892"/>
    <col min="2817" max="2817" width="5.77734375" style="892" customWidth="1"/>
    <col min="2818" max="2818" width="39.33203125" style="892" customWidth="1"/>
    <col min="2819" max="2819" width="4.5546875" style="892" customWidth="1"/>
    <col min="2820" max="2820" width="4.88671875" style="892" customWidth="1"/>
    <col min="2821" max="2821" width="9.6640625" style="892" customWidth="1"/>
    <col min="2822" max="2823" width="8.5546875" style="892" customWidth="1"/>
    <col min="2824" max="2824" width="7.21875" style="892" customWidth="1"/>
    <col min="2825" max="3072" width="8.88671875" style="892"/>
    <col min="3073" max="3073" width="5.77734375" style="892" customWidth="1"/>
    <col min="3074" max="3074" width="39.33203125" style="892" customWidth="1"/>
    <col min="3075" max="3075" width="4.5546875" style="892" customWidth="1"/>
    <col min="3076" max="3076" width="4.88671875" style="892" customWidth="1"/>
    <col min="3077" max="3077" width="9.6640625" style="892" customWidth="1"/>
    <col min="3078" max="3079" width="8.5546875" style="892" customWidth="1"/>
    <col min="3080" max="3080" width="7.21875" style="892" customWidth="1"/>
    <col min="3081" max="3328" width="8.88671875" style="892"/>
    <col min="3329" max="3329" width="5.77734375" style="892" customWidth="1"/>
    <col min="3330" max="3330" width="39.33203125" style="892" customWidth="1"/>
    <col min="3331" max="3331" width="4.5546875" style="892" customWidth="1"/>
    <col min="3332" max="3332" width="4.88671875" style="892" customWidth="1"/>
    <col min="3333" max="3333" width="9.6640625" style="892" customWidth="1"/>
    <col min="3334" max="3335" width="8.5546875" style="892" customWidth="1"/>
    <col min="3336" max="3336" width="7.21875" style="892" customWidth="1"/>
    <col min="3337" max="3584" width="8.88671875" style="892"/>
    <col min="3585" max="3585" width="5.77734375" style="892" customWidth="1"/>
    <col min="3586" max="3586" width="39.33203125" style="892" customWidth="1"/>
    <col min="3587" max="3587" width="4.5546875" style="892" customWidth="1"/>
    <col min="3588" max="3588" width="4.88671875" style="892" customWidth="1"/>
    <col min="3589" max="3589" width="9.6640625" style="892" customWidth="1"/>
    <col min="3590" max="3591" width="8.5546875" style="892" customWidth="1"/>
    <col min="3592" max="3592" width="7.21875" style="892" customWidth="1"/>
    <col min="3593" max="3840" width="8.88671875" style="892"/>
    <col min="3841" max="3841" width="5.77734375" style="892" customWidth="1"/>
    <col min="3842" max="3842" width="39.33203125" style="892" customWidth="1"/>
    <col min="3843" max="3843" width="4.5546875" style="892" customWidth="1"/>
    <col min="3844" max="3844" width="4.88671875" style="892" customWidth="1"/>
    <col min="3845" max="3845" width="9.6640625" style="892" customWidth="1"/>
    <col min="3846" max="3847" width="8.5546875" style="892" customWidth="1"/>
    <col min="3848" max="3848" width="7.21875" style="892" customWidth="1"/>
    <col min="3849" max="4096" width="8.88671875" style="892"/>
    <col min="4097" max="4097" width="5.77734375" style="892" customWidth="1"/>
    <col min="4098" max="4098" width="39.33203125" style="892" customWidth="1"/>
    <col min="4099" max="4099" width="4.5546875" style="892" customWidth="1"/>
    <col min="4100" max="4100" width="4.88671875" style="892" customWidth="1"/>
    <col min="4101" max="4101" width="9.6640625" style="892" customWidth="1"/>
    <col min="4102" max="4103" width="8.5546875" style="892" customWidth="1"/>
    <col min="4104" max="4104" width="7.21875" style="892" customWidth="1"/>
    <col min="4105" max="4352" width="8.88671875" style="892"/>
    <col min="4353" max="4353" width="5.77734375" style="892" customWidth="1"/>
    <col min="4354" max="4354" width="39.33203125" style="892" customWidth="1"/>
    <col min="4355" max="4355" width="4.5546875" style="892" customWidth="1"/>
    <col min="4356" max="4356" width="4.88671875" style="892" customWidth="1"/>
    <col min="4357" max="4357" width="9.6640625" style="892" customWidth="1"/>
    <col min="4358" max="4359" width="8.5546875" style="892" customWidth="1"/>
    <col min="4360" max="4360" width="7.21875" style="892" customWidth="1"/>
    <col min="4361" max="4608" width="8.88671875" style="892"/>
    <col min="4609" max="4609" width="5.77734375" style="892" customWidth="1"/>
    <col min="4610" max="4610" width="39.33203125" style="892" customWidth="1"/>
    <col min="4611" max="4611" width="4.5546875" style="892" customWidth="1"/>
    <col min="4612" max="4612" width="4.88671875" style="892" customWidth="1"/>
    <col min="4613" max="4613" width="9.6640625" style="892" customWidth="1"/>
    <col min="4614" max="4615" width="8.5546875" style="892" customWidth="1"/>
    <col min="4616" max="4616" width="7.21875" style="892" customWidth="1"/>
    <col min="4617" max="4864" width="8.88671875" style="892"/>
    <col min="4865" max="4865" width="5.77734375" style="892" customWidth="1"/>
    <col min="4866" max="4866" width="39.33203125" style="892" customWidth="1"/>
    <col min="4867" max="4867" width="4.5546875" style="892" customWidth="1"/>
    <col min="4868" max="4868" width="4.88671875" style="892" customWidth="1"/>
    <col min="4869" max="4869" width="9.6640625" style="892" customWidth="1"/>
    <col min="4870" max="4871" width="8.5546875" style="892" customWidth="1"/>
    <col min="4872" max="4872" width="7.21875" style="892" customWidth="1"/>
    <col min="4873" max="5120" width="8.88671875" style="892"/>
    <col min="5121" max="5121" width="5.77734375" style="892" customWidth="1"/>
    <col min="5122" max="5122" width="39.33203125" style="892" customWidth="1"/>
    <col min="5123" max="5123" width="4.5546875" style="892" customWidth="1"/>
    <col min="5124" max="5124" width="4.88671875" style="892" customWidth="1"/>
    <col min="5125" max="5125" width="9.6640625" style="892" customWidth="1"/>
    <col min="5126" max="5127" width="8.5546875" style="892" customWidth="1"/>
    <col min="5128" max="5128" width="7.21875" style="892" customWidth="1"/>
    <col min="5129" max="5376" width="8.88671875" style="892"/>
    <col min="5377" max="5377" width="5.77734375" style="892" customWidth="1"/>
    <col min="5378" max="5378" width="39.33203125" style="892" customWidth="1"/>
    <col min="5379" max="5379" width="4.5546875" style="892" customWidth="1"/>
    <col min="5380" max="5380" width="4.88671875" style="892" customWidth="1"/>
    <col min="5381" max="5381" width="9.6640625" style="892" customWidth="1"/>
    <col min="5382" max="5383" width="8.5546875" style="892" customWidth="1"/>
    <col min="5384" max="5384" width="7.21875" style="892" customWidth="1"/>
    <col min="5385" max="5632" width="8.88671875" style="892"/>
    <col min="5633" max="5633" width="5.77734375" style="892" customWidth="1"/>
    <col min="5634" max="5634" width="39.33203125" style="892" customWidth="1"/>
    <col min="5635" max="5635" width="4.5546875" style="892" customWidth="1"/>
    <col min="5636" max="5636" width="4.88671875" style="892" customWidth="1"/>
    <col min="5637" max="5637" width="9.6640625" style="892" customWidth="1"/>
    <col min="5638" max="5639" width="8.5546875" style="892" customWidth="1"/>
    <col min="5640" max="5640" width="7.21875" style="892" customWidth="1"/>
    <col min="5641" max="5888" width="8.88671875" style="892"/>
    <col min="5889" max="5889" width="5.77734375" style="892" customWidth="1"/>
    <col min="5890" max="5890" width="39.33203125" style="892" customWidth="1"/>
    <col min="5891" max="5891" width="4.5546875" style="892" customWidth="1"/>
    <col min="5892" max="5892" width="4.88671875" style="892" customWidth="1"/>
    <col min="5893" max="5893" width="9.6640625" style="892" customWidth="1"/>
    <col min="5894" max="5895" width="8.5546875" style="892" customWidth="1"/>
    <col min="5896" max="5896" width="7.21875" style="892" customWidth="1"/>
    <col min="5897" max="6144" width="8.88671875" style="892"/>
    <col min="6145" max="6145" width="5.77734375" style="892" customWidth="1"/>
    <col min="6146" max="6146" width="39.33203125" style="892" customWidth="1"/>
    <col min="6147" max="6147" width="4.5546875" style="892" customWidth="1"/>
    <col min="6148" max="6148" width="4.88671875" style="892" customWidth="1"/>
    <col min="6149" max="6149" width="9.6640625" style="892" customWidth="1"/>
    <col min="6150" max="6151" width="8.5546875" style="892" customWidth="1"/>
    <col min="6152" max="6152" width="7.21875" style="892" customWidth="1"/>
    <col min="6153" max="6400" width="8.88671875" style="892"/>
    <col min="6401" max="6401" width="5.77734375" style="892" customWidth="1"/>
    <col min="6402" max="6402" width="39.33203125" style="892" customWidth="1"/>
    <col min="6403" max="6403" width="4.5546875" style="892" customWidth="1"/>
    <col min="6404" max="6404" width="4.88671875" style="892" customWidth="1"/>
    <col min="6405" max="6405" width="9.6640625" style="892" customWidth="1"/>
    <col min="6406" max="6407" width="8.5546875" style="892" customWidth="1"/>
    <col min="6408" max="6408" width="7.21875" style="892" customWidth="1"/>
    <col min="6409" max="6656" width="8.88671875" style="892"/>
    <col min="6657" max="6657" width="5.77734375" style="892" customWidth="1"/>
    <col min="6658" max="6658" width="39.33203125" style="892" customWidth="1"/>
    <col min="6659" max="6659" width="4.5546875" style="892" customWidth="1"/>
    <col min="6660" max="6660" width="4.88671875" style="892" customWidth="1"/>
    <col min="6661" max="6661" width="9.6640625" style="892" customWidth="1"/>
    <col min="6662" max="6663" width="8.5546875" style="892" customWidth="1"/>
    <col min="6664" max="6664" width="7.21875" style="892" customWidth="1"/>
    <col min="6665" max="6912" width="8.88671875" style="892"/>
    <col min="6913" max="6913" width="5.77734375" style="892" customWidth="1"/>
    <col min="6914" max="6914" width="39.33203125" style="892" customWidth="1"/>
    <col min="6915" max="6915" width="4.5546875" style="892" customWidth="1"/>
    <col min="6916" max="6916" width="4.88671875" style="892" customWidth="1"/>
    <col min="6917" max="6917" width="9.6640625" style="892" customWidth="1"/>
    <col min="6918" max="6919" width="8.5546875" style="892" customWidth="1"/>
    <col min="6920" max="6920" width="7.21875" style="892" customWidth="1"/>
    <col min="6921" max="7168" width="8.88671875" style="892"/>
    <col min="7169" max="7169" width="5.77734375" style="892" customWidth="1"/>
    <col min="7170" max="7170" width="39.33203125" style="892" customWidth="1"/>
    <col min="7171" max="7171" width="4.5546875" style="892" customWidth="1"/>
    <col min="7172" max="7172" width="4.88671875" style="892" customWidth="1"/>
    <col min="7173" max="7173" width="9.6640625" style="892" customWidth="1"/>
    <col min="7174" max="7175" width="8.5546875" style="892" customWidth="1"/>
    <col min="7176" max="7176" width="7.21875" style="892" customWidth="1"/>
    <col min="7177" max="7424" width="8.88671875" style="892"/>
    <col min="7425" max="7425" width="5.77734375" style="892" customWidth="1"/>
    <col min="7426" max="7426" width="39.33203125" style="892" customWidth="1"/>
    <col min="7427" max="7427" width="4.5546875" style="892" customWidth="1"/>
    <col min="7428" max="7428" width="4.88671875" style="892" customWidth="1"/>
    <col min="7429" max="7429" width="9.6640625" style="892" customWidth="1"/>
    <col min="7430" max="7431" width="8.5546875" style="892" customWidth="1"/>
    <col min="7432" max="7432" width="7.21875" style="892" customWidth="1"/>
    <col min="7433" max="7680" width="8.88671875" style="892"/>
    <col min="7681" max="7681" width="5.77734375" style="892" customWidth="1"/>
    <col min="7682" max="7682" width="39.33203125" style="892" customWidth="1"/>
    <col min="7683" max="7683" width="4.5546875" style="892" customWidth="1"/>
    <col min="7684" max="7684" width="4.88671875" style="892" customWidth="1"/>
    <col min="7685" max="7685" width="9.6640625" style="892" customWidth="1"/>
    <col min="7686" max="7687" width="8.5546875" style="892" customWidth="1"/>
    <col min="7688" max="7688" width="7.21875" style="892" customWidth="1"/>
    <col min="7689" max="7936" width="8.88671875" style="892"/>
    <col min="7937" max="7937" width="5.77734375" style="892" customWidth="1"/>
    <col min="7938" max="7938" width="39.33203125" style="892" customWidth="1"/>
    <col min="7939" max="7939" width="4.5546875" style="892" customWidth="1"/>
    <col min="7940" max="7940" width="4.88671875" style="892" customWidth="1"/>
    <col min="7941" max="7941" width="9.6640625" style="892" customWidth="1"/>
    <col min="7942" max="7943" width="8.5546875" style="892" customWidth="1"/>
    <col min="7944" max="7944" width="7.21875" style="892" customWidth="1"/>
    <col min="7945" max="8192" width="8.88671875" style="892"/>
    <col min="8193" max="8193" width="5.77734375" style="892" customWidth="1"/>
    <col min="8194" max="8194" width="39.33203125" style="892" customWidth="1"/>
    <col min="8195" max="8195" width="4.5546875" style="892" customWidth="1"/>
    <col min="8196" max="8196" width="4.88671875" style="892" customWidth="1"/>
    <col min="8197" max="8197" width="9.6640625" style="892" customWidth="1"/>
    <col min="8198" max="8199" width="8.5546875" style="892" customWidth="1"/>
    <col min="8200" max="8200" width="7.21875" style="892" customWidth="1"/>
    <col min="8201" max="8448" width="8.88671875" style="892"/>
    <col min="8449" max="8449" width="5.77734375" style="892" customWidth="1"/>
    <col min="8450" max="8450" width="39.33203125" style="892" customWidth="1"/>
    <col min="8451" max="8451" width="4.5546875" style="892" customWidth="1"/>
    <col min="8452" max="8452" width="4.88671875" style="892" customWidth="1"/>
    <col min="8453" max="8453" width="9.6640625" style="892" customWidth="1"/>
    <col min="8454" max="8455" width="8.5546875" style="892" customWidth="1"/>
    <col min="8456" max="8456" width="7.21875" style="892" customWidth="1"/>
    <col min="8457" max="8704" width="8.88671875" style="892"/>
    <col min="8705" max="8705" width="5.77734375" style="892" customWidth="1"/>
    <col min="8706" max="8706" width="39.33203125" style="892" customWidth="1"/>
    <col min="8707" max="8707" width="4.5546875" style="892" customWidth="1"/>
    <col min="8708" max="8708" width="4.88671875" style="892" customWidth="1"/>
    <col min="8709" max="8709" width="9.6640625" style="892" customWidth="1"/>
    <col min="8710" max="8711" width="8.5546875" style="892" customWidth="1"/>
    <col min="8712" max="8712" width="7.21875" style="892" customWidth="1"/>
    <col min="8713" max="8960" width="8.88671875" style="892"/>
    <col min="8961" max="8961" width="5.77734375" style="892" customWidth="1"/>
    <col min="8962" max="8962" width="39.33203125" style="892" customWidth="1"/>
    <col min="8963" max="8963" width="4.5546875" style="892" customWidth="1"/>
    <col min="8964" max="8964" width="4.88671875" style="892" customWidth="1"/>
    <col min="8965" max="8965" width="9.6640625" style="892" customWidth="1"/>
    <col min="8966" max="8967" width="8.5546875" style="892" customWidth="1"/>
    <col min="8968" max="8968" width="7.21875" style="892" customWidth="1"/>
    <col min="8969" max="9216" width="8.88671875" style="892"/>
    <col min="9217" max="9217" width="5.77734375" style="892" customWidth="1"/>
    <col min="9218" max="9218" width="39.33203125" style="892" customWidth="1"/>
    <col min="9219" max="9219" width="4.5546875" style="892" customWidth="1"/>
    <col min="9220" max="9220" width="4.88671875" style="892" customWidth="1"/>
    <col min="9221" max="9221" width="9.6640625" style="892" customWidth="1"/>
    <col min="9222" max="9223" width="8.5546875" style="892" customWidth="1"/>
    <col min="9224" max="9224" width="7.21875" style="892" customWidth="1"/>
    <col min="9225" max="9472" width="8.88671875" style="892"/>
    <col min="9473" max="9473" width="5.77734375" style="892" customWidth="1"/>
    <col min="9474" max="9474" width="39.33203125" style="892" customWidth="1"/>
    <col min="9475" max="9475" width="4.5546875" style="892" customWidth="1"/>
    <col min="9476" max="9476" width="4.88671875" style="892" customWidth="1"/>
    <col min="9477" max="9477" width="9.6640625" style="892" customWidth="1"/>
    <col min="9478" max="9479" width="8.5546875" style="892" customWidth="1"/>
    <col min="9480" max="9480" width="7.21875" style="892" customWidth="1"/>
    <col min="9481" max="9728" width="8.88671875" style="892"/>
    <col min="9729" max="9729" width="5.77734375" style="892" customWidth="1"/>
    <col min="9730" max="9730" width="39.33203125" style="892" customWidth="1"/>
    <col min="9731" max="9731" width="4.5546875" style="892" customWidth="1"/>
    <col min="9732" max="9732" width="4.88671875" style="892" customWidth="1"/>
    <col min="9733" max="9733" width="9.6640625" style="892" customWidth="1"/>
    <col min="9734" max="9735" width="8.5546875" style="892" customWidth="1"/>
    <col min="9736" max="9736" width="7.21875" style="892" customWidth="1"/>
    <col min="9737" max="9984" width="8.88671875" style="892"/>
    <col min="9985" max="9985" width="5.77734375" style="892" customWidth="1"/>
    <col min="9986" max="9986" width="39.33203125" style="892" customWidth="1"/>
    <col min="9987" max="9987" width="4.5546875" style="892" customWidth="1"/>
    <col min="9988" max="9988" width="4.88671875" style="892" customWidth="1"/>
    <col min="9989" max="9989" width="9.6640625" style="892" customWidth="1"/>
    <col min="9990" max="9991" width="8.5546875" style="892" customWidth="1"/>
    <col min="9992" max="9992" width="7.21875" style="892" customWidth="1"/>
    <col min="9993" max="10240" width="8.88671875" style="892"/>
    <col min="10241" max="10241" width="5.77734375" style="892" customWidth="1"/>
    <col min="10242" max="10242" width="39.33203125" style="892" customWidth="1"/>
    <col min="10243" max="10243" width="4.5546875" style="892" customWidth="1"/>
    <col min="10244" max="10244" width="4.88671875" style="892" customWidth="1"/>
    <col min="10245" max="10245" width="9.6640625" style="892" customWidth="1"/>
    <col min="10246" max="10247" width="8.5546875" style="892" customWidth="1"/>
    <col min="10248" max="10248" width="7.21875" style="892" customWidth="1"/>
    <col min="10249" max="10496" width="8.88671875" style="892"/>
    <col min="10497" max="10497" width="5.77734375" style="892" customWidth="1"/>
    <col min="10498" max="10498" width="39.33203125" style="892" customWidth="1"/>
    <col min="10499" max="10499" width="4.5546875" style="892" customWidth="1"/>
    <col min="10500" max="10500" width="4.88671875" style="892" customWidth="1"/>
    <col min="10501" max="10501" width="9.6640625" style="892" customWidth="1"/>
    <col min="10502" max="10503" width="8.5546875" style="892" customWidth="1"/>
    <col min="10504" max="10504" width="7.21875" style="892" customWidth="1"/>
    <col min="10505" max="10752" width="8.88671875" style="892"/>
    <col min="10753" max="10753" width="5.77734375" style="892" customWidth="1"/>
    <col min="10754" max="10754" width="39.33203125" style="892" customWidth="1"/>
    <col min="10755" max="10755" width="4.5546875" style="892" customWidth="1"/>
    <col min="10756" max="10756" width="4.88671875" style="892" customWidth="1"/>
    <col min="10757" max="10757" width="9.6640625" style="892" customWidth="1"/>
    <col min="10758" max="10759" width="8.5546875" style="892" customWidth="1"/>
    <col min="10760" max="10760" width="7.21875" style="892" customWidth="1"/>
    <col min="10761" max="11008" width="8.88671875" style="892"/>
    <col min="11009" max="11009" width="5.77734375" style="892" customWidth="1"/>
    <col min="11010" max="11010" width="39.33203125" style="892" customWidth="1"/>
    <col min="11011" max="11011" width="4.5546875" style="892" customWidth="1"/>
    <col min="11012" max="11012" width="4.88671875" style="892" customWidth="1"/>
    <col min="11013" max="11013" width="9.6640625" style="892" customWidth="1"/>
    <col min="11014" max="11015" width="8.5546875" style="892" customWidth="1"/>
    <col min="11016" max="11016" width="7.21875" style="892" customWidth="1"/>
    <col min="11017" max="11264" width="8.88671875" style="892"/>
    <col min="11265" max="11265" width="5.77734375" style="892" customWidth="1"/>
    <col min="11266" max="11266" width="39.33203125" style="892" customWidth="1"/>
    <col min="11267" max="11267" width="4.5546875" style="892" customWidth="1"/>
    <col min="11268" max="11268" width="4.88671875" style="892" customWidth="1"/>
    <col min="11269" max="11269" width="9.6640625" style="892" customWidth="1"/>
    <col min="11270" max="11271" width="8.5546875" style="892" customWidth="1"/>
    <col min="11272" max="11272" width="7.21875" style="892" customWidth="1"/>
    <col min="11273" max="11520" width="8.88671875" style="892"/>
    <col min="11521" max="11521" width="5.77734375" style="892" customWidth="1"/>
    <col min="11522" max="11522" width="39.33203125" style="892" customWidth="1"/>
    <col min="11523" max="11523" width="4.5546875" style="892" customWidth="1"/>
    <col min="11524" max="11524" width="4.88671875" style="892" customWidth="1"/>
    <col min="11525" max="11525" width="9.6640625" style="892" customWidth="1"/>
    <col min="11526" max="11527" width="8.5546875" style="892" customWidth="1"/>
    <col min="11528" max="11528" width="7.21875" style="892" customWidth="1"/>
    <col min="11529" max="11776" width="8.88671875" style="892"/>
    <col min="11777" max="11777" width="5.77734375" style="892" customWidth="1"/>
    <col min="11778" max="11778" width="39.33203125" style="892" customWidth="1"/>
    <col min="11779" max="11779" width="4.5546875" style="892" customWidth="1"/>
    <col min="11780" max="11780" width="4.88671875" style="892" customWidth="1"/>
    <col min="11781" max="11781" width="9.6640625" style="892" customWidth="1"/>
    <col min="11782" max="11783" width="8.5546875" style="892" customWidth="1"/>
    <col min="11784" max="11784" width="7.21875" style="892" customWidth="1"/>
    <col min="11785" max="12032" width="8.88671875" style="892"/>
    <col min="12033" max="12033" width="5.77734375" style="892" customWidth="1"/>
    <col min="12034" max="12034" width="39.33203125" style="892" customWidth="1"/>
    <col min="12035" max="12035" width="4.5546875" style="892" customWidth="1"/>
    <col min="12036" max="12036" width="4.88671875" style="892" customWidth="1"/>
    <col min="12037" max="12037" width="9.6640625" style="892" customWidth="1"/>
    <col min="12038" max="12039" width="8.5546875" style="892" customWidth="1"/>
    <col min="12040" max="12040" width="7.21875" style="892" customWidth="1"/>
    <col min="12041" max="12288" width="8.88671875" style="892"/>
    <col min="12289" max="12289" width="5.77734375" style="892" customWidth="1"/>
    <col min="12290" max="12290" width="39.33203125" style="892" customWidth="1"/>
    <col min="12291" max="12291" width="4.5546875" style="892" customWidth="1"/>
    <col min="12292" max="12292" width="4.88671875" style="892" customWidth="1"/>
    <col min="12293" max="12293" width="9.6640625" style="892" customWidth="1"/>
    <col min="12294" max="12295" width="8.5546875" style="892" customWidth="1"/>
    <col min="12296" max="12296" width="7.21875" style="892" customWidth="1"/>
    <col min="12297" max="12544" width="8.88671875" style="892"/>
    <col min="12545" max="12545" width="5.77734375" style="892" customWidth="1"/>
    <col min="12546" max="12546" width="39.33203125" style="892" customWidth="1"/>
    <col min="12547" max="12547" width="4.5546875" style="892" customWidth="1"/>
    <col min="12548" max="12548" width="4.88671875" style="892" customWidth="1"/>
    <col min="12549" max="12549" width="9.6640625" style="892" customWidth="1"/>
    <col min="12550" max="12551" width="8.5546875" style="892" customWidth="1"/>
    <col min="12552" max="12552" width="7.21875" style="892" customWidth="1"/>
    <col min="12553" max="12800" width="8.88671875" style="892"/>
    <col min="12801" max="12801" width="5.77734375" style="892" customWidth="1"/>
    <col min="12802" max="12802" width="39.33203125" style="892" customWidth="1"/>
    <col min="12803" max="12803" width="4.5546875" style="892" customWidth="1"/>
    <col min="12804" max="12804" width="4.88671875" style="892" customWidth="1"/>
    <col min="12805" max="12805" width="9.6640625" style="892" customWidth="1"/>
    <col min="12806" max="12807" width="8.5546875" style="892" customWidth="1"/>
    <col min="12808" max="12808" width="7.21875" style="892" customWidth="1"/>
    <col min="12809" max="13056" width="8.88671875" style="892"/>
    <col min="13057" max="13057" width="5.77734375" style="892" customWidth="1"/>
    <col min="13058" max="13058" width="39.33203125" style="892" customWidth="1"/>
    <col min="13059" max="13059" width="4.5546875" style="892" customWidth="1"/>
    <col min="13060" max="13060" width="4.88671875" style="892" customWidth="1"/>
    <col min="13061" max="13061" width="9.6640625" style="892" customWidth="1"/>
    <col min="13062" max="13063" width="8.5546875" style="892" customWidth="1"/>
    <col min="13064" max="13064" width="7.21875" style="892" customWidth="1"/>
    <col min="13065" max="13312" width="8.88671875" style="892"/>
    <col min="13313" max="13313" width="5.77734375" style="892" customWidth="1"/>
    <col min="13314" max="13314" width="39.33203125" style="892" customWidth="1"/>
    <col min="13315" max="13315" width="4.5546875" style="892" customWidth="1"/>
    <col min="13316" max="13316" width="4.88671875" style="892" customWidth="1"/>
    <col min="13317" max="13317" width="9.6640625" style="892" customWidth="1"/>
    <col min="13318" max="13319" width="8.5546875" style="892" customWidth="1"/>
    <col min="13320" max="13320" width="7.21875" style="892" customWidth="1"/>
    <col min="13321" max="13568" width="8.88671875" style="892"/>
    <col min="13569" max="13569" width="5.77734375" style="892" customWidth="1"/>
    <col min="13570" max="13570" width="39.33203125" style="892" customWidth="1"/>
    <col min="13571" max="13571" width="4.5546875" style="892" customWidth="1"/>
    <col min="13572" max="13572" width="4.88671875" style="892" customWidth="1"/>
    <col min="13573" max="13573" width="9.6640625" style="892" customWidth="1"/>
    <col min="13574" max="13575" width="8.5546875" style="892" customWidth="1"/>
    <col min="13576" max="13576" width="7.21875" style="892" customWidth="1"/>
    <col min="13577" max="13824" width="8.88671875" style="892"/>
    <col min="13825" max="13825" width="5.77734375" style="892" customWidth="1"/>
    <col min="13826" max="13826" width="39.33203125" style="892" customWidth="1"/>
    <col min="13827" max="13827" width="4.5546875" style="892" customWidth="1"/>
    <col min="13828" max="13828" width="4.88671875" style="892" customWidth="1"/>
    <col min="13829" max="13829" width="9.6640625" style="892" customWidth="1"/>
    <col min="13830" max="13831" width="8.5546875" style="892" customWidth="1"/>
    <col min="13832" max="13832" width="7.21875" style="892" customWidth="1"/>
    <col min="13833" max="14080" width="8.88671875" style="892"/>
    <col min="14081" max="14081" width="5.77734375" style="892" customWidth="1"/>
    <col min="14082" max="14082" width="39.33203125" style="892" customWidth="1"/>
    <col min="14083" max="14083" width="4.5546875" style="892" customWidth="1"/>
    <col min="14084" max="14084" width="4.88671875" style="892" customWidth="1"/>
    <col min="14085" max="14085" width="9.6640625" style="892" customWidth="1"/>
    <col min="14086" max="14087" width="8.5546875" style="892" customWidth="1"/>
    <col min="14088" max="14088" width="7.21875" style="892" customWidth="1"/>
    <col min="14089" max="14336" width="8.88671875" style="892"/>
    <col min="14337" max="14337" width="5.77734375" style="892" customWidth="1"/>
    <col min="14338" max="14338" width="39.33203125" style="892" customWidth="1"/>
    <col min="14339" max="14339" width="4.5546875" style="892" customWidth="1"/>
    <col min="14340" max="14340" width="4.88671875" style="892" customWidth="1"/>
    <col min="14341" max="14341" width="9.6640625" style="892" customWidth="1"/>
    <col min="14342" max="14343" width="8.5546875" style="892" customWidth="1"/>
    <col min="14344" max="14344" width="7.21875" style="892" customWidth="1"/>
    <col min="14345" max="14592" width="8.88671875" style="892"/>
    <col min="14593" max="14593" width="5.77734375" style="892" customWidth="1"/>
    <col min="14594" max="14594" width="39.33203125" style="892" customWidth="1"/>
    <col min="14595" max="14595" width="4.5546875" style="892" customWidth="1"/>
    <col min="14596" max="14596" width="4.88671875" style="892" customWidth="1"/>
    <col min="14597" max="14597" width="9.6640625" style="892" customWidth="1"/>
    <col min="14598" max="14599" width="8.5546875" style="892" customWidth="1"/>
    <col min="14600" max="14600" width="7.21875" style="892" customWidth="1"/>
    <col min="14601" max="14848" width="8.88671875" style="892"/>
    <col min="14849" max="14849" width="5.77734375" style="892" customWidth="1"/>
    <col min="14850" max="14850" width="39.33203125" style="892" customWidth="1"/>
    <col min="14851" max="14851" width="4.5546875" style="892" customWidth="1"/>
    <col min="14852" max="14852" width="4.88671875" style="892" customWidth="1"/>
    <col min="14853" max="14853" width="9.6640625" style="892" customWidth="1"/>
    <col min="14854" max="14855" width="8.5546875" style="892" customWidth="1"/>
    <col min="14856" max="14856" width="7.21875" style="892" customWidth="1"/>
    <col min="14857" max="15104" width="8.88671875" style="892"/>
    <col min="15105" max="15105" width="5.77734375" style="892" customWidth="1"/>
    <col min="15106" max="15106" width="39.33203125" style="892" customWidth="1"/>
    <col min="15107" max="15107" width="4.5546875" style="892" customWidth="1"/>
    <col min="15108" max="15108" width="4.88671875" style="892" customWidth="1"/>
    <col min="15109" max="15109" width="9.6640625" style="892" customWidth="1"/>
    <col min="15110" max="15111" width="8.5546875" style="892" customWidth="1"/>
    <col min="15112" max="15112" width="7.21875" style="892" customWidth="1"/>
    <col min="15113" max="15360" width="8.88671875" style="892"/>
    <col min="15361" max="15361" width="5.77734375" style="892" customWidth="1"/>
    <col min="15362" max="15362" width="39.33203125" style="892" customWidth="1"/>
    <col min="15363" max="15363" width="4.5546875" style="892" customWidth="1"/>
    <col min="15364" max="15364" width="4.88671875" style="892" customWidth="1"/>
    <col min="15365" max="15365" width="9.6640625" style="892" customWidth="1"/>
    <col min="15366" max="15367" width="8.5546875" style="892" customWidth="1"/>
    <col min="15368" max="15368" width="7.21875" style="892" customWidth="1"/>
    <col min="15369" max="15616" width="8.88671875" style="892"/>
    <col min="15617" max="15617" width="5.77734375" style="892" customWidth="1"/>
    <col min="15618" max="15618" width="39.33203125" style="892" customWidth="1"/>
    <col min="15619" max="15619" width="4.5546875" style="892" customWidth="1"/>
    <col min="15620" max="15620" width="4.88671875" style="892" customWidth="1"/>
    <col min="15621" max="15621" width="9.6640625" style="892" customWidth="1"/>
    <col min="15622" max="15623" width="8.5546875" style="892" customWidth="1"/>
    <col min="15624" max="15624" width="7.21875" style="892" customWidth="1"/>
    <col min="15625" max="15872" width="8.88671875" style="892"/>
    <col min="15873" max="15873" width="5.77734375" style="892" customWidth="1"/>
    <col min="15874" max="15874" width="39.33203125" style="892" customWidth="1"/>
    <col min="15875" max="15875" width="4.5546875" style="892" customWidth="1"/>
    <col min="15876" max="15876" width="4.88671875" style="892" customWidth="1"/>
    <col min="15877" max="15877" width="9.6640625" style="892" customWidth="1"/>
    <col min="15878" max="15879" width="8.5546875" style="892" customWidth="1"/>
    <col min="15880" max="15880" width="7.21875" style="892" customWidth="1"/>
    <col min="15881" max="16128" width="8.88671875" style="892"/>
    <col min="16129" max="16129" width="5.77734375" style="892" customWidth="1"/>
    <col min="16130" max="16130" width="39.33203125" style="892" customWidth="1"/>
    <col min="16131" max="16131" width="4.5546875" style="892" customWidth="1"/>
    <col min="16132" max="16132" width="4.88671875" style="892" customWidth="1"/>
    <col min="16133" max="16133" width="9.6640625" style="892" customWidth="1"/>
    <col min="16134" max="16135" width="8.5546875" style="892" customWidth="1"/>
    <col min="16136" max="16136" width="7.21875" style="892" customWidth="1"/>
    <col min="16137" max="16384" width="8.88671875" style="892"/>
  </cols>
  <sheetData>
    <row r="1" spans="1:16" ht="20.100000000000001" customHeight="1">
      <c r="A1" s="1076" t="s">
        <v>3477</v>
      </c>
      <c r="B1" s="1076"/>
      <c r="C1" s="1076"/>
      <c r="D1" s="1076"/>
      <c r="E1" s="1076"/>
      <c r="F1" s="1076"/>
      <c r="G1" s="1076"/>
      <c r="H1" s="1076"/>
    </row>
    <row r="2" spans="1:16" ht="20.100000000000001" customHeight="1">
      <c r="A2" s="1076" t="s">
        <v>3478</v>
      </c>
      <c r="B2" s="1076"/>
      <c r="C2" s="1076"/>
      <c r="D2" s="1076"/>
      <c r="E2" s="1076"/>
      <c r="F2" s="1076"/>
      <c r="G2" s="1076"/>
      <c r="H2" s="1076"/>
      <c r="I2" s="893"/>
      <c r="J2" s="893"/>
      <c r="K2" s="893"/>
      <c r="L2" s="893"/>
      <c r="M2" s="893"/>
      <c r="N2" s="893"/>
      <c r="O2" s="893"/>
      <c r="P2" s="893"/>
    </row>
    <row r="3" spans="1:16" ht="45" customHeight="1">
      <c r="A3" s="1077" t="str">
        <f>Sump!A4</f>
        <v>Name of work:  Construction of Urban Police Station Building at Nachiyarkoil in Thanjavur District under Announcement made by the Hon’ble Chief Minister for the year 2023 - 2024</v>
      </c>
      <c r="B3" s="1077"/>
      <c r="C3" s="1077"/>
      <c r="D3" s="1077"/>
      <c r="E3" s="1077"/>
      <c r="F3" s="1077"/>
      <c r="G3" s="1077"/>
      <c r="H3" s="1077"/>
      <c r="I3" s="893"/>
      <c r="J3" s="893"/>
      <c r="K3" s="893"/>
      <c r="L3" s="893"/>
      <c r="M3" s="893"/>
      <c r="N3" s="893"/>
      <c r="O3" s="893"/>
      <c r="P3" s="893"/>
    </row>
    <row r="4" spans="1:16" ht="25.15" customHeight="1">
      <c r="A4" s="1076" t="s">
        <v>4834</v>
      </c>
      <c r="B4" s="1076"/>
      <c r="C4" s="1076"/>
      <c r="D4" s="1076"/>
      <c r="E4" s="1076"/>
      <c r="F4" s="1076"/>
      <c r="G4" s="1076"/>
      <c r="H4" s="1076"/>
      <c r="I4" s="893"/>
      <c r="J4" s="893"/>
      <c r="K4" s="893"/>
      <c r="L4" s="893"/>
      <c r="M4" s="893"/>
      <c r="N4" s="893"/>
      <c r="O4" s="893"/>
      <c r="P4" s="893"/>
    </row>
    <row r="5" spans="1:16" ht="34.9" customHeight="1">
      <c r="A5" s="894" t="s">
        <v>182</v>
      </c>
      <c r="B5" s="895" t="s">
        <v>4217</v>
      </c>
      <c r="C5" s="1075" t="s">
        <v>838</v>
      </c>
      <c r="D5" s="1075"/>
      <c r="E5" s="896" t="s">
        <v>3482</v>
      </c>
      <c r="F5" s="896" t="s">
        <v>1261</v>
      </c>
      <c r="G5" s="896" t="s">
        <v>3483</v>
      </c>
      <c r="H5" s="896" t="s">
        <v>1720</v>
      </c>
      <c r="I5" s="893"/>
      <c r="J5" s="893"/>
      <c r="K5" s="893"/>
      <c r="L5" s="893"/>
      <c r="M5" s="893"/>
      <c r="N5" s="893"/>
      <c r="O5" s="893"/>
      <c r="P5" s="893"/>
    </row>
    <row r="6" spans="1:16" ht="25.15" customHeight="1">
      <c r="A6" s="894">
        <v>1</v>
      </c>
      <c r="B6" s="895">
        <v>2</v>
      </c>
      <c r="C6" s="1075">
        <v>3</v>
      </c>
      <c r="D6" s="1075"/>
      <c r="E6" s="894">
        <v>4</v>
      </c>
      <c r="F6" s="894">
        <v>5</v>
      </c>
      <c r="G6" s="894">
        <v>6</v>
      </c>
      <c r="H6" s="894">
        <v>7</v>
      </c>
      <c r="I6" s="897"/>
      <c r="J6" s="897"/>
      <c r="K6" s="897"/>
      <c r="L6" s="897"/>
      <c r="M6" s="897"/>
      <c r="N6" s="897"/>
      <c r="O6" s="897"/>
      <c r="P6" s="897"/>
    </row>
    <row r="7" spans="1:16" ht="40.15" customHeight="1">
      <c r="A7" s="898">
        <v>1</v>
      </c>
      <c r="B7" s="899" t="s">
        <v>4835</v>
      </c>
      <c r="C7" s="898"/>
      <c r="D7" s="898"/>
      <c r="E7" s="900"/>
      <c r="F7" s="900"/>
      <c r="G7" s="900"/>
      <c r="H7" s="900"/>
    </row>
    <row r="8" spans="1:16" ht="25.15" customHeight="1">
      <c r="A8" s="898"/>
      <c r="B8" s="899" t="s">
        <v>4836</v>
      </c>
      <c r="C8" s="898">
        <v>1</v>
      </c>
      <c r="D8" s="898">
        <v>1</v>
      </c>
      <c r="E8" s="900">
        <v>1</v>
      </c>
      <c r="F8" s="900">
        <v>0.6</v>
      </c>
      <c r="G8" s="900">
        <v>0.3</v>
      </c>
      <c r="H8" s="900">
        <f>PRODUCT(C8:G8)</f>
        <v>0.18</v>
      </c>
    </row>
    <row r="9" spans="1:16" ht="25.15" customHeight="1">
      <c r="A9" s="898"/>
      <c r="B9" s="901" t="s">
        <v>1850</v>
      </c>
      <c r="C9" s="898"/>
      <c r="D9" s="898"/>
      <c r="E9" s="900"/>
      <c r="F9" s="900"/>
      <c r="G9" s="900"/>
      <c r="H9" s="900">
        <v>0.02</v>
      </c>
    </row>
    <row r="10" spans="1:16" ht="25.15" customHeight="1">
      <c r="A10" s="898"/>
      <c r="B10" s="901"/>
      <c r="C10" s="898"/>
      <c r="D10" s="898"/>
      <c r="E10" s="900"/>
      <c r="F10" s="900"/>
      <c r="G10" s="900" t="s">
        <v>1827</v>
      </c>
      <c r="H10" s="902">
        <f>SUM(H8:H9)</f>
        <v>0.2</v>
      </c>
    </row>
    <row r="11" spans="1:16" ht="25.15" customHeight="1">
      <c r="A11" s="898"/>
      <c r="B11" s="899"/>
      <c r="C11" s="898"/>
      <c r="D11" s="898"/>
      <c r="E11" s="900"/>
      <c r="F11" s="903" t="s">
        <v>2560</v>
      </c>
      <c r="G11" s="903">
        <f>+H10</f>
        <v>0.2</v>
      </c>
      <c r="H11" s="904" t="s">
        <v>971</v>
      </c>
    </row>
    <row r="12" spans="1:16" s="910" customFormat="1" ht="40.15" customHeight="1">
      <c r="A12" s="905">
        <f>+A7+1</f>
        <v>2</v>
      </c>
      <c r="B12" s="906" t="s">
        <v>4837</v>
      </c>
      <c r="C12" s="907"/>
      <c r="D12" s="907"/>
      <c r="E12" s="908"/>
      <c r="F12" s="908"/>
      <c r="G12" s="909"/>
      <c r="H12" s="908"/>
    </row>
    <row r="13" spans="1:16" ht="25.15" customHeight="1">
      <c r="A13" s="898"/>
      <c r="B13" s="899" t="s">
        <v>4838</v>
      </c>
      <c r="C13" s="898">
        <v>1</v>
      </c>
      <c r="D13" s="898">
        <v>1</v>
      </c>
      <c r="E13" s="900">
        <v>1</v>
      </c>
      <c r="F13" s="900">
        <v>0.6</v>
      </c>
      <c r="G13" s="900">
        <v>0.15</v>
      </c>
      <c r="H13" s="900">
        <f>PRODUCT(C13:G13)</f>
        <v>0.09</v>
      </c>
    </row>
    <row r="14" spans="1:16" ht="25.15" customHeight="1">
      <c r="A14" s="898"/>
      <c r="B14" s="901" t="s">
        <v>1850</v>
      </c>
      <c r="C14" s="898"/>
      <c r="D14" s="898"/>
      <c r="E14" s="900"/>
      <c r="F14" s="900"/>
      <c r="G14" s="900"/>
      <c r="H14" s="900">
        <v>0.01</v>
      </c>
    </row>
    <row r="15" spans="1:16" ht="25.15" customHeight="1">
      <c r="A15" s="898"/>
      <c r="B15" s="901"/>
      <c r="C15" s="898"/>
      <c r="D15" s="898"/>
      <c r="E15" s="900"/>
      <c r="F15" s="900"/>
      <c r="G15" s="900" t="s">
        <v>1827</v>
      </c>
      <c r="H15" s="902">
        <f>SUM(H13:H14)</f>
        <v>0.1</v>
      </c>
    </row>
    <row r="16" spans="1:16" s="910" customFormat="1" ht="25.15" customHeight="1">
      <c r="A16" s="907"/>
      <c r="B16" s="906"/>
      <c r="C16" s="907"/>
      <c r="D16" s="907"/>
      <c r="E16" s="911"/>
      <c r="F16" s="911" t="s">
        <v>2560</v>
      </c>
      <c r="G16" s="911">
        <f>+H15</f>
        <v>0.1</v>
      </c>
      <c r="H16" s="912" t="s">
        <v>971</v>
      </c>
    </row>
    <row r="17" spans="1:10" s="910" customFormat="1" ht="40.15" customHeight="1">
      <c r="A17" s="905">
        <f>+A12+1</f>
        <v>3</v>
      </c>
      <c r="B17" s="906" t="s">
        <v>4839</v>
      </c>
      <c r="C17" s="907"/>
      <c r="D17" s="907"/>
      <c r="E17" s="908"/>
      <c r="F17" s="908"/>
      <c r="G17" s="909"/>
      <c r="H17" s="908"/>
    </row>
    <row r="18" spans="1:10" ht="25.15" customHeight="1">
      <c r="A18" s="898"/>
      <c r="B18" s="899" t="s">
        <v>4836</v>
      </c>
      <c r="C18" s="898">
        <v>1</v>
      </c>
      <c r="D18" s="898">
        <v>1</v>
      </c>
      <c r="E18" s="900">
        <v>1</v>
      </c>
      <c r="F18" s="900">
        <v>0.6</v>
      </c>
      <c r="G18" s="900">
        <v>0.15</v>
      </c>
      <c r="H18" s="900">
        <f>PRODUCT(C18:G18)</f>
        <v>0.09</v>
      </c>
    </row>
    <row r="19" spans="1:10" ht="25.15" customHeight="1">
      <c r="A19" s="898"/>
      <c r="B19" s="901" t="s">
        <v>1850</v>
      </c>
      <c r="C19" s="898"/>
      <c r="D19" s="898"/>
      <c r="E19" s="900"/>
      <c r="F19" s="900"/>
      <c r="G19" s="900"/>
      <c r="H19" s="900">
        <v>0.01</v>
      </c>
    </row>
    <row r="20" spans="1:10" ht="25.15" customHeight="1">
      <c r="A20" s="898"/>
      <c r="B20" s="901"/>
      <c r="C20" s="898"/>
      <c r="D20" s="898"/>
      <c r="E20" s="900"/>
      <c r="F20" s="900"/>
      <c r="G20" s="900" t="s">
        <v>1827</v>
      </c>
      <c r="H20" s="902">
        <f>SUM(H18:H19)</f>
        <v>0.1</v>
      </c>
    </row>
    <row r="21" spans="1:10" s="910" customFormat="1" ht="25.15" customHeight="1">
      <c r="A21" s="907"/>
      <c r="B21" s="906"/>
      <c r="C21" s="907"/>
      <c r="D21" s="907"/>
      <c r="E21" s="908"/>
      <c r="F21" s="911" t="s">
        <v>2560</v>
      </c>
      <c r="G21" s="911">
        <f>+H20</f>
        <v>0.1</v>
      </c>
      <c r="H21" s="912" t="s">
        <v>971</v>
      </c>
    </row>
    <row r="22" spans="1:10" ht="60" customHeight="1">
      <c r="A22" s="913">
        <f>+A17+1</f>
        <v>4</v>
      </c>
      <c r="B22" s="899" t="s">
        <v>4840</v>
      </c>
      <c r="C22" s="913"/>
      <c r="D22" s="914"/>
      <c r="E22" s="902"/>
      <c r="F22" s="902"/>
      <c r="G22" s="902"/>
      <c r="H22" s="902"/>
    </row>
    <row r="23" spans="1:10" ht="25.15" customHeight="1">
      <c r="A23" s="898"/>
      <c r="B23" s="899" t="s">
        <v>4841</v>
      </c>
      <c r="C23" s="898">
        <v>1</v>
      </c>
      <c r="D23" s="898">
        <v>1</v>
      </c>
      <c r="E23" s="900">
        <v>1</v>
      </c>
      <c r="F23" s="900">
        <v>0.6</v>
      </c>
      <c r="G23" s="900">
        <v>0.15</v>
      </c>
      <c r="H23" s="900">
        <f>PRODUCT(C23:G23)</f>
        <v>0.09</v>
      </c>
    </row>
    <row r="24" spans="1:10" ht="25.15" customHeight="1">
      <c r="A24" s="898"/>
      <c r="B24" s="899" t="s">
        <v>4842</v>
      </c>
      <c r="C24" s="898">
        <v>1</v>
      </c>
      <c r="D24" s="898">
        <v>1</v>
      </c>
      <c r="E24" s="900">
        <v>1</v>
      </c>
      <c r="F24" s="900">
        <v>0.3</v>
      </c>
      <c r="G24" s="900">
        <v>0.15</v>
      </c>
      <c r="H24" s="900">
        <f>PRODUCT(C24:G24)</f>
        <v>0.05</v>
      </c>
    </row>
    <row r="25" spans="1:10" ht="25.15" customHeight="1">
      <c r="A25" s="915"/>
      <c r="B25" s="901" t="s">
        <v>1850</v>
      </c>
      <c r="C25" s="916"/>
      <c r="D25" s="914"/>
      <c r="E25" s="902"/>
      <c r="F25" s="902"/>
      <c r="G25" s="902"/>
      <c r="H25" s="902">
        <v>0.06</v>
      </c>
    </row>
    <row r="26" spans="1:10" ht="25.15" customHeight="1">
      <c r="A26" s="915"/>
      <c r="B26" s="901"/>
      <c r="C26" s="916"/>
      <c r="D26" s="914"/>
      <c r="E26" s="902"/>
      <c r="F26" s="902"/>
      <c r="G26" s="902" t="s">
        <v>1827</v>
      </c>
      <c r="H26" s="902">
        <f>SUM(H23:H25)</f>
        <v>0.2</v>
      </c>
    </row>
    <row r="27" spans="1:10" ht="25.15" customHeight="1">
      <c r="A27" s="915"/>
      <c r="B27" s="917"/>
      <c r="C27" s="918"/>
      <c r="D27" s="918"/>
      <c r="E27" s="919"/>
      <c r="F27" s="920" t="s">
        <v>2560</v>
      </c>
      <c r="G27" s="920">
        <f>+H26</f>
        <v>0.2</v>
      </c>
      <c r="H27" s="921" t="s">
        <v>971</v>
      </c>
    </row>
    <row r="28" spans="1:10" ht="60" customHeight="1">
      <c r="A28" s="913">
        <f>+A22+1</f>
        <v>5</v>
      </c>
      <c r="B28" s="917" t="s">
        <v>4843</v>
      </c>
      <c r="C28" s="913"/>
      <c r="D28" s="914"/>
      <c r="E28" s="902"/>
      <c r="F28" s="902"/>
      <c r="G28" s="902"/>
      <c r="H28" s="902"/>
    </row>
    <row r="29" spans="1:10" ht="25.15" customHeight="1">
      <c r="A29" s="915"/>
      <c r="B29" s="917" t="s">
        <v>4844</v>
      </c>
      <c r="C29" s="922">
        <v>1</v>
      </c>
      <c r="D29" s="918">
        <v>1</v>
      </c>
      <c r="E29" s="923" t="s">
        <v>4845</v>
      </c>
      <c r="F29" s="919">
        <v>0.23</v>
      </c>
      <c r="G29" s="919">
        <v>2.1</v>
      </c>
      <c r="H29" s="902">
        <f>G29*F29*D29*C29*3.14*4.03</f>
        <v>6.11</v>
      </c>
    </row>
    <row r="30" spans="1:10" ht="25.15" customHeight="1">
      <c r="A30" s="915"/>
      <c r="B30" s="917" t="s">
        <v>4846</v>
      </c>
      <c r="C30" s="918">
        <v>1</v>
      </c>
      <c r="D30" s="918">
        <v>-1</v>
      </c>
      <c r="E30" s="919">
        <v>1.36</v>
      </c>
      <c r="F30" s="919">
        <v>0.23</v>
      </c>
      <c r="G30" s="919">
        <v>0.05</v>
      </c>
      <c r="H30" s="902">
        <f>PRODUCT(C30:G30)</f>
        <v>-0.02</v>
      </c>
    </row>
    <row r="31" spans="1:10" ht="25.15" customHeight="1">
      <c r="A31" s="915"/>
      <c r="B31" s="901" t="s">
        <v>4847</v>
      </c>
      <c r="C31" s="916">
        <v>1</v>
      </c>
      <c r="D31" s="914">
        <v>-1</v>
      </c>
      <c r="E31" s="902">
        <v>1</v>
      </c>
      <c r="F31" s="902">
        <v>0.23</v>
      </c>
      <c r="G31" s="902">
        <v>2.1</v>
      </c>
      <c r="H31" s="902">
        <f>PRODUCT(C31:G31)</f>
        <v>-0.48</v>
      </c>
      <c r="J31" s="892" t="e">
        <f>#REF!+0.3</f>
        <v>#REF!</v>
      </c>
    </row>
    <row r="32" spans="1:10" ht="25.15" customHeight="1">
      <c r="A32" s="915"/>
      <c r="B32" s="901" t="s">
        <v>4848</v>
      </c>
      <c r="C32" s="916">
        <v>1</v>
      </c>
      <c r="D32" s="914">
        <v>-1</v>
      </c>
      <c r="E32" s="902">
        <v>0.9</v>
      </c>
      <c r="F32" s="902">
        <v>0.23</v>
      </c>
      <c r="G32" s="902">
        <v>1.35</v>
      </c>
      <c r="H32" s="902">
        <f>PRODUCT(C32:G32)</f>
        <v>-0.28000000000000003</v>
      </c>
    </row>
    <row r="33" spans="1:13" ht="25.15" customHeight="1">
      <c r="A33" s="915"/>
      <c r="B33" s="917" t="s">
        <v>4849</v>
      </c>
      <c r="C33" s="922">
        <v>1</v>
      </c>
      <c r="D33" s="918">
        <v>1</v>
      </c>
      <c r="E33" s="923" t="s">
        <v>4845</v>
      </c>
      <c r="F33" s="919">
        <v>0.23</v>
      </c>
      <c r="G33" s="919">
        <v>0.45</v>
      </c>
      <c r="H33" s="902">
        <f>G33*F33*D33*C33*3.14*4.03</f>
        <v>1.31</v>
      </c>
    </row>
    <row r="34" spans="1:13" ht="25.15" customHeight="1">
      <c r="A34" s="915"/>
      <c r="B34" s="901" t="s">
        <v>1850</v>
      </c>
      <c r="C34" s="924"/>
      <c r="D34" s="918"/>
      <c r="E34" s="923"/>
      <c r="F34" s="919"/>
      <c r="G34" s="919"/>
      <c r="H34" s="902">
        <v>0.06</v>
      </c>
    </row>
    <row r="35" spans="1:13" ht="25.15" customHeight="1">
      <c r="A35" s="915"/>
      <c r="B35" s="901"/>
      <c r="C35" s="916"/>
      <c r="D35" s="914"/>
      <c r="E35" s="902"/>
      <c r="F35" s="902"/>
      <c r="G35" s="902" t="s">
        <v>1827</v>
      </c>
      <c r="H35" s="902">
        <f>SUM(H29:H34)</f>
        <v>6.7</v>
      </c>
    </row>
    <row r="36" spans="1:13" ht="25.15" customHeight="1">
      <c r="A36" s="915"/>
      <c r="B36" s="917"/>
      <c r="C36" s="918"/>
      <c r="D36" s="918"/>
      <c r="E36" s="919"/>
      <c r="F36" s="920" t="s">
        <v>2560</v>
      </c>
      <c r="G36" s="920">
        <f>+H35</f>
        <v>6.7</v>
      </c>
      <c r="H36" s="921" t="s">
        <v>971</v>
      </c>
    </row>
    <row r="37" spans="1:13" ht="40.15" customHeight="1">
      <c r="A37" s="913">
        <f>+A28+1</f>
        <v>6</v>
      </c>
      <c r="B37" s="901" t="s">
        <v>4850</v>
      </c>
      <c r="C37" s="916"/>
      <c r="D37" s="925"/>
      <c r="E37" s="902"/>
      <c r="F37" s="926"/>
      <c r="G37" s="926"/>
      <c r="H37" s="926"/>
    </row>
    <row r="38" spans="1:13" ht="25.15" customHeight="1">
      <c r="A38" s="915"/>
      <c r="B38" s="917" t="s">
        <v>4851</v>
      </c>
      <c r="C38" s="927">
        <v>0.25</v>
      </c>
      <c r="D38" s="918">
        <v>1</v>
      </c>
      <c r="E38" s="1071" t="s">
        <v>4852</v>
      </c>
      <c r="F38" s="1072"/>
      <c r="G38" s="928">
        <v>0.12</v>
      </c>
      <c r="H38" s="902">
        <f>C38*D38*G38*3.14*4.26*4.26</f>
        <v>1.71</v>
      </c>
    </row>
    <row r="39" spans="1:13" ht="25.15" customHeight="1">
      <c r="A39" s="913"/>
      <c r="B39" s="917" t="s">
        <v>4853</v>
      </c>
      <c r="C39" s="913">
        <v>1</v>
      </c>
      <c r="D39" s="918">
        <v>1</v>
      </c>
      <c r="E39" s="919" t="s">
        <v>4845</v>
      </c>
      <c r="F39" s="919">
        <v>0.23</v>
      </c>
      <c r="G39" s="919">
        <v>0.3</v>
      </c>
      <c r="H39" s="902">
        <f>G39*F39*C39*D39*3.14*4.03</f>
        <v>0.87</v>
      </c>
    </row>
    <row r="40" spans="1:13" ht="25.15" customHeight="1">
      <c r="A40" s="915"/>
      <c r="B40" s="917" t="s">
        <v>4854</v>
      </c>
      <c r="C40" s="918">
        <v>1</v>
      </c>
      <c r="D40" s="918">
        <v>1</v>
      </c>
      <c r="E40" s="919">
        <f>1+0.46</f>
        <v>1.46</v>
      </c>
      <c r="F40" s="919">
        <v>0.6</v>
      </c>
      <c r="G40" s="929">
        <v>6.25E-2</v>
      </c>
      <c r="H40" s="902">
        <f>PRODUCT(C40:G40)</f>
        <v>0.05</v>
      </c>
    </row>
    <row r="41" spans="1:13" ht="25.15" customHeight="1">
      <c r="A41" s="915"/>
      <c r="B41" s="917" t="s">
        <v>4855</v>
      </c>
      <c r="C41" s="918">
        <v>1</v>
      </c>
      <c r="D41" s="918">
        <v>1</v>
      </c>
      <c r="E41" s="919">
        <v>1.36</v>
      </c>
      <c r="F41" s="919">
        <v>0.6</v>
      </c>
      <c r="G41" s="929">
        <v>6.25E-2</v>
      </c>
      <c r="H41" s="902">
        <f>PRODUCT(C41:G41)</f>
        <v>0.05</v>
      </c>
    </row>
    <row r="42" spans="1:13" ht="25.15" customHeight="1">
      <c r="A42" s="915"/>
      <c r="B42" s="901" t="s">
        <v>1850</v>
      </c>
      <c r="C42" s="918"/>
      <c r="D42" s="918"/>
      <c r="E42" s="919"/>
      <c r="F42" s="919"/>
      <c r="G42" s="919"/>
      <c r="H42" s="902">
        <v>0.01</v>
      </c>
    </row>
    <row r="43" spans="1:13" ht="25.15" customHeight="1">
      <c r="A43" s="915"/>
      <c r="B43" s="901"/>
      <c r="C43" s="916"/>
      <c r="D43" s="914"/>
      <c r="E43" s="902"/>
      <c r="F43" s="902"/>
      <c r="G43" s="902" t="s">
        <v>1827</v>
      </c>
      <c r="H43" s="902">
        <f>SUM(H38:H42)</f>
        <v>2.69</v>
      </c>
    </row>
    <row r="44" spans="1:13" ht="25.15" customHeight="1">
      <c r="A44" s="915"/>
      <c r="B44" s="901"/>
      <c r="C44" s="916"/>
      <c r="D44" s="914"/>
      <c r="E44" s="902"/>
      <c r="F44" s="920" t="s">
        <v>2560</v>
      </c>
      <c r="G44" s="920">
        <f>+H43</f>
        <v>2.69</v>
      </c>
      <c r="H44" s="921" t="s">
        <v>971</v>
      </c>
    </row>
    <row r="45" spans="1:13" ht="60" customHeight="1">
      <c r="A45" s="898">
        <f>+A37+1</f>
        <v>7</v>
      </c>
      <c r="B45" s="899" t="s">
        <v>4856</v>
      </c>
      <c r="C45" s="930"/>
      <c r="D45" s="930"/>
      <c r="E45" s="900"/>
      <c r="F45" s="900"/>
      <c r="G45" s="900"/>
      <c r="H45" s="900"/>
      <c r="L45" s="931"/>
      <c r="M45" s="931"/>
    </row>
    <row r="46" spans="1:13" ht="25.15" customHeight="1">
      <c r="A46" s="930"/>
      <c r="B46" s="899" t="s">
        <v>4857</v>
      </c>
      <c r="C46" s="927">
        <v>0.25</v>
      </c>
      <c r="D46" s="914">
        <v>1</v>
      </c>
      <c r="E46" s="1071" t="s">
        <v>4858</v>
      </c>
      <c r="F46" s="1072"/>
      <c r="G46" s="915" t="s">
        <v>4382</v>
      </c>
      <c r="H46" s="902">
        <f>C46*D46*3.14*3.8*3.8</f>
        <v>11.34</v>
      </c>
      <c r="L46" s="931"/>
      <c r="M46" s="931"/>
    </row>
    <row r="47" spans="1:13" ht="25.15" customHeight="1">
      <c r="A47" s="930"/>
      <c r="B47" s="899" t="s">
        <v>4859</v>
      </c>
      <c r="C47" s="916">
        <v>1</v>
      </c>
      <c r="D47" s="914">
        <v>1</v>
      </c>
      <c r="E47" s="1071" t="s">
        <v>4860</v>
      </c>
      <c r="F47" s="1072"/>
      <c r="G47" s="902">
        <v>0.12</v>
      </c>
      <c r="H47" s="902">
        <f>G47*C47*D47*3.14*4.26</f>
        <v>1.61</v>
      </c>
      <c r="L47" s="931"/>
      <c r="M47" s="931"/>
    </row>
    <row r="48" spans="1:13" ht="25.15" customHeight="1">
      <c r="A48" s="913"/>
      <c r="B48" s="917" t="s">
        <v>4861</v>
      </c>
      <c r="C48" s="913">
        <v>2</v>
      </c>
      <c r="D48" s="914">
        <v>1</v>
      </c>
      <c r="E48" s="1071" t="s">
        <v>4862</v>
      </c>
      <c r="F48" s="1072"/>
      <c r="G48" s="919">
        <f>0.3-0.12</f>
        <v>0.18</v>
      </c>
      <c r="H48" s="902">
        <f>G48*C48*D48*3.14*4.26</f>
        <v>4.82</v>
      </c>
    </row>
    <row r="49" spans="1:13" ht="25.15" customHeight="1">
      <c r="A49" s="915"/>
      <c r="B49" s="917" t="s">
        <v>4863</v>
      </c>
      <c r="C49" s="918">
        <v>2</v>
      </c>
      <c r="D49" s="918">
        <v>1</v>
      </c>
      <c r="E49" s="919">
        <v>1.36</v>
      </c>
      <c r="F49" s="919"/>
      <c r="G49" s="919">
        <v>0.05</v>
      </c>
      <c r="H49" s="902">
        <f t="shared" ref="H49:H55" si="0">PRODUCT(C49:G49)</f>
        <v>0.14000000000000001</v>
      </c>
    </row>
    <row r="50" spans="1:13" ht="25.15" customHeight="1">
      <c r="A50" s="915"/>
      <c r="B50" s="917" t="s">
        <v>4864</v>
      </c>
      <c r="C50" s="918">
        <v>1</v>
      </c>
      <c r="D50" s="918">
        <v>1</v>
      </c>
      <c r="E50" s="919">
        <v>1</v>
      </c>
      <c r="F50" s="919">
        <v>0.23</v>
      </c>
      <c r="G50" s="915" t="s">
        <v>4382</v>
      </c>
      <c r="H50" s="902">
        <f t="shared" si="0"/>
        <v>0.23</v>
      </c>
    </row>
    <row r="51" spans="1:13" ht="25.15" customHeight="1">
      <c r="A51" s="915"/>
      <c r="B51" s="917" t="s">
        <v>4865</v>
      </c>
      <c r="C51" s="918">
        <v>1</v>
      </c>
      <c r="D51" s="918">
        <v>1</v>
      </c>
      <c r="E51" s="919">
        <v>0.9</v>
      </c>
      <c r="F51" s="919">
        <v>0.23</v>
      </c>
      <c r="G51" s="915" t="s">
        <v>4382</v>
      </c>
      <c r="H51" s="902">
        <f t="shared" si="0"/>
        <v>0.21</v>
      </c>
    </row>
    <row r="52" spans="1:13" ht="25.15" customHeight="1">
      <c r="A52" s="915"/>
      <c r="B52" s="917" t="s">
        <v>4866</v>
      </c>
      <c r="C52" s="918">
        <v>1</v>
      </c>
      <c r="D52" s="918">
        <v>1</v>
      </c>
      <c r="E52" s="919">
        <v>1.36</v>
      </c>
      <c r="F52" s="919">
        <v>0.6</v>
      </c>
      <c r="G52" s="915" t="s">
        <v>4382</v>
      </c>
      <c r="H52" s="902">
        <f t="shared" si="0"/>
        <v>0.82</v>
      </c>
    </row>
    <row r="53" spans="1:13" ht="25.15" customHeight="1">
      <c r="A53" s="915"/>
      <c r="B53" s="917" t="s">
        <v>4867</v>
      </c>
      <c r="C53" s="918">
        <v>1</v>
      </c>
      <c r="D53" s="918">
        <v>1</v>
      </c>
      <c r="E53" s="919">
        <v>2.56</v>
      </c>
      <c r="F53" s="915" t="s">
        <v>4382</v>
      </c>
      <c r="G53" s="929">
        <v>6.25E-2</v>
      </c>
      <c r="H53" s="902">
        <f t="shared" si="0"/>
        <v>0.16</v>
      </c>
    </row>
    <row r="54" spans="1:13" ht="25.15" customHeight="1">
      <c r="A54" s="915"/>
      <c r="B54" s="917" t="s">
        <v>4868</v>
      </c>
      <c r="C54" s="918">
        <v>1</v>
      </c>
      <c r="D54" s="918">
        <v>1</v>
      </c>
      <c r="E54" s="919">
        <f>1+0.46</f>
        <v>1.46</v>
      </c>
      <c r="F54" s="919">
        <v>0.6</v>
      </c>
      <c r="G54" s="915" t="s">
        <v>4382</v>
      </c>
      <c r="H54" s="902">
        <f t="shared" si="0"/>
        <v>0.88</v>
      </c>
    </row>
    <row r="55" spans="1:13" ht="25.15" customHeight="1">
      <c r="A55" s="915"/>
      <c r="B55" s="917" t="s">
        <v>4869</v>
      </c>
      <c r="C55" s="918">
        <v>1</v>
      </c>
      <c r="D55" s="918">
        <v>1</v>
      </c>
      <c r="E55" s="919">
        <v>2.2000000000000002</v>
      </c>
      <c r="F55" s="915" t="s">
        <v>4382</v>
      </c>
      <c r="G55" s="929">
        <v>6.25E-2</v>
      </c>
      <c r="H55" s="902">
        <f t="shared" si="0"/>
        <v>0.14000000000000001</v>
      </c>
    </row>
    <row r="56" spans="1:13" ht="25.15" customHeight="1">
      <c r="A56" s="915"/>
      <c r="B56" s="901" t="s">
        <v>1850</v>
      </c>
      <c r="C56" s="918"/>
      <c r="D56" s="918"/>
      <c r="E56" s="919"/>
      <c r="F56" s="919"/>
      <c r="G56" s="919"/>
      <c r="H56" s="902">
        <v>0.08</v>
      </c>
    </row>
    <row r="57" spans="1:13" ht="25.15" customHeight="1">
      <c r="A57" s="930"/>
      <c r="B57" s="899"/>
      <c r="C57" s="930"/>
      <c r="D57" s="930"/>
      <c r="E57" s="900"/>
      <c r="F57" s="900"/>
      <c r="G57" s="900" t="s">
        <v>1827</v>
      </c>
      <c r="H57" s="900">
        <f>SUM(H46:H56)</f>
        <v>20.43</v>
      </c>
      <c r="L57" s="931"/>
      <c r="M57" s="931"/>
    </row>
    <row r="58" spans="1:13" ht="25.15" customHeight="1">
      <c r="A58" s="930"/>
      <c r="B58" s="899"/>
      <c r="C58" s="930"/>
      <c r="D58" s="930"/>
      <c r="E58" s="900"/>
      <c r="F58" s="926" t="s">
        <v>2560</v>
      </c>
      <c r="G58" s="926">
        <f>+H57</f>
        <v>20.43</v>
      </c>
      <c r="H58" s="921" t="s">
        <v>1494</v>
      </c>
      <c r="L58" s="931"/>
      <c r="M58" s="931"/>
    </row>
    <row r="59" spans="1:13" ht="40.15" customHeight="1">
      <c r="A59" s="898">
        <f>+A45+1</f>
        <v>8</v>
      </c>
      <c r="B59" s="899" t="s">
        <v>4870</v>
      </c>
      <c r="C59" s="930"/>
      <c r="D59" s="930"/>
      <c r="E59" s="900"/>
      <c r="F59" s="900"/>
      <c r="G59" s="900"/>
      <c r="H59" s="903"/>
      <c r="L59" s="931"/>
      <c r="M59" s="931"/>
    </row>
    <row r="60" spans="1:13" s="937" customFormat="1" ht="25.15" customHeight="1">
      <c r="A60" s="932"/>
      <c r="B60" s="933" t="s">
        <v>4264</v>
      </c>
      <c r="C60" s="934"/>
      <c r="D60" s="934"/>
      <c r="E60" s="915" t="s">
        <v>4382</v>
      </c>
      <c r="F60" s="915">
        <f>G44</f>
        <v>2.69</v>
      </c>
      <c r="G60" s="935">
        <v>120</v>
      </c>
      <c r="H60" s="936">
        <f>G60*F60</f>
        <v>322.8</v>
      </c>
      <c r="L60" s="938"/>
      <c r="M60" s="938"/>
    </row>
    <row r="61" spans="1:13" ht="25.15" customHeight="1">
      <c r="A61" s="930"/>
      <c r="B61" s="899"/>
      <c r="C61" s="930"/>
      <c r="D61" s="930"/>
      <c r="E61" s="900"/>
      <c r="F61" s="903" t="s">
        <v>2560</v>
      </c>
      <c r="G61" s="939">
        <f>H60/1000</f>
        <v>0.32300000000000001</v>
      </c>
      <c r="H61" s="904" t="s">
        <v>427</v>
      </c>
      <c r="L61" s="931"/>
      <c r="M61" s="931"/>
    </row>
    <row r="62" spans="1:13" ht="40.15" customHeight="1">
      <c r="A62" s="898">
        <f>+A59+1</f>
        <v>9</v>
      </c>
      <c r="B62" s="940" t="s">
        <v>4871</v>
      </c>
      <c r="C62" s="930"/>
      <c r="D62" s="930"/>
      <c r="E62" s="900"/>
      <c r="F62" s="900"/>
      <c r="G62" s="939"/>
      <c r="H62" s="903"/>
      <c r="L62" s="931"/>
      <c r="M62" s="931"/>
    </row>
    <row r="63" spans="1:13" ht="25.15" customHeight="1">
      <c r="A63" s="930"/>
      <c r="B63" s="899" t="s">
        <v>4872</v>
      </c>
      <c r="C63" s="916">
        <v>1</v>
      </c>
      <c r="D63" s="914">
        <v>1</v>
      </c>
      <c r="E63" s="900">
        <v>0.9</v>
      </c>
      <c r="F63" s="900">
        <v>35</v>
      </c>
      <c r="G63" s="902">
        <v>1.35</v>
      </c>
      <c r="H63" s="902">
        <f>PRODUCT(C63:G63)</f>
        <v>42.53</v>
      </c>
      <c r="L63" s="931"/>
      <c r="M63" s="931"/>
    </row>
    <row r="64" spans="1:13" ht="25.15" customHeight="1">
      <c r="A64" s="930"/>
      <c r="B64" s="917" t="s">
        <v>4873</v>
      </c>
      <c r="C64" s="918">
        <v>1</v>
      </c>
      <c r="D64" s="918">
        <v>1</v>
      </c>
      <c r="E64" s="900">
        <v>1</v>
      </c>
      <c r="F64" s="900">
        <v>80</v>
      </c>
      <c r="G64" s="919">
        <v>2.1</v>
      </c>
      <c r="H64" s="902">
        <f>PRODUCT(C64:G64)</f>
        <v>168</v>
      </c>
      <c r="J64" s="892">
        <f>0.9*2.1</f>
        <v>1.89</v>
      </c>
    </row>
    <row r="65" spans="1:13" ht="25.15" customHeight="1">
      <c r="A65" s="930"/>
      <c r="B65" s="901" t="s">
        <v>1850</v>
      </c>
      <c r="C65" s="916"/>
      <c r="D65" s="914"/>
      <c r="E65" s="900"/>
      <c r="F65" s="903"/>
      <c r="G65" s="902"/>
      <c r="H65" s="902">
        <v>7.0000000000000007E-2</v>
      </c>
      <c r="L65" s="931"/>
      <c r="M65" s="931"/>
    </row>
    <row r="66" spans="1:13" ht="25.15" customHeight="1">
      <c r="A66" s="930"/>
      <c r="B66" s="899"/>
      <c r="C66" s="916"/>
      <c r="D66" s="914"/>
      <c r="E66" s="900"/>
      <c r="F66" s="903"/>
      <c r="G66" s="902" t="s">
        <v>1827</v>
      </c>
      <c r="H66" s="902">
        <f>SUM(H63:H65)</f>
        <v>210.6</v>
      </c>
      <c r="L66" s="931"/>
      <c r="M66" s="931"/>
    </row>
    <row r="67" spans="1:13" ht="25.15" customHeight="1">
      <c r="A67" s="930"/>
      <c r="B67" s="899"/>
      <c r="C67" s="918"/>
      <c r="D67" s="918"/>
      <c r="E67" s="900"/>
      <c r="F67" s="903" t="s">
        <v>2560</v>
      </c>
      <c r="G67" s="941">
        <f>H66</f>
        <v>210.6</v>
      </c>
      <c r="H67" s="904" t="s">
        <v>211</v>
      </c>
    </row>
    <row r="68" spans="1:13" ht="40.15" customHeight="1">
      <c r="A68" s="898">
        <f>+A62+1</f>
        <v>10</v>
      </c>
      <c r="B68" s="899" t="s">
        <v>4874</v>
      </c>
      <c r="C68" s="930"/>
      <c r="D68" s="930"/>
      <c r="E68" s="900"/>
      <c r="F68" s="900"/>
      <c r="G68" s="939"/>
      <c r="H68" s="903"/>
      <c r="L68" s="931"/>
      <c r="M68" s="931"/>
    </row>
    <row r="69" spans="1:13" ht="25.15" customHeight="1">
      <c r="A69" s="930"/>
      <c r="B69" s="899" t="s">
        <v>4875</v>
      </c>
      <c r="C69" s="916">
        <v>1</v>
      </c>
      <c r="D69" s="914">
        <v>1</v>
      </c>
      <c r="E69" s="900">
        <v>0.9</v>
      </c>
      <c r="F69" s="915" t="s">
        <v>4382</v>
      </c>
      <c r="G69" s="902">
        <v>1.35</v>
      </c>
      <c r="H69" s="902">
        <f>PRODUCT(C69:G69)</f>
        <v>1.22</v>
      </c>
      <c r="L69" s="931"/>
      <c r="M69" s="931"/>
    </row>
    <row r="70" spans="1:13" ht="25.15" customHeight="1">
      <c r="A70" s="930"/>
      <c r="B70" s="901" t="s">
        <v>1850</v>
      </c>
      <c r="C70" s="918"/>
      <c r="D70" s="918"/>
      <c r="E70" s="900"/>
      <c r="F70" s="900"/>
      <c r="G70" s="928"/>
      <c r="H70" s="902">
        <v>0.08</v>
      </c>
      <c r="J70" s="892">
        <f>0.9*2.1</f>
        <v>1.89</v>
      </c>
    </row>
    <row r="71" spans="1:13" ht="25.15" customHeight="1">
      <c r="A71" s="930"/>
      <c r="B71" s="899"/>
      <c r="C71" s="916"/>
      <c r="D71" s="914"/>
      <c r="E71" s="900"/>
      <c r="F71" s="903"/>
      <c r="G71" s="902" t="s">
        <v>1827</v>
      </c>
      <c r="H71" s="902">
        <f>SUM(H69:H70)</f>
        <v>1.3</v>
      </c>
      <c r="L71" s="931"/>
      <c r="M71" s="931"/>
    </row>
    <row r="72" spans="1:13" ht="25.15" customHeight="1">
      <c r="A72" s="930"/>
      <c r="B72" s="899"/>
      <c r="C72" s="918"/>
      <c r="D72" s="918"/>
      <c r="E72" s="900"/>
      <c r="F72" s="903" t="s">
        <v>2560</v>
      </c>
      <c r="G72" s="941">
        <f>H71</f>
        <v>1.3</v>
      </c>
      <c r="H72" s="904" t="s">
        <v>1494</v>
      </c>
    </row>
    <row r="73" spans="1:13" ht="25.15" customHeight="1">
      <c r="A73" s="898">
        <f>+A68+1</f>
        <v>11</v>
      </c>
      <c r="B73" s="899" t="s">
        <v>4876</v>
      </c>
      <c r="C73" s="930"/>
      <c r="D73" s="930"/>
      <c r="E73" s="900"/>
      <c r="F73" s="900"/>
      <c r="G73" s="900"/>
      <c r="H73" s="900"/>
    </row>
    <row r="74" spans="1:13" ht="25.15" customHeight="1">
      <c r="A74" s="898"/>
      <c r="B74" s="899" t="s">
        <v>4836</v>
      </c>
      <c r="C74" s="898">
        <v>1</v>
      </c>
      <c r="D74" s="898">
        <v>1</v>
      </c>
      <c r="E74" s="900">
        <v>1</v>
      </c>
      <c r="F74" s="900">
        <f>0.45*2</f>
        <v>0.9</v>
      </c>
      <c r="G74" s="915" t="s">
        <v>4382</v>
      </c>
      <c r="H74" s="900">
        <f>PRODUCT(C74:G74)</f>
        <v>0.9</v>
      </c>
    </row>
    <row r="75" spans="1:13" ht="25.15" customHeight="1">
      <c r="A75" s="898"/>
      <c r="B75" s="899" t="s">
        <v>4877</v>
      </c>
      <c r="C75" s="898">
        <v>1</v>
      </c>
      <c r="D75" s="898">
        <v>2</v>
      </c>
      <c r="E75" s="900">
        <v>0.6</v>
      </c>
      <c r="F75" s="915" t="s">
        <v>4382</v>
      </c>
      <c r="G75" s="900">
        <v>0.15</v>
      </c>
      <c r="H75" s="900">
        <f>PRODUCT(C75:G75)</f>
        <v>0.18</v>
      </c>
    </row>
    <row r="76" spans="1:13" ht="25.15" customHeight="1">
      <c r="A76" s="898"/>
      <c r="B76" s="899" t="s">
        <v>4877</v>
      </c>
      <c r="C76" s="898">
        <v>1</v>
      </c>
      <c r="D76" s="898">
        <v>2</v>
      </c>
      <c r="E76" s="900">
        <v>0.3</v>
      </c>
      <c r="F76" s="915" t="s">
        <v>4382</v>
      </c>
      <c r="G76" s="900">
        <v>0.15</v>
      </c>
      <c r="H76" s="900">
        <f>PRODUCT(C76:G76)</f>
        <v>0.09</v>
      </c>
    </row>
    <row r="77" spans="1:13" ht="25.15" customHeight="1">
      <c r="A77" s="915"/>
      <c r="B77" s="901" t="s">
        <v>1850</v>
      </c>
      <c r="C77" s="918"/>
      <c r="D77" s="918"/>
      <c r="E77" s="900"/>
      <c r="F77" s="900"/>
      <c r="G77" s="919"/>
      <c r="H77" s="902">
        <v>0.03</v>
      </c>
    </row>
    <row r="78" spans="1:13" ht="25.15" customHeight="1">
      <c r="A78" s="915"/>
      <c r="B78" s="917"/>
      <c r="C78" s="918"/>
      <c r="D78" s="918"/>
      <c r="E78" s="900"/>
      <c r="F78" s="900"/>
      <c r="G78" s="919" t="s">
        <v>1827</v>
      </c>
      <c r="H78" s="902">
        <f>SUM(H74:H77)</f>
        <v>1.2</v>
      </c>
    </row>
    <row r="79" spans="1:13" ht="25.15" customHeight="1">
      <c r="A79" s="915"/>
      <c r="B79" s="917"/>
      <c r="C79" s="918"/>
      <c r="D79" s="918"/>
      <c r="E79" s="900"/>
      <c r="F79" s="926" t="s">
        <v>2560</v>
      </c>
      <c r="G79" s="926">
        <f>+H78</f>
        <v>1.2</v>
      </c>
      <c r="H79" s="921" t="s">
        <v>1494</v>
      </c>
    </row>
    <row r="80" spans="1:13" ht="60" customHeight="1">
      <c r="A80" s="898">
        <f>+A73+1</f>
        <v>12</v>
      </c>
      <c r="B80" s="899" t="s">
        <v>4878</v>
      </c>
      <c r="C80" s="930"/>
      <c r="D80" s="930"/>
      <c r="E80" s="900"/>
      <c r="F80" s="900"/>
      <c r="G80" s="900"/>
      <c r="H80" s="900"/>
    </row>
    <row r="81" spans="1:8" ht="25.15" customHeight="1">
      <c r="A81" s="898"/>
      <c r="B81" s="899" t="s">
        <v>4879</v>
      </c>
      <c r="C81" s="898">
        <v>1</v>
      </c>
      <c r="D81" s="942">
        <v>0.25</v>
      </c>
      <c r="E81" s="1073" t="s">
        <v>4858</v>
      </c>
      <c r="F81" s="1074"/>
      <c r="G81" s="915" t="s">
        <v>4382</v>
      </c>
      <c r="H81" s="900">
        <f>D81*C81*3.14*3.8*3.8</f>
        <v>11.34</v>
      </c>
    </row>
    <row r="82" spans="1:8" ht="25.15" customHeight="1">
      <c r="A82" s="898"/>
      <c r="B82" s="901" t="s">
        <v>1850</v>
      </c>
      <c r="C82" s="898"/>
      <c r="D82" s="898"/>
      <c r="E82" s="900"/>
      <c r="F82" s="900"/>
      <c r="G82" s="900"/>
      <c r="H82" s="900">
        <v>0.06</v>
      </c>
    </row>
    <row r="83" spans="1:8" ht="25.15" customHeight="1">
      <c r="A83" s="915"/>
      <c r="B83" s="917"/>
      <c r="C83" s="918"/>
      <c r="D83" s="918"/>
      <c r="E83" s="900"/>
      <c r="F83" s="900"/>
      <c r="G83" s="919" t="s">
        <v>1827</v>
      </c>
      <c r="H83" s="902">
        <f>SUM(H81:H82)</f>
        <v>11.4</v>
      </c>
    </row>
    <row r="84" spans="1:8" ht="25.15" customHeight="1">
      <c r="A84" s="915"/>
      <c r="B84" s="917"/>
      <c r="C84" s="918"/>
      <c r="D84" s="918"/>
      <c r="E84" s="900"/>
      <c r="F84" s="926" t="s">
        <v>2560</v>
      </c>
      <c r="G84" s="926">
        <f>+H83</f>
        <v>11.4</v>
      </c>
      <c r="H84" s="921" t="s">
        <v>1494</v>
      </c>
    </row>
    <row r="85" spans="1:8" ht="25.15" customHeight="1">
      <c r="A85" s="898">
        <f>+A80+1</f>
        <v>13</v>
      </c>
      <c r="B85" s="899" t="s">
        <v>4880</v>
      </c>
      <c r="C85" s="930"/>
      <c r="D85" s="930"/>
      <c r="E85" s="900"/>
      <c r="F85" s="900"/>
      <c r="G85" s="900"/>
      <c r="H85" s="900"/>
    </row>
    <row r="86" spans="1:8" ht="25.15" customHeight="1">
      <c r="A86" s="915"/>
      <c r="B86" s="917" t="s">
        <v>4881</v>
      </c>
      <c r="C86" s="927">
        <v>0.25</v>
      </c>
      <c r="D86" s="918">
        <v>1</v>
      </c>
      <c r="E86" s="1073" t="s">
        <v>4858</v>
      </c>
      <c r="F86" s="1074"/>
      <c r="G86" s="915" t="s">
        <v>4382</v>
      </c>
      <c r="H86" s="902">
        <f>D86*C86*3.14*3.8*3.8</f>
        <v>11.34</v>
      </c>
    </row>
    <row r="87" spans="1:8" ht="25.15" customHeight="1">
      <c r="A87" s="915"/>
      <c r="B87" s="917" t="s">
        <v>4866</v>
      </c>
      <c r="C87" s="918">
        <v>1</v>
      </c>
      <c r="D87" s="918">
        <v>1</v>
      </c>
      <c r="E87" s="919">
        <v>1.36</v>
      </c>
      <c r="F87" s="919">
        <v>0.6</v>
      </c>
      <c r="G87" s="915" t="s">
        <v>4382</v>
      </c>
      <c r="H87" s="902">
        <f>PRODUCT(C87:G87)</f>
        <v>0.82</v>
      </c>
    </row>
    <row r="88" spans="1:8" ht="25.15" customHeight="1">
      <c r="A88" s="915"/>
      <c r="B88" s="917" t="s">
        <v>4867</v>
      </c>
      <c r="C88" s="918">
        <v>1</v>
      </c>
      <c r="D88" s="918">
        <v>1</v>
      </c>
      <c r="E88" s="919">
        <v>2.56</v>
      </c>
      <c r="F88" s="919"/>
      <c r="G88" s="929">
        <v>6.25E-2</v>
      </c>
      <c r="H88" s="902">
        <f>PRODUCT(C88:G88)</f>
        <v>0.16</v>
      </c>
    </row>
    <row r="89" spans="1:8" ht="25.15" customHeight="1">
      <c r="A89" s="915"/>
      <c r="B89" s="917" t="s">
        <v>4868</v>
      </c>
      <c r="C89" s="918">
        <v>1</v>
      </c>
      <c r="D89" s="918">
        <v>1</v>
      </c>
      <c r="E89" s="919">
        <f>1+0.46</f>
        <v>1.46</v>
      </c>
      <c r="F89" s="919">
        <v>0.6</v>
      </c>
      <c r="G89" s="915" t="s">
        <v>4382</v>
      </c>
      <c r="H89" s="902">
        <f>PRODUCT(C89:G89)</f>
        <v>0.88</v>
      </c>
    </row>
    <row r="90" spans="1:8" ht="25.15" customHeight="1">
      <c r="A90" s="915"/>
      <c r="B90" s="917" t="s">
        <v>4869</v>
      </c>
      <c r="C90" s="918">
        <v>1</v>
      </c>
      <c r="D90" s="918">
        <v>1</v>
      </c>
      <c r="E90" s="919">
        <v>2.2000000000000002</v>
      </c>
      <c r="F90" s="915" t="s">
        <v>4382</v>
      </c>
      <c r="G90" s="929">
        <v>6.25E-2</v>
      </c>
      <c r="H90" s="902">
        <f>PRODUCT(C90:G90)</f>
        <v>0.14000000000000001</v>
      </c>
    </row>
    <row r="91" spans="1:8" ht="25.15" customHeight="1">
      <c r="A91" s="915"/>
      <c r="B91" s="901" t="s">
        <v>1850</v>
      </c>
      <c r="C91" s="918"/>
      <c r="D91" s="918"/>
      <c r="E91" s="900"/>
      <c r="F91" s="900"/>
      <c r="G91" s="919"/>
      <c r="H91" s="902">
        <v>0.08</v>
      </c>
    </row>
    <row r="92" spans="1:8" ht="25.15" customHeight="1">
      <c r="A92" s="915"/>
      <c r="B92" s="917"/>
      <c r="C92" s="918"/>
      <c r="D92" s="918"/>
      <c r="E92" s="900"/>
      <c r="F92" s="900"/>
      <c r="G92" s="919" t="s">
        <v>1827</v>
      </c>
      <c r="H92" s="902">
        <f>SUM(H86:H91)</f>
        <v>13.42</v>
      </c>
    </row>
    <row r="93" spans="1:8" ht="25.15" customHeight="1">
      <c r="A93" s="915"/>
      <c r="B93" s="917"/>
      <c r="C93" s="918"/>
      <c r="D93" s="918"/>
      <c r="E93" s="900"/>
      <c r="F93" s="926" t="s">
        <v>2560</v>
      </c>
      <c r="G93" s="926">
        <f>+H92</f>
        <v>13.42</v>
      </c>
      <c r="H93" s="921" t="s">
        <v>971</v>
      </c>
    </row>
    <row r="94" spans="1:8" ht="40.15" customHeight="1">
      <c r="A94" s="898">
        <f>+A85+1</f>
        <v>14</v>
      </c>
      <c r="B94" s="899" t="s">
        <v>4882</v>
      </c>
      <c r="C94" s="930"/>
      <c r="D94" s="930"/>
      <c r="E94" s="900"/>
      <c r="F94" s="900"/>
      <c r="G94" s="900"/>
      <c r="H94" s="900"/>
    </row>
    <row r="95" spans="1:8" ht="25.15" customHeight="1">
      <c r="A95" s="898"/>
      <c r="B95" s="943" t="s">
        <v>4883</v>
      </c>
      <c r="C95" s="930"/>
      <c r="D95" s="930"/>
      <c r="E95" s="900"/>
      <c r="F95" s="900"/>
      <c r="G95" s="900"/>
      <c r="H95" s="900"/>
    </row>
    <row r="96" spans="1:8" ht="25.15" customHeight="1">
      <c r="A96" s="898"/>
      <c r="B96" s="899" t="s">
        <v>4884</v>
      </c>
      <c r="C96" s="918">
        <v>1</v>
      </c>
      <c r="D96" s="918">
        <v>1</v>
      </c>
      <c r="E96" s="919">
        <v>3.14</v>
      </c>
      <c r="F96" s="919">
        <v>3.8</v>
      </c>
      <c r="G96" s="919">
        <v>2.4</v>
      </c>
      <c r="H96" s="902">
        <f>PRODUCT(C96:G96)</f>
        <v>28.64</v>
      </c>
    </row>
    <row r="97" spans="1:8" ht="25.15" customHeight="1">
      <c r="A97" s="898"/>
      <c r="B97" s="899" t="s">
        <v>4885</v>
      </c>
      <c r="C97" s="918">
        <v>1</v>
      </c>
      <c r="D97" s="918">
        <v>-1</v>
      </c>
      <c r="E97" s="919">
        <v>1</v>
      </c>
      <c r="F97" s="915" t="s">
        <v>4382</v>
      </c>
      <c r="G97" s="919">
        <v>2.1</v>
      </c>
      <c r="H97" s="902">
        <f>PRODUCT(C97:G97)</f>
        <v>-2.1</v>
      </c>
    </row>
    <row r="98" spans="1:8" ht="25.15" customHeight="1">
      <c r="A98" s="898"/>
      <c r="B98" s="899" t="s">
        <v>4886</v>
      </c>
      <c r="C98" s="918">
        <v>1</v>
      </c>
      <c r="D98" s="918">
        <v>-1</v>
      </c>
      <c r="E98" s="919">
        <v>0.9</v>
      </c>
      <c r="F98" s="915" t="s">
        <v>4382</v>
      </c>
      <c r="G98" s="919">
        <v>1.35</v>
      </c>
      <c r="H98" s="902">
        <f>PRODUCT(C98:G98)</f>
        <v>-1.22</v>
      </c>
    </row>
    <row r="99" spans="1:8" ht="25.15" customHeight="1">
      <c r="A99" s="898"/>
      <c r="B99" s="899" t="s">
        <v>4887</v>
      </c>
      <c r="C99" s="918">
        <v>1</v>
      </c>
      <c r="D99" s="918">
        <v>1</v>
      </c>
      <c r="E99" s="919">
        <v>5.2</v>
      </c>
      <c r="F99" s="915" t="s">
        <v>4382</v>
      </c>
      <c r="G99" s="919">
        <v>0.23</v>
      </c>
      <c r="H99" s="902">
        <f>PRODUCT(C99:G99)</f>
        <v>1.2</v>
      </c>
    </row>
    <row r="100" spans="1:8" ht="25.15" customHeight="1">
      <c r="A100" s="898"/>
      <c r="B100" s="899" t="s">
        <v>4888</v>
      </c>
      <c r="C100" s="918">
        <v>1</v>
      </c>
      <c r="D100" s="918">
        <v>1</v>
      </c>
      <c r="E100" s="919">
        <v>4.5</v>
      </c>
      <c r="F100" s="915" t="s">
        <v>4382</v>
      </c>
      <c r="G100" s="919">
        <v>0.1</v>
      </c>
      <c r="H100" s="902">
        <f>PRODUCT(C100:G100)</f>
        <v>0.45</v>
      </c>
    </row>
    <row r="101" spans="1:8" ht="25.15" customHeight="1">
      <c r="A101" s="898"/>
      <c r="B101" s="943" t="s">
        <v>4889</v>
      </c>
      <c r="C101" s="930"/>
      <c r="D101" s="930"/>
      <c r="E101" s="944"/>
      <c r="F101" s="945"/>
      <c r="G101" s="900"/>
      <c r="H101" s="900"/>
    </row>
    <row r="102" spans="1:8" ht="25.15" customHeight="1">
      <c r="A102" s="898"/>
      <c r="B102" s="899" t="s">
        <v>3575</v>
      </c>
      <c r="C102" s="918">
        <v>1</v>
      </c>
      <c r="D102" s="918">
        <v>1</v>
      </c>
      <c r="E102" s="919">
        <v>3.14</v>
      </c>
      <c r="F102" s="919">
        <v>4.26</v>
      </c>
      <c r="G102" s="919">
        <v>3.75</v>
      </c>
      <c r="H102" s="902">
        <f>PRODUCT(C102:G102)</f>
        <v>50.16</v>
      </c>
    </row>
    <row r="103" spans="1:8" ht="25.15" customHeight="1">
      <c r="A103" s="898"/>
      <c r="B103" s="899" t="s">
        <v>4890</v>
      </c>
      <c r="C103" s="918">
        <v>1</v>
      </c>
      <c r="D103" s="918">
        <v>1</v>
      </c>
      <c r="E103" s="919">
        <v>1.36</v>
      </c>
      <c r="F103" s="915" t="s">
        <v>4382</v>
      </c>
      <c r="G103" s="919">
        <v>0.6</v>
      </c>
      <c r="H103" s="902">
        <f t="shared" ref="H103:H109" si="1">PRODUCT(C103:G103)</f>
        <v>0.82</v>
      </c>
    </row>
    <row r="104" spans="1:8" ht="25.15" customHeight="1">
      <c r="A104" s="898"/>
      <c r="B104" s="899" t="s">
        <v>4891</v>
      </c>
      <c r="C104" s="918">
        <v>1</v>
      </c>
      <c r="D104" s="918">
        <v>1</v>
      </c>
      <c r="E104" s="919">
        <v>1.46</v>
      </c>
      <c r="F104" s="915" t="s">
        <v>4382</v>
      </c>
      <c r="G104" s="919">
        <v>0.6</v>
      </c>
      <c r="H104" s="902">
        <f t="shared" si="1"/>
        <v>0.88</v>
      </c>
    </row>
    <row r="105" spans="1:8" ht="25.15" customHeight="1">
      <c r="A105" s="898"/>
      <c r="B105" s="899" t="s">
        <v>3903</v>
      </c>
      <c r="C105" s="918">
        <v>1</v>
      </c>
      <c r="D105" s="918">
        <v>1</v>
      </c>
      <c r="E105" s="919">
        <v>3.14</v>
      </c>
      <c r="F105" s="919">
        <v>4.03</v>
      </c>
      <c r="G105" s="919">
        <v>0.23</v>
      </c>
      <c r="H105" s="902">
        <f t="shared" si="1"/>
        <v>2.91</v>
      </c>
    </row>
    <row r="106" spans="1:8" ht="25.15" customHeight="1">
      <c r="A106" s="898"/>
      <c r="B106" s="899" t="s">
        <v>4892</v>
      </c>
      <c r="C106" s="918">
        <v>1</v>
      </c>
      <c r="D106" s="918">
        <v>1</v>
      </c>
      <c r="E106" s="919">
        <v>3.14</v>
      </c>
      <c r="F106" s="946">
        <v>3.8</v>
      </c>
      <c r="G106" s="919">
        <v>0.45</v>
      </c>
      <c r="H106" s="902">
        <f t="shared" si="1"/>
        <v>5.37</v>
      </c>
    </row>
    <row r="107" spans="1:8" ht="25.15" customHeight="1">
      <c r="A107" s="898"/>
      <c r="B107" s="899" t="s">
        <v>4885</v>
      </c>
      <c r="C107" s="898">
        <v>1</v>
      </c>
      <c r="D107" s="898">
        <v>-1</v>
      </c>
      <c r="E107" s="900">
        <v>1</v>
      </c>
      <c r="F107" s="915" t="s">
        <v>4382</v>
      </c>
      <c r="G107" s="900">
        <v>2.1</v>
      </c>
      <c r="H107" s="902">
        <f t="shared" si="1"/>
        <v>-2.1</v>
      </c>
    </row>
    <row r="108" spans="1:8" ht="25.15" customHeight="1">
      <c r="A108" s="898"/>
      <c r="B108" s="899" t="s">
        <v>4886</v>
      </c>
      <c r="C108" s="898">
        <v>1</v>
      </c>
      <c r="D108" s="898">
        <v>1</v>
      </c>
      <c r="E108" s="900">
        <v>0.9</v>
      </c>
      <c r="F108" s="915" t="s">
        <v>4382</v>
      </c>
      <c r="G108" s="900">
        <v>1.35</v>
      </c>
      <c r="H108" s="902">
        <f t="shared" si="1"/>
        <v>1.22</v>
      </c>
    </row>
    <row r="109" spans="1:8" ht="25.15" customHeight="1">
      <c r="A109" s="898"/>
      <c r="B109" s="899" t="s">
        <v>4893</v>
      </c>
      <c r="C109" s="898">
        <v>1</v>
      </c>
      <c r="D109" s="898">
        <v>1</v>
      </c>
      <c r="E109" s="900">
        <v>4.5</v>
      </c>
      <c r="F109" s="915" t="s">
        <v>4382</v>
      </c>
      <c r="G109" s="900">
        <v>0.1</v>
      </c>
      <c r="H109" s="902">
        <f t="shared" si="1"/>
        <v>0.45</v>
      </c>
    </row>
    <row r="110" spans="1:8" ht="25.15" customHeight="1">
      <c r="A110" s="915"/>
      <c r="B110" s="901" t="s">
        <v>1850</v>
      </c>
      <c r="C110" s="916"/>
      <c r="D110" s="914"/>
      <c r="E110" s="902"/>
      <c r="F110" s="902"/>
      <c r="G110" s="902"/>
      <c r="H110" s="902">
        <v>0.03</v>
      </c>
    </row>
    <row r="111" spans="1:8" ht="25.15" customHeight="1">
      <c r="A111" s="930"/>
      <c r="B111" s="899"/>
      <c r="C111" s="930"/>
      <c r="D111" s="930"/>
      <c r="E111" s="900"/>
      <c r="F111" s="900"/>
      <c r="G111" s="900" t="s">
        <v>1827</v>
      </c>
      <c r="H111" s="900">
        <f>SUM(H96:H110)</f>
        <v>86.71</v>
      </c>
    </row>
    <row r="112" spans="1:8" ht="25.15" customHeight="1">
      <c r="A112" s="930"/>
      <c r="B112" s="899"/>
      <c r="C112" s="930"/>
      <c r="D112" s="930"/>
      <c r="E112" s="900"/>
      <c r="F112" s="926" t="s">
        <v>2560</v>
      </c>
      <c r="G112" s="926">
        <f>+H111</f>
        <v>86.71</v>
      </c>
      <c r="H112" s="921" t="s">
        <v>1494</v>
      </c>
    </row>
    <row r="113" spans="1:8" s="951" customFormat="1" ht="40.15" customHeight="1">
      <c r="A113" s="947">
        <f>+A94+1</f>
        <v>15</v>
      </c>
      <c r="B113" s="948" t="s">
        <v>688</v>
      </c>
      <c r="C113" s="949"/>
      <c r="D113" s="949"/>
      <c r="E113" s="950"/>
      <c r="F113" s="950"/>
      <c r="G113" s="950"/>
      <c r="H113" s="950"/>
    </row>
    <row r="114" spans="1:8" ht="25.15" customHeight="1">
      <c r="A114" s="915"/>
      <c r="B114" s="917" t="s">
        <v>4894</v>
      </c>
      <c r="C114" s="927">
        <v>0.25</v>
      </c>
      <c r="D114" s="918">
        <v>1</v>
      </c>
      <c r="E114" s="1069" t="s">
        <v>4858</v>
      </c>
      <c r="F114" s="1069"/>
      <c r="G114" s="915" t="s">
        <v>4382</v>
      </c>
      <c r="H114" s="902">
        <f>D114*3.14*3.8*3.8*C114</f>
        <v>11.34</v>
      </c>
    </row>
    <row r="115" spans="1:8" ht="25.15" customHeight="1">
      <c r="A115" s="915"/>
      <c r="B115" s="917" t="s">
        <v>4895</v>
      </c>
      <c r="C115" s="922">
        <v>1</v>
      </c>
      <c r="D115" s="918">
        <v>1</v>
      </c>
      <c r="E115" s="1069" t="s">
        <v>4896</v>
      </c>
      <c r="F115" s="1069"/>
      <c r="G115" s="915" t="s">
        <v>4382</v>
      </c>
      <c r="H115" s="902">
        <f>C115*D115*3.14*3.8*0.23</f>
        <v>2.74</v>
      </c>
    </row>
    <row r="116" spans="1:8" ht="25.15" customHeight="1">
      <c r="A116" s="930"/>
      <c r="B116" s="901" t="s">
        <v>1850</v>
      </c>
      <c r="C116" s="930"/>
      <c r="D116" s="930"/>
      <c r="E116" s="900"/>
      <c r="F116" s="900"/>
      <c r="G116" s="900"/>
      <c r="H116" s="900">
        <v>0.02</v>
      </c>
    </row>
    <row r="117" spans="1:8" ht="25.15" customHeight="1">
      <c r="A117" s="930"/>
      <c r="B117" s="899"/>
      <c r="C117" s="930"/>
      <c r="D117" s="930"/>
      <c r="E117" s="900"/>
      <c r="F117" s="900"/>
      <c r="G117" s="900" t="s">
        <v>1827</v>
      </c>
      <c r="H117" s="900">
        <f>SUM(H114:H116)</f>
        <v>14.1</v>
      </c>
    </row>
    <row r="118" spans="1:8" ht="25.15" customHeight="1">
      <c r="A118" s="930"/>
      <c r="B118" s="899"/>
      <c r="C118" s="930"/>
      <c r="D118" s="930"/>
      <c r="E118" s="900"/>
      <c r="F118" s="926" t="s">
        <v>2560</v>
      </c>
      <c r="G118" s="926">
        <f>+H117</f>
        <v>14.1</v>
      </c>
      <c r="H118" s="921" t="s">
        <v>1494</v>
      </c>
    </row>
    <row r="119" spans="1:8" ht="40.15" customHeight="1">
      <c r="A119" s="898">
        <f>+A113+1</f>
        <v>16</v>
      </c>
      <c r="B119" s="899" t="s">
        <v>4897</v>
      </c>
      <c r="C119" s="930"/>
      <c r="D119" s="930"/>
      <c r="E119" s="900"/>
      <c r="F119" s="900"/>
      <c r="G119" s="900"/>
      <c r="H119" s="900"/>
    </row>
    <row r="120" spans="1:8" ht="25.15" customHeight="1">
      <c r="A120" s="915"/>
      <c r="B120" s="917" t="s">
        <v>4898</v>
      </c>
      <c r="C120" s="918">
        <v>1</v>
      </c>
      <c r="D120" s="918">
        <v>1</v>
      </c>
      <c r="E120" s="900">
        <v>5.3</v>
      </c>
      <c r="F120" s="915" t="s">
        <v>4382</v>
      </c>
      <c r="G120" s="915" t="s">
        <v>4382</v>
      </c>
      <c r="H120" s="902">
        <f>PRODUCT(C120:G120)</f>
        <v>5.3</v>
      </c>
    </row>
    <row r="121" spans="1:8" ht="25.15" customHeight="1">
      <c r="A121" s="930"/>
      <c r="B121" s="899"/>
      <c r="C121" s="930"/>
      <c r="D121" s="930"/>
      <c r="E121" s="900"/>
      <c r="F121" s="926" t="s">
        <v>2560</v>
      </c>
      <c r="G121" s="926">
        <f>+H120</f>
        <v>5.3</v>
      </c>
      <c r="H121" s="921" t="s">
        <v>2155</v>
      </c>
    </row>
    <row r="122" spans="1:8" ht="75" customHeight="1">
      <c r="A122" s="898">
        <f>+A119+1</f>
        <v>17</v>
      </c>
      <c r="B122" s="899" t="s">
        <v>4899</v>
      </c>
      <c r="C122" s="930"/>
      <c r="D122" s="930"/>
      <c r="E122" s="900"/>
      <c r="F122" s="926"/>
      <c r="G122" s="926"/>
      <c r="H122" s="926"/>
    </row>
    <row r="123" spans="1:8" ht="25.15" customHeight="1">
      <c r="A123" s="898"/>
      <c r="B123" s="899" t="s">
        <v>4900</v>
      </c>
      <c r="C123" s="918">
        <v>1</v>
      </c>
      <c r="D123" s="918">
        <v>1</v>
      </c>
      <c r="E123" s="900">
        <v>0.9</v>
      </c>
      <c r="F123" s="915" t="s">
        <v>4382</v>
      </c>
      <c r="G123" s="919">
        <v>1.35</v>
      </c>
      <c r="H123" s="902">
        <f>PRODUCT(C123:G123)</f>
        <v>1.22</v>
      </c>
    </row>
    <row r="124" spans="1:8" ht="25.15" customHeight="1">
      <c r="A124" s="898"/>
      <c r="B124" s="899" t="s">
        <v>4901</v>
      </c>
      <c r="C124" s="918">
        <v>1</v>
      </c>
      <c r="D124" s="918">
        <v>1</v>
      </c>
      <c r="E124" s="900">
        <v>1</v>
      </c>
      <c r="F124" s="915" t="s">
        <v>4382</v>
      </c>
      <c r="G124" s="919">
        <v>2.1</v>
      </c>
      <c r="H124" s="902">
        <f>PRODUCT(C124:G124)</f>
        <v>2.1</v>
      </c>
    </row>
    <row r="125" spans="1:8" ht="25.15" customHeight="1">
      <c r="A125" s="915"/>
      <c r="B125" s="901" t="s">
        <v>1850</v>
      </c>
      <c r="C125" s="918"/>
      <c r="D125" s="918"/>
      <c r="E125" s="919"/>
      <c r="F125" s="919"/>
      <c r="G125" s="919"/>
      <c r="H125" s="902">
        <v>0.08</v>
      </c>
    </row>
    <row r="126" spans="1:8" ht="25.15" customHeight="1">
      <c r="A126" s="898"/>
      <c r="B126" s="899"/>
      <c r="C126" s="930"/>
      <c r="D126" s="930"/>
      <c r="E126" s="900"/>
      <c r="F126" s="926"/>
      <c r="G126" s="902" t="s">
        <v>1827</v>
      </c>
      <c r="H126" s="902">
        <f>SUM(H123:H125)</f>
        <v>3.4</v>
      </c>
    </row>
    <row r="127" spans="1:8" ht="25.15" customHeight="1">
      <c r="A127" s="898"/>
      <c r="B127" s="899"/>
      <c r="C127" s="930"/>
      <c r="D127" s="930"/>
      <c r="E127" s="900"/>
      <c r="F127" s="926" t="s">
        <v>2560</v>
      </c>
      <c r="G127" s="926">
        <f>+H126</f>
        <v>3.4</v>
      </c>
      <c r="H127" s="921" t="s">
        <v>1494</v>
      </c>
    </row>
    <row r="128" spans="1:8" ht="25.15" customHeight="1">
      <c r="A128" s="898">
        <f>+A122+1</f>
        <v>18</v>
      </c>
      <c r="B128" s="952" t="s">
        <v>4902</v>
      </c>
      <c r="C128" s="930"/>
      <c r="D128" s="930"/>
      <c r="E128" s="900"/>
      <c r="F128" s="926"/>
      <c r="G128" s="926"/>
      <c r="H128" s="926"/>
    </row>
    <row r="129" spans="1:8" ht="25.15" customHeight="1">
      <c r="A129" s="898"/>
      <c r="B129" s="943" t="s">
        <v>4889</v>
      </c>
      <c r="C129" s="930"/>
      <c r="D129" s="930"/>
      <c r="E129" s="944"/>
      <c r="F129" s="945"/>
      <c r="G129" s="900"/>
      <c r="H129" s="900"/>
    </row>
    <row r="130" spans="1:8" ht="25.15" customHeight="1">
      <c r="A130" s="898"/>
      <c r="B130" s="899" t="s">
        <v>3575</v>
      </c>
      <c r="C130" s="918">
        <v>1</v>
      </c>
      <c r="D130" s="918">
        <v>1</v>
      </c>
      <c r="E130" s="919">
        <v>3.14</v>
      </c>
      <c r="F130" s="919">
        <v>4.26</v>
      </c>
      <c r="G130" s="919">
        <v>3.75</v>
      </c>
      <c r="H130" s="902">
        <f>PRODUCT(C130:G130)</f>
        <v>50.16</v>
      </c>
    </row>
    <row r="131" spans="1:8" ht="25.15" customHeight="1">
      <c r="A131" s="898"/>
      <c r="B131" s="899" t="s">
        <v>4890</v>
      </c>
      <c r="C131" s="918">
        <v>1</v>
      </c>
      <c r="D131" s="918">
        <v>1</v>
      </c>
      <c r="E131" s="919">
        <v>1.36</v>
      </c>
      <c r="F131" s="915" t="s">
        <v>4382</v>
      </c>
      <c r="G131" s="919">
        <v>0.6</v>
      </c>
      <c r="H131" s="902">
        <f t="shared" ref="H131:H137" si="2">PRODUCT(C131:G131)</f>
        <v>0.82</v>
      </c>
    </row>
    <row r="132" spans="1:8" ht="25.15" customHeight="1">
      <c r="A132" s="898"/>
      <c r="B132" s="899" t="s">
        <v>4891</v>
      </c>
      <c r="C132" s="918">
        <v>1</v>
      </c>
      <c r="D132" s="918">
        <v>1</v>
      </c>
      <c r="E132" s="919">
        <v>1.46</v>
      </c>
      <c r="F132" s="915" t="s">
        <v>4382</v>
      </c>
      <c r="G132" s="919">
        <v>0.6</v>
      </c>
      <c r="H132" s="902">
        <f t="shared" si="2"/>
        <v>0.88</v>
      </c>
    </row>
    <row r="133" spans="1:8" ht="25.15" customHeight="1">
      <c r="A133" s="898"/>
      <c r="B133" s="899" t="s">
        <v>3903</v>
      </c>
      <c r="C133" s="918">
        <v>1</v>
      </c>
      <c r="D133" s="918">
        <v>1</v>
      </c>
      <c r="E133" s="919">
        <v>3.14</v>
      </c>
      <c r="F133" s="919">
        <v>4.03</v>
      </c>
      <c r="G133" s="919">
        <v>0.23</v>
      </c>
      <c r="H133" s="902">
        <f t="shared" si="2"/>
        <v>2.91</v>
      </c>
    </row>
    <row r="134" spans="1:8" ht="25.15" customHeight="1">
      <c r="A134" s="898"/>
      <c r="B134" s="899" t="s">
        <v>4892</v>
      </c>
      <c r="C134" s="918">
        <v>1</v>
      </c>
      <c r="D134" s="918">
        <v>1</v>
      </c>
      <c r="E134" s="919">
        <v>3.14</v>
      </c>
      <c r="F134" s="946">
        <v>3.8</v>
      </c>
      <c r="G134" s="919">
        <v>0.45</v>
      </c>
      <c r="H134" s="902">
        <f t="shared" si="2"/>
        <v>5.37</v>
      </c>
    </row>
    <row r="135" spans="1:8" ht="25.15" customHeight="1">
      <c r="A135" s="898"/>
      <c r="B135" s="899" t="s">
        <v>4885</v>
      </c>
      <c r="C135" s="898">
        <v>1</v>
      </c>
      <c r="D135" s="898">
        <v>-1</v>
      </c>
      <c r="E135" s="900">
        <v>1</v>
      </c>
      <c r="F135" s="915" t="s">
        <v>4382</v>
      </c>
      <c r="G135" s="900">
        <v>2.1</v>
      </c>
      <c r="H135" s="902">
        <f t="shared" si="2"/>
        <v>-2.1</v>
      </c>
    </row>
    <row r="136" spans="1:8" ht="25.15" customHeight="1">
      <c r="A136" s="898"/>
      <c r="B136" s="899" t="s">
        <v>4886</v>
      </c>
      <c r="C136" s="898">
        <v>1</v>
      </c>
      <c r="D136" s="898">
        <v>-1</v>
      </c>
      <c r="E136" s="900">
        <v>0.9</v>
      </c>
      <c r="F136" s="915" t="s">
        <v>4382</v>
      </c>
      <c r="G136" s="900">
        <v>1.35</v>
      </c>
      <c r="H136" s="902">
        <f t="shared" si="2"/>
        <v>-1.22</v>
      </c>
    </row>
    <row r="137" spans="1:8" ht="25.15" customHeight="1">
      <c r="A137" s="898"/>
      <c r="B137" s="899" t="s">
        <v>4893</v>
      </c>
      <c r="C137" s="898">
        <v>1</v>
      </c>
      <c r="D137" s="898">
        <v>1</v>
      </c>
      <c r="E137" s="900">
        <v>4.5</v>
      </c>
      <c r="F137" s="915" t="s">
        <v>4382</v>
      </c>
      <c r="G137" s="900">
        <v>0.1</v>
      </c>
      <c r="H137" s="902">
        <f t="shared" si="2"/>
        <v>0.45</v>
      </c>
    </row>
    <row r="138" spans="1:8" ht="25.15" customHeight="1">
      <c r="A138" s="915"/>
      <c r="B138" s="901" t="s">
        <v>1850</v>
      </c>
      <c r="C138" s="918"/>
      <c r="D138" s="918"/>
      <c r="E138" s="919"/>
      <c r="F138" s="919"/>
      <c r="G138" s="919"/>
      <c r="H138" s="902">
        <v>0.03</v>
      </c>
    </row>
    <row r="139" spans="1:8" ht="25.15" customHeight="1">
      <c r="A139" s="898"/>
      <c r="B139" s="899"/>
      <c r="C139" s="930"/>
      <c r="D139" s="930"/>
      <c r="E139" s="900"/>
      <c r="F139" s="926"/>
      <c r="G139" s="902" t="s">
        <v>1827</v>
      </c>
      <c r="H139" s="902">
        <f>SUM(H130:H138)</f>
        <v>57.3</v>
      </c>
    </row>
    <row r="140" spans="1:8" ht="25.15" customHeight="1">
      <c r="A140" s="898"/>
      <c r="B140" s="899"/>
      <c r="C140" s="930"/>
      <c r="D140" s="930"/>
      <c r="E140" s="900"/>
      <c r="F140" s="926" t="s">
        <v>2560</v>
      </c>
      <c r="G140" s="926">
        <f>+H139</f>
        <v>57.3</v>
      </c>
      <c r="H140" s="921" t="s">
        <v>1494</v>
      </c>
    </row>
    <row r="141" spans="1:8" ht="60" customHeight="1">
      <c r="A141" s="898">
        <f>+A128+1</f>
        <v>19</v>
      </c>
      <c r="B141" s="899" t="s">
        <v>4903</v>
      </c>
      <c r="C141" s="930"/>
      <c r="D141" s="930"/>
      <c r="E141" s="900"/>
      <c r="F141" s="926"/>
      <c r="G141" s="926"/>
      <c r="H141" s="926"/>
    </row>
    <row r="142" spans="1:8" ht="25.15" customHeight="1">
      <c r="A142" s="898"/>
      <c r="B142" s="899" t="s">
        <v>4904</v>
      </c>
      <c r="C142" s="930"/>
      <c r="D142" s="930"/>
      <c r="E142" s="900"/>
      <c r="F142" s="926" t="s">
        <v>2560</v>
      </c>
      <c r="G142" s="926">
        <f>+G93</f>
        <v>13.42</v>
      </c>
      <c r="H142" s="921" t="s">
        <v>1494</v>
      </c>
    </row>
    <row r="143" spans="1:8" ht="40.15" customHeight="1">
      <c r="A143" s="898">
        <f>+A141+1</f>
        <v>20</v>
      </c>
      <c r="B143" s="899" t="s">
        <v>1384</v>
      </c>
      <c r="C143" s="930"/>
      <c r="D143" s="930"/>
      <c r="E143" s="900"/>
      <c r="F143" s="900"/>
      <c r="G143" s="900"/>
      <c r="H143" s="900"/>
    </row>
    <row r="144" spans="1:8" ht="25.15" customHeight="1">
      <c r="A144" s="930"/>
      <c r="B144" s="899" t="s">
        <v>4905</v>
      </c>
      <c r="C144" s="930"/>
      <c r="D144" s="930"/>
      <c r="E144" s="900"/>
      <c r="F144" s="903"/>
      <c r="G144" s="903"/>
      <c r="H144" s="900">
        <f>H111</f>
        <v>86.71</v>
      </c>
    </row>
    <row r="145" spans="1:8" ht="25.15" customHeight="1">
      <c r="A145" s="930"/>
      <c r="B145" s="899" t="s">
        <v>4906</v>
      </c>
      <c r="C145" s="930"/>
      <c r="D145" s="930"/>
      <c r="E145" s="900"/>
      <c r="F145" s="903"/>
      <c r="G145" s="903"/>
      <c r="H145" s="900">
        <f>-H139</f>
        <v>-57.3</v>
      </c>
    </row>
    <row r="146" spans="1:8" ht="25.15" customHeight="1">
      <c r="A146" s="930"/>
      <c r="B146" s="899"/>
      <c r="C146" s="930"/>
      <c r="D146" s="930"/>
      <c r="E146" s="900"/>
      <c r="F146" s="903"/>
      <c r="G146" s="900" t="s">
        <v>1827</v>
      </c>
      <c r="H146" s="900">
        <f>SUM(H144:H145)</f>
        <v>29.41</v>
      </c>
    </row>
    <row r="147" spans="1:8" ht="25.15" customHeight="1">
      <c r="A147" s="930"/>
      <c r="B147" s="899"/>
      <c r="C147" s="930"/>
      <c r="D147" s="930"/>
      <c r="E147" s="900"/>
      <c r="F147" s="903" t="s">
        <v>2560</v>
      </c>
      <c r="G147" s="903">
        <f>+H146</f>
        <v>29.41</v>
      </c>
      <c r="H147" s="904" t="s">
        <v>1494</v>
      </c>
    </row>
    <row r="148" spans="1:8" ht="25.15" customHeight="1">
      <c r="A148" s="898">
        <f>++A143+1</f>
        <v>21</v>
      </c>
      <c r="B148" s="952" t="s">
        <v>3958</v>
      </c>
      <c r="C148" s="930"/>
      <c r="D148" s="930"/>
      <c r="E148" s="900"/>
      <c r="F148" s="900"/>
      <c r="G148" s="900"/>
      <c r="H148" s="900"/>
    </row>
    <row r="149" spans="1:8" ht="25.15" customHeight="1">
      <c r="A149" s="930"/>
      <c r="B149" s="899" t="s">
        <v>4905</v>
      </c>
      <c r="C149" s="930"/>
      <c r="D149" s="930"/>
      <c r="E149" s="900"/>
      <c r="F149" s="903"/>
      <c r="G149" s="903"/>
      <c r="H149" s="900">
        <f>H111</f>
        <v>86.71</v>
      </c>
    </row>
    <row r="150" spans="1:8" ht="25.15" customHeight="1">
      <c r="A150" s="930"/>
      <c r="B150" s="899" t="s">
        <v>4906</v>
      </c>
      <c r="C150" s="930"/>
      <c r="D150" s="930"/>
      <c r="E150" s="900"/>
      <c r="F150" s="903"/>
      <c r="G150" s="903"/>
      <c r="H150" s="900">
        <f>-G140</f>
        <v>-57.3</v>
      </c>
    </row>
    <row r="151" spans="1:8" ht="25.15" customHeight="1">
      <c r="A151" s="930"/>
      <c r="B151" s="899"/>
      <c r="C151" s="930"/>
      <c r="D151" s="930"/>
      <c r="E151" s="900"/>
      <c r="F151" s="903"/>
      <c r="G151" s="900" t="s">
        <v>1827</v>
      </c>
      <c r="H151" s="900">
        <f>SUM(H149:H150)</f>
        <v>29.41</v>
      </c>
    </row>
    <row r="152" spans="1:8" ht="25.15" customHeight="1">
      <c r="A152" s="930"/>
      <c r="B152" s="899"/>
      <c r="C152" s="930"/>
      <c r="D152" s="930"/>
      <c r="E152" s="900"/>
      <c r="F152" s="903" t="s">
        <v>2560</v>
      </c>
      <c r="G152" s="941">
        <f>+H151</f>
        <v>29.41</v>
      </c>
      <c r="H152" s="904" t="s">
        <v>1494</v>
      </c>
    </row>
    <row r="153" spans="1:8" ht="60" customHeight="1">
      <c r="A153" s="898">
        <f>+A148+1</f>
        <v>22</v>
      </c>
      <c r="B153" s="899" t="s">
        <v>4055</v>
      </c>
      <c r="C153" s="930"/>
      <c r="D153" s="930"/>
      <c r="E153" s="900"/>
      <c r="F153" s="900"/>
      <c r="G153" s="900"/>
      <c r="H153" s="900"/>
    </row>
    <row r="154" spans="1:8" ht="25.15" customHeight="1">
      <c r="A154" s="898"/>
      <c r="B154" s="899" t="s">
        <v>4907</v>
      </c>
      <c r="C154" s="930"/>
      <c r="D154" s="930"/>
      <c r="E154" s="900"/>
      <c r="F154" s="900"/>
      <c r="G154" s="900"/>
      <c r="H154" s="900"/>
    </row>
    <row r="155" spans="1:8" ht="25.15" customHeight="1">
      <c r="A155" s="898"/>
      <c r="B155" s="899" t="s">
        <v>4908</v>
      </c>
      <c r="C155" s="898">
        <v>1</v>
      </c>
      <c r="D155" s="898">
        <v>1</v>
      </c>
      <c r="E155" s="915" t="s">
        <v>4382</v>
      </c>
      <c r="F155" s="915" t="s">
        <v>4382</v>
      </c>
      <c r="G155" s="915" t="s">
        <v>4382</v>
      </c>
      <c r="H155" s="902">
        <f>PRODUCT(C155:G155)</f>
        <v>1</v>
      </c>
    </row>
    <row r="156" spans="1:8" ht="25.15" customHeight="1">
      <c r="A156" s="898"/>
      <c r="B156" s="899" t="s">
        <v>4909</v>
      </c>
      <c r="C156" s="898">
        <v>1</v>
      </c>
      <c r="D156" s="898">
        <v>1</v>
      </c>
      <c r="E156" s="915" t="s">
        <v>4382</v>
      </c>
      <c r="F156" s="915" t="s">
        <v>4382</v>
      </c>
      <c r="G156" s="900"/>
      <c r="H156" s="902">
        <f>PRODUCT(C156:G156)</f>
        <v>1</v>
      </c>
    </row>
    <row r="157" spans="1:8" ht="25.15" customHeight="1">
      <c r="A157" s="898"/>
      <c r="B157" s="899" t="s">
        <v>4910</v>
      </c>
      <c r="C157" s="898">
        <v>1</v>
      </c>
      <c r="D157" s="898">
        <v>1</v>
      </c>
      <c r="E157" s="915" t="s">
        <v>4382</v>
      </c>
      <c r="F157" s="915" t="s">
        <v>4382</v>
      </c>
      <c r="G157" s="900"/>
      <c r="H157" s="902">
        <f>PRODUCT(C157:G157)</f>
        <v>1</v>
      </c>
    </row>
    <row r="158" spans="1:8" ht="25.15" customHeight="1">
      <c r="A158" s="898"/>
      <c r="B158" s="899"/>
      <c r="C158" s="930"/>
      <c r="D158" s="930"/>
      <c r="E158" s="900"/>
      <c r="F158" s="900"/>
      <c r="G158" s="900" t="s">
        <v>1827</v>
      </c>
      <c r="H158" s="900">
        <f>SUM(H155:H157)</f>
        <v>3</v>
      </c>
    </row>
    <row r="159" spans="1:8" ht="25.15" customHeight="1">
      <c r="A159" s="898"/>
      <c r="B159" s="899"/>
      <c r="C159" s="930"/>
      <c r="D159" s="930"/>
      <c r="E159" s="900"/>
      <c r="F159" s="903" t="s">
        <v>2560</v>
      </c>
      <c r="G159" s="903">
        <f>+H158</f>
        <v>3</v>
      </c>
      <c r="H159" s="904" t="s">
        <v>838</v>
      </c>
    </row>
    <row r="160" spans="1:8" ht="25.15" customHeight="1">
      <c r="A160" s="898"/>
      <c r="B160" s="899" t="s">
        <v>4911</v>
      </c>
      <c r="C160" s="930"/>
      <c r="D160" s="930"/>
      <c r="E160" s="900"/>
      <c r="F160" s="900"/>
      <c r="G160" s="900"/>
      <c r="H160" s="900"/>
    </row>
    <row r="161" spans="1:8" ht="25.15" customHeight="1">
      <c r="A161" s="898"/>
      <c r="B161" s="899" t="s">
        <v>4908</v>
      </c>
      <c r="C161" s="898">
        <v>1</v>
      </c>
      <c r="D161" s="898">
        <v>1</v>
      </c>
      <c r="E161" s="915" t="s">
        <v>4382</v>
      </c>
      <c r="F161" s="915" t="s">
        <v>4382</v>
      </c>
      <c r="G161" s="915" t="s">
        <v>4382</v>
      </c>
      <c r="H161" s="902">
        <f>PRODUCT(C161:G161)</f>
        <v>1</v>
      </c>
    </row>
    <row r="162" spans="1:8" ht="25.15" customHeight="1">
      <c r="A162" s="898"/>
      <c r="B162" s="899"/>
      <c r="C162" s="930"/>
      <c r="D162" s="930"/>
      <c r="E162" s="900"/>
      <c r="F162" s="903" t="s">
        <v>2560</v>
      </c>
      <c r="G162" s="903">
        <f>+H161</f>
        <v>1</v>
      </c>
      <c r="H162" s="904" t="s">
        <v>453</v>
      </c>
    </row>
    <row r="163" spans="1:8" ht="60" customHeight="1">
      <c r="A163" s="898">
        <f>+A153+1</f>
        <v>23</v>
      </c>
      <c r="B163" s="899" t="s">
        <v>4912</v>
      </c>
      <c r="C163" s="930"/>
      <c r="D163" s="930"/>
      <c r="E163" s="900"/>
      <c r="F163" s="900"/>
      <c r="G163" s="900"/>
      <c r="H163" s="900"/>
    </row>
    <row r="164" spans="1:8" ht="25.15" customHeight="1">
      <c r="A164" s="898"/>
      <c r="B164" s="899" t="s">
        <v>3391</v>
      </c>
      <c r="C164" s="898">
        <v>1</v>
      </c>
      <c r="D164" s="898">
        <v>1</v>
      </c>
      <c r="E164" s="915" t="s">
        <v>4382</v>
      </c>
      <c r="F164" s="915" t="s">
        <v>4382</v>
      </c>
      <c r="G164" s="900"/>
      <c r="H164" s="902">
        <f>PRODUCT(C164:G164)</f>
        <v>1</v>
      </c>
    </row>
    <row r="165" spans="1:8" ht="25.15" customHeight="1">
      <c r="A165" s="898"/>
      <c r="B165" s="899"/>
      <c r="C165" s="930"/>
      <c r="D165" s="930"/>
      <c r="E165" s="900"/>
      <c r="F165" s="903" t="s">
        <v>2560</v>
      </c>
      <c r="G165" s="903">
        <f>+H164</f>
        <v>1</v>
      </c>
      <c r="H165" s="904" t="s">
        <v>453</v>
      </c>
    </row>
    <row r="166" spans="1:8" ht="40.15" customHeight="1">
      <c r="A166" s="898">
        <f>+A163+1</f>
        <v>24</v>
      </c>
      <c r="B166" s="899" t="s">
        <v>2061</v>
      </c>
      <c r="C166" s="930"/>
      <c r="D166" s="930"/>
      <c r="E166" s="900"/>
      <c r="F166" s="900"/>
      <c r="G166" s="900"/>
      <c r="H166" s="900"/>
    </row>
    <row r="167" spans="1:8" ht="25.15" customHeight="1">
      <c r="A167" s="898"/>
      <c r="B167" s="899" t="s">
        <v>3391</v>
      </c>
      <c r="C167" s="898">
        <v>1</v>
      </c>
      <c r="D167" s="898">
        <v>1</v>
      </c>
      <c r="E167" s="900">
        <v>30</v>
      </c>
      <c r="F167" s="915" t="s">
        <v>4382</v>
      </c>
      <c r="G167" s="915" t="s">
        <v>4382</v>
      </c>
      <c r="H167" s="902">
        <f>PRODUCT(C167:G167)</f>
        <v>30</v>
      </c>
    </row>
    <row r="168" spans="1:8" ht="25.15" customHeight="1">
      <c r="A168" s="898"/>
      <c r="B168" s="899"/>
      <c r="C168" s="930"/>
      <c r="D168" s="930"/>
      <c r="E168" s="900"/>
      <c r="F168" s="903" t="s">
        <v>2560</v>
      </c>
      <c r="G168" s="903">
        <f>+H167</f>
        <v>30</v>
      </c>
      <c r="H168" s="904" t="s">
        <v>2155</v>
      </c>
    </row>
    <row r="169" spans="1:8" ht="25.15" customHeight="1">
      <c r="A169" s="898"/>
      <c r="B169" s="899"/>
      <c r="C169" s="930"/>
      <c r="D169" s="930"/>
      <c r="E169" s="900"/>
      <c r="F169" s="903"/>
      <c r="G169" s="903"/>
      <c r="H169" s="904"/>
    </row>
    <row r="170" spans="1:8" ht="24.6" customHeight="1">
      <c r="A170" s="898">
        <f>+A166+1</f>
        <v>25</v>
      </c>
      <c r="B170" s="899" t="s">
        <v>2004</v>
      </c>
      <c r="C170" s="930"/>
      <c r="D170" s="930"/>
      <c r="E170" s="900"/>
      <c r="F170" s="900"/>
      <c r="G170" s="900"/>
      <c r="H170" s="900"/>
    </row>
    <row r="171" spans="1:8" ht="25.15" customHeight="1">
      <c r="A171" s="898"/>
      <c r="B171" s="899" t="s">
        <v>3391</v>
      </c>
      <c r="C171" s="898">
        <v>1</v>
      </c>
      <c r="D171" s="898">
        <v>1</v>
      </c>
      <c r="E171" s="900">
        <v>2</v>
      </c>
      <c r="F171" s="915" t="s">
        <v>4382</v>
      </c>
      <c r="G171" s="915" t="s">
        <v>4382</v>
      </c>
      <c r="H171" s="902">
        <f>PRODUCT(C171:G171)</f>
        <v>2</v>
      </c>
    </row>
    <row r="172" spans="1:8" ht="25.15" customHeight="1">
      <c r="A172" s="898"/>
      <c r="B172" s="899"/>
      <c r="C172" s="930"/>
      <c r="D172" s="930"/>
      <c r="E172" s="900"/>
      <c r="F172" s="903" t="s">
        <v>2560</v>
      </c>
      <c r="G172" s="903">
        <f>+H171</f>
        <v>2</v>
      </c>
      <c r="H172" s="904" t="s">
        <v>2155</v>
      </c>
    </row>
    <row r="173" spans="1:8" ht="25.15" customHeight="1">
      <c r="A173" s="898"/>
      <c r="B173" s="899"/>
      <c r="C173" s="930"/>
      <c r="D173" s="930"/>
      <c r="E173" s="900"/>
      <c r="F173" s="903"/>
      <c r="G173" s="903"/>
      <c r="H173" s="904"/>
    </row>
    <row r="174" spans="1:8" ht="40.15" hidden="1" customHeight="1">
      <c r="A174" s="898">
        <f>+A163+1</f>
        <v>24</v>
      </c>
      <c r="B174" s="899" t="s">
        <v>4913</v>
      </c>
      <c r="C174" s="930"/>
      <c r="D174" s="930"/>
      <c r="E174" s="900"/>
      <c r="F174" s="900"/>
      <c r="G174" s="900"/>
      <c r="H174" s="900"/>
    </row>
    <row r="175" spans="1:8" ht="25.15" hidden="1" customHeight="1">
      <c r="A175" s="898"/>
      <c r="B175" s="899" t="s">
        <v>4908</v>
      </c>
      <c r="C175" s="898">
        <v>1</v>
      </c>
      <c r="D175" s="898">
        <v>1</v>
      </c>
      <c r="E175" s="900"/>
      <c r="F175" s="900"/>
      <c r="G175" s="900"/>
      <c r="H175" s="902">
        <f>PRODUCT(C175:G175)</f>
        <v>1</v>
      </c>
    </row>
    <row r="176" spans="1:8" ht="25.15" hidden="1" customHeight="1">
      <c r="A176" s="898"/>
      <c r="B176" s="899"/>
      <c r="C176" s="930"/>
      <c r="D176" s="930"/>
      <c r="E176" s="900"/>
      <c r="F176" s="903" t="s">
        <v>2560</v>
      </c>
      <c r="G176" s="903">
        <f>+H175</f>
        <v>1</v>
      </c>
      <c r="H176" s="904" t="s">
        <v>453</v>
      </c>
    </row>
    <row r="177" spans="1:8" ht="25.15" hidden="1" customHeight="1">
      <c r="A177" s="898">
        <f>+A174+1</f>
        <v>25</v>
      </c>
      <c r="B177" s="899" t="s">
        <v>4914</v>
      </c>
      <c r="C177" s="930"/>
      <c r="D177" s="930"/>
      <c r="E177" s="900"/>
      <c r="F177" s="900"/>
      <c r="G177" s="900"/>
      <c r="H177" s="900"/>
    </row>
    <row r="178" spans="1:8" ht="25.15" hidden="1" customHeight="1">
      <c r="A178" s="898"/>
      <c r="B178" s="899" t="s">
        <v>4915</v>
      </c>
      <c r="C178" s="898">
        <v>1</v>
      </c>
      <c r="D178" s="898">
        <v>1</v>
      </c>
      <c r="E178" s="900"/>
      <c r="F178" s="900"/>
      <c r="G178" s="900"/>
      <c r="H178" s="902">
        <f>PRODUCT(C178:G178)</f>
        <v>1</v>
      </c>
    </row>
    <row r="179" spans="1:8" ht="25.15" hidden="1" customHeight="1">
      <c r="A179" s="898"/>
      <c r="B179" s="899"/>
      <c r="C179" s="930"/>
      <c r="D179" s="930"/>
      <c r="E179" s="900"/>
      <c r="F179" s="903" t="s">
        <v>2560</v>
      </c>
      <c r="G179" s="903">
        <f>+H178</f>
        <v>1</v>
      </c>
      <c r="H179" s="904" t="s">
        <v>453</v>
      </c>
    </row>
    <row r="180" spans="1:8" ht="40.15" hidden="1" customHeight="1">
      <c r="A180" s="898">
        <f>+A177+1</f>
        <v>26</v>
      </c>
      <c r="B180" s="899" t="s">
        <v>4916</v>
      </c>
      <c r="C180" s="930"/>
      <c r="D180" s="930"/>
      <c r="E180" s="900"/>
      <c r="F180" s="900"/>
      <c r="G180" s="900"/>
      <c r="H180" s="900"/>
    </row>
    <row r="181" spans="1:8" ht="25.15" hidden="1" customHeight="1">
      <c r="A181" s="898"/>
      <c r="B181" s="899" t="s">
        <v>4917</v>
      </c>
      <c r="C181" s="898"/>
      <c r="D181" s="898"/>
      <c r="E181" s="900"/>
      <c r="F181" s="900"/>
      <c r="G181" s="900"/>
      <c r="H181" s="902"/>
    </row>
    <row r="182" spans="1:8" ht="25.15" hidden="1" customHeight="1">
      <c r="A182" s="898"/>
      <c r="B182" s="899" t="s">
        <v>4908</v>
      </c>
      <c r="C182" s="898">
        <v>1</v>
      </c>
      <c r="D182" s="898">
        <v>1</v>
      </c>
      <c r="E182" s="900"/>
      <c r="F182" s="900"/>
      <c r="G182" s="900"/>
      <c r="H182" s="902">
        <f>PRODUCT(C182:G182)</f>
        <v>1</v>
      </c>
    </row>
    <row r="183" spans="1:8" ht="25.15" hidden="1" customHeight="1">
      <c r="A183" s="898"/>
      <c r="B183" s="899"/>
      <c r="C183" s="930"/>
      <c r="D183" s="930"/>
      <c r="E183" s="900"/>
      <c r="F183" s="903" t="s">
        <v>2560</v>
      </c>
      <c r="G183" s="903">
        <f>+H182</f>
        <v>1</v>
      </c>
      <c r="H183" s="904" t="s">
        <v>453</v>
      </c>
    </row>
    <row r="184" spans="1:8" ht="25.15" hidden="1" customHeight="1">
      <c r="A184" s="898"/>
      <c r="B184" s="899" t="s">
        <v>4918</v>
      </c>
      <c r="C184" s="930"/>
      <c r="D184" s="930"/>
      <c r="E184" s="900"/>
      <c r="F184" s="900"/>
      <c r="G184" s="900"/>
      <c r="H184" s="900"/>
    </row>
    <row r="185" spans="1:8" ht="25.15" hidden="1" customHeight="1">
      <c r="A185" s="898"/>
      <c r="B185" s="899" t="s">
        <v>4919</v>
      </c>
      <c r="C185" s="898">
        <v>1</v>
      </c>
      <c r="D185" s="898">
        <v>1</v>
      </c>
      <c r="E185" s="900"/>
      <c r="F185" s="900"/>
      <c r="G185" s="900"/>
      <c r="H185" s="902">
        <f>PRODUCT(C185:G185)</f>
        <v>1</v>
      </c>
    </row>
    <row r="186" spans="1:8" ht="25.15" hidden="1" customHeight="1">
      <c r="A186" s="898"/>
      <c r="B186" s="899"/>
      <c r="C186" s="930"/>
      <c r="D186" s="930"/>
      <c r="E186" s="900"/>
      <c r="F186" s="903" t="s">
        <v>2560</v>
      </c>
      <c r="G186" s="903">
        <f>+H185</f>
        <v>1</v>
      </c>
      <c r="H186" s="904" t="s">
        <v>453</v>
      </c>
    </row>
    <row r="187" spans="1:8" ht="40.15" hidden="1" customHeight="1">
      <c r="A187" s="898">
        <f>+A180+1</f>
        <v>27</v>
      </c>
      <c r="B187" s="899" t="s">
        <v>4920</v>
      </c>
      <c r="C187" s="930"/>
      <c r="D187" s="930"/>
      <c r="E187" s="900"/>
      <c r="F187" s="900"/>
      <c r="G187" s="900"/>
      <c r="H187" s="900"/>
    </row>
    <row r="188" spans="1:8" ht="25.15" hidden="1" customHeight="1">
      <c r="A188" s="898"/>
      <c r="B188" s="899" t="s">
        <v>4921</v>
      </c>
      <c r="C188" s="898">
        <v>1</v>
      </c>
      <c r="D188" s="898">
        <v>1</v>
      </c>
      <c r="E188" s="900"/>
      <c r="F188" s="900"/>
      <c r="G188" s="900"/>
      <c r="H188" s="902">
        <f>PRODUCT(C188:G188)</f>
        <v>1</v>
      </c>
    </row>
    <row r="189" spans="1:8" ht="25.15" hidden="1" customHeight="1">
      <c r="A189" s="898"/>
      <c r="B189" s="953"/>
      <c r="C189" s="930"/>
      <c r="D189" s="930"/>
      <c r="E189" s="900"/>
      <c r="F189" s="903" t="s">
        <v>2560</v>
      </c>
      <c r="G189" s="903">
        <f>+H188</f>
        <v>1</v>
      </c>
      <c r="H189" s="904" t="s">
        <v>453</v>
      </c>
    </row>
    <row r="190" spans="1:8" ht="20.100000000000001" hidden="1" customHeight="1"/>
    <row r="191" spans="1:8" ht="30" hidden="1" customHeight="1"/>
    <row r="192" spans="1:8" ht="20.100000000000001" hidden="1" customHeight="1">
      <c r="A192" s="1070"/>
      <c r="B192" s="1070"/>
      <c r="C192" s="1070"/>
      <c r="D192" s="1070"/>
      <c r="E192" s="1070"/>
      <c r="F192" s="1070"/>
      <c r="G192" s="1070"/>
      <c r="H192" s="1070"/>
    </row>
  </sheetData>
  <mergeCells count="15">
    <mergeCell ref="C6:D6"/>
    <mergeCell ref="A1:H1"/>
    <mergeCell ref="A2:H2"/>
    <mergeCell ref="A3:H3"/>
    <mergeCell ref="A4:H4"/>
    <mergeCell ref="C5:D5"/>
    <mergeCell ref="E114:F114"/>
    <mergeCell ref="E115:F115"/>
    <mergeCell ref="A192:H192"/>
    <mergeCell ref="E38:F38"/>
    <mergeCell ref="E46:F46"/>
    <mergeCell ref="E47:F47"/>
    <mergeCell ref="E48:F48"/>
    <mergeCell ref="E81:F81"/>
    <mergeCell ref="E86:F86"/>
  </mergeCells>
  <printOptions horizontalCentered="1"/>
  <pageMargins left="0.7" right="0.7" top="0.75" bottom="0.5" header="0.3" footer="0.3"/>
  <pageSetup paperSize="9" scale="85" orientation="portrait" r:id="rId1"/>
  <headerFooter>
    <oddHeader>&amp;C&amp;"Arial Narrow,Regular"&amp;8Page &amp;P</oddHeader>
  </headerFooter>
</worksheet>
</file>

<file path=xl/worksheets/sheet10.xml><?xml version="1.0" encoding="utf-8"?>
<worksheet xmlns="http://schemas.openxmlformats.org/spreadsheetml/2006/main" xmlns:r="http://schemas.openxmlformats.org/officeDocument/2006/relationships">
  <sheetPr>
    <tabColor indexed="10"/>
  </sheetPr>
  <dimension ref="A1:I45"/>
  <sheetViews>
    <sheetView view="pageBreakPreview" zoomScale="90" zoomScaleSheetLayoutView="90" workbookViewId="0">
      <selection activeCell="B34" sqref="B34"/>
    </sheetView>
  </sheetViews>
  <sheetFormatPr defaultColWidth="8.88671875" defaultRowHeight="15.75"/>
  <cols>
    <col min="1" max="1" width="4.44140625" style="478" customWidth="1"/>
    <col min="2" max="2" width="35.21875" style="478" customWidth="1"/>
    <col min="3" max="5" width="3.44140625" style="478" customWidth="1"/>
    <col min="6" max="9" width="6.6640625" style="423" customWidth="1"/>
    <col min="10" max="10" width="4.33203125" style="478" customWidth="1"/>
    <col min="11" max="256" width="8.88671875" style="478"/>
    <col min="257" max="257" width="5.21875" style="478" customWidth="1"/>
    <col min="258" max="258" width="34.77734375" style="478" customWidth="1"/>
    <col min="259" max="259" width="6.109375" style="478" customWidth="1"/>
    <col min="260" max="260" width="5.109375" style="478" customWidth="1"/>
    <col min="261" max="261" width="5.5546875" style="478" customWidth="1"/>
    <col min="262" max="262" width="12" style="478" customWidth="1"/>
    <col min="263" max="263" width="8.77734375" style="478" customWidth="1"/>
    <col min="264" max="264" width="9.88671875" style="478" customWidth="1"/>
    <col min="265" max="265" width="8.5546875" style="478" customWidth="1"/>
    <col min="266" max="266" width="4.33203125" style="478" customWidth="1"/>
    <col min="267" max="512" width="8.88671875" style="478"/>
    <col min="513" max="513" width="5.21875" style="478" customWidth="1"/>
    <col min="514" max="514" width="34.77734375" style="478" customWidth="1"/>
    <col min="515" max="515" width="6.109375" style="478" customWidth="1"/>
    <col min="516" max="516" width="5.109375" style="478" customWidth="1"/>
    <col min="517" max="517" width="5.5546875" style="478" customWidth="1"/>
    <col min="518" max="518" width="12" style="478" customWidth="1"/>
    <col min="519" max="519" width="8.77734375" style="478" customWidth="1"/>
    <col min="520" max="520" width="9.88671875" style="478" customWidth="1"/>
    <col min="521" max="521" width="8.5546875" style="478" customWidth="1"/>
    <col min="522" max="522" width="4.33203125" style="478" customWidth="1"/>
    <col min="523" max="768" width="8.88671875" style="478"/>
    <col min="769" max="769" width="5.21875" style="478" customWidth="1"/>
    <col min="770" max="770" width="34.77734375" style="478" customWidth="1"/>
    <col min="771" max="771" width="6.109375" style="478" customWidth="1"/>
    <col min="772" max="772" width="5.109375" style="478" customWidth="1"/>
    <col min="773" max="773" width="5.5546875" style="478" customWidth="1"/>
    <col min="774" max="774" width="12" style="478" customWidth="1"/>
    <col min="775" max="775" width="8.77734375" style="478" customWidth="1"/>
    <col min="776" max="776" width="9.88671875" style="478" customWidth="1"/>
    <col min="777" max="777" width="8.5546875" style="478" customWidth="1"/>
    <col min="778" max="778" width="4.33203125" style="478" customWidth="1"/>
    <col min="779" max="1024" width="8.88671875" style="478"/>
    <col min="1025" max="1025" width="5.21875" style="478" customWidth="1"/>
    <col min="1026" max="1026" width="34.77734375" style="478" customWidth="1"/>
    <col min="1027" max="1027" width="6.109375" style="478" customWidth="1"/>
    <col min="1028" max="1028" width="5.109375" style="478" customWidth="1"/>
    <col min="1029" max="1029" width="5.5546875" style="478" customWidth="1"/>
    <col min="1030" max="1030" width="12" style="478" customWidth="1"/>
    <col min="1031" max="1031" width="8.77734375" style="478" customWidth="1"/>
    <col min="1032" max="1032" width="9.88671875" style="478" customWidth="1"/>
    <col min="1033" max="1033" width="8.5546875" style="478" customWidth="1"/>
    <col min="1034" max="1034" width="4.33203125" style="478" customWidth="1"/>
    <col min="1035" max="1280" width="8.88671875" style="478"/>
    <col min="1281" max="1281" width="5.21875" style="478" customWidth="1"/>
    <col min="1282" max="1282" width="34.77734375" style="478" customWidth="1"/>
    <col min="1283" max="1283" width="6.109375" style="478" customWidth="1"/>
    <col min="1284" max="1284" width="5.109375" style="478" customWidth="1"/>
    <col min="1285" max="1285" width="5.5546875" style="478" customWidth="1"/>
    <col min="1286" max="1286" width="12" style="478" customWidth="1"/>
    <col min="1287" max="1287" width="8.77734375" style="478" customWidth="1"/>
    <col min="1288" max="1288" width="9.88671875" style="478" customWidth="1"/>
    <col min="1289" max="1289" width="8.5546875" style="478" customWidth="1"/>
    <col min="1290" max="1290" width="4.33203125" style="478" customWidth="1"/>
    <col min="1291" max="1536" width="8.88671875" style="478"/>
    <col min="1537" max="1537" width="5.21875" style="478" customWidth="1"/>
    <col min="1538" max="1538" width="34.77734375" style="478" customWidth="1"/>
    <col min="1539" max="1539" width="6.109375" style="478" customWidth="1"/>
    <col min="1540" max="1540" width="5.109375" style="478" customWidth="1"/>
    <col min="1541" max="1541" width="5.5546875" style="478" customWidth="1"/>
    <col min="1542" max="1542" width="12" style="478" customWidth="1"/>
    <col min="1543" max="1543" width="8.77734375" style="478" customWidth="1"/>
    <col min="1544" max="1544" width="9.88671875" style="478" customWidth="1"/>
    <col min="1545" max="1545" width="8.5546875" style="478" customWidth="1"/>
    <col min="1546" max="1546" width="4.33203125" style="478" customWidth="1"/>
    <col min="1547" max="1792" width="8.88671875" style="478"/>
    <col min="1793" max="1793" width="5.21875" style="478" customWidth="1"/>
    <col min="1794" max="1794" width="34.77734375" style="478" customWidth="1"/>
    <col min="1795" max="1795" width="6.109375" style="478" customWidth="1"/>
    <col min="1796" max="1796" width="5.109375" style="478" customWidth="1"/>
    <col min="1797" max="1797" width="5.5546875" style="478" customWidth="1"/>
    <col min="1798" max="1798" width="12" style="478" customWidth="1"/>
    <col min="1799" max="1799" width="8.77734375" style="478" customWidth="1"/>
    <col min="1800" max="1800" width="9.88671875" style="478" customWidth="1"/>
    <col min="1801" max="1801" width="8.5546875" style="478" customWidth="1"/>
    <col min="1802" max="1802" width="4.33203125" style="478" customWidth="1"/>
    <col min="1803" max="2048" width="8.88671875" style="478"/>
    <col min="2049" max="2049" width="5.21875" style="478" customWidth="1"/>
    <col min="2050" max="2050" width="34.77734375" style="478" customWidth="1"/>
    <col min="2051" max="2051" width="6.109375" style="478" customWidth="1"/>
    <col min="2052" max="2052" width="5.109375" style="478" customWidth="1"/>
    <col min="2053" max="2053" width="5.5546875" style="478" customWidth="1"/>
    <col min="2054" max="2054" width="12" style="478" customWidth="1"/>
    <col min="2055" max="2055" width="8.77734375" style="478" customWidth="1"/>
    <col min="2056" max="2056" width="9.88671875" style="478" customWidth="1"/>
    <col min="2057" max="2057" width="8.5546875" style="478" customWidth="1"/>
    <col min="2058" max="2058" width="4.33203125" style="478" customWidth="1"/>
    <col min="2059" max="2304" width="8.88671875" style="478"/>
    <col min="2305" max="2305" width="5.21875" style="478" customWidth="1"/>
    <col min="2306" max="2306" width="34.77734375" style="478" customWidth="1"/>
    <col min="2307" max="2307" width="6.109375" style="478" customWidth="1"/>
    <col min="2308" max="2308" width="5.109375" style="478" customWidth="1"/>
    <col min="2309" max="2309" width="5.5546875" style="478" customWidth="1"/>
    <col min="2310" max="2310" width="12" style="478" customWidth="1"/>
    <col min="2311" max="2311" width="8.77734375" style="478" customWidth="1"/>
    <col min="2312" max="2312" width="9.88671875" style="478" customWidth="1"/>
    <col min="2313" max="2313" width="8.5546875" style="478" customWidth="1"/>
    <col min="2314" max="2314" width="4.33203125" style="478" customWidth="1"/>
    <col min="2315" max="2560" width="8.88671875" style="478"/>
    <col min="2561" max="2561" width="5.21875" style="478" customWidth="1"/>
    <col min="2562" max="2562" width="34.77734375" style="478" customWidth="1"/>
    <col min="2563" max="2563" width="6.109375" style="478" customWidth="1"/>
    <col min="2564" max="2564" width="5.109375" style="478" customWidth="1"/>
    <col min="2565" max="2565" width="5.5546875" style="478" customWidth="1"/>
    <col min="2566" max="2566" width="12" style="478" customWidth="1"/>
    <col min="2567" max="2567" width="8.77734375" style="478" customWidth="1"/>
    <col min="2568" max="2568" width="9.88671875" style="478" customWidth="1"/>
    <col min="2569" max="2569" width="8.5546875" style="478" customWidth="1"/>
    <col min="2570" max="2570" width="4.33203125" style="478" customWidth="1"/>
    <col min="2571" max="2816" width="8.88671875" style="478"/>
    <col min="2817" max="2817" width="5.21875" style="478" customWidth="1"/>
    <col min="2818" max="2818" width="34.77734375" style="478" customWidth="1"/>
    <col min="2819" max="2819" width="6.109375" style="478" customWidth="1"/>
    <col min="2820" max="2820" width="5.109375" style="478" customWidth="1"/>
    <col min="2821" max="2821" width="5.5546875" style="478" customWidth="1"/>
    <col min="2822" max="2822" width="12" style="478" customWidth="1"/>
    <col min="2823" max="2823" width="8.77734375" style="478" customWidth="1"/>
    <col min="2824" max="2824" width="9.88671875" style="478" customWidth="1"/>
    <col min="2825" max="2825" width="8.5546875" style="478" customWidth="1"/>
    <col min="2826" max="2826" width="4.33203125" style="478" customWidth="1"/>
    <col min="2827" max="3072" width="8.88671875" style="478"/>
    <col min="3073" max="3073" width="5.21875" style="478" customWidth="1"/>
    <col min="3074" max="3074" width="34.77734375" style="478" customWidth="1"/>
    <col min="3075" max="3075" width="6.109375" style="478" customWidth="1"/>
    <col min="3076" max="3076" width="5.109375" style="478" customWidth="1"/>
    <col min="3077" max="3077" width="5.5546875" style="478" customWidth="1"/>
    <col min="3078" max="3078" width="12" style="478" customWidth="1"/>
    <col min="3079" max="3079" width="8.77734375" style="478" customWidth="1"/>
    <col min="3080" max="3080" width="9.88671875" style="478" customWidth="1"/>
    <col min="3081" max="3081" width="8.5546875" style="478" customWidth="1"/>
    <col min="3082" max="3082" width="4.33203125" style="478" customWidth="1"/>
    <col min="3083" max="3328" width="8.88671875" style="478"/>
    <col min="3329" max="3329" width="5.21875" style="478" customWidth="1"/>
    <col min="3330" max="3330" width="34.77734375" style="478" customWidth="1"/>
    <col min="3331" max="3331" width="6.109375" style="478" customWidth="1"/>
    <col min="3332" max="3332" width="5.109375" style="478" customWidth="1"/>
    <col min="3333" max="3333" width="5.5546875" style="478" customWidth="1"/>
    <col min="3334" max="3334" width="12" style="478" customWidth="1"/>
    <col min="3335" max="3335" width="8.77734375" style="478" customWidth="1"/>
    <col min="3336" max="3336" width="9.88671875" style="478" customWidth="1"/>
    <col min="3337" max="3337" width="8.5546875" style="478" customWidth="1"/>
    <col min="3338" max="3338" width="4.33203125" style="478" customWidth="1"/>
    <col min="3339" max="3584" width="8.88671875" style="478"/>
    <col min="3585" max="3585" width="5.21875" style="478" customWidth="1"/>
    <col min="3586" max="3586" width="34.77734375" style="478" customWidth="1"/>
    <col min="3587" max="3587" width="6.109375" style="478" customWidth="1"/>
    <col min="3588" max="3588" width="5.109375" style="478" customWidth="1"/>
    <col min="3589" max="3589" width="5.5546875" style="478" customWidth="1"/>
    <col min="3590" max="3590" width="12" style="478" customWidth="1"/>
    <col min="3591" max="3591" width="8.77734375" style="478" customWidth="1"/>
    <col min="3592" max="3592" width="9.88671875" style="478" customWidth="1"/>
    <col min="3593" max="3593" width="8.5546875" style="478" customWidth="1"/>
    <col min="3594" max="3594" width="4.33203125" style="478" customWidth="1"/>
    <col min="3595" max="3840" width="8.88671875" style="478"/>
    <col min="3841" max="3841" width="5.21875" style="478" customWidth="1"/>
    <col min="3842" max="3842" width="34.77734375" style="478" customWidth="1"/>
    <col min="3843" max="3843" width="6.109375" style="478" customWidth="1"/>
    <col min="3844" max="3844" width="5.109375" style="478" customWidth="1"/>
    <col min="3845" max="3845" width="5.5546875" style="478" customWidth="1"/>
    <col min="3846" max="3846" width="12" style="478" customWidth="1"/>
    <col min="3847" max="3847" width="8.77734375" style="478" customWidth="1"/>
    <col min="3848" max="3848" width="9.88671875" style="478" customWidth="1"/>
    <col min="3849" max="3849" width="8.5546875" style="478" customWidth="1"/>
    <col min="3850" max="3850" width="4.33203125" style="478" customWidth="1"/>
    <col min="3851" max="4096" width="8.88671875" style="478"/>
    <col min="4097" max="4097" width="5.21875" style="478" customWidth="1"/>
    <col min="4098" max="4098" width="34.77734375" style="478" customWidth="1"/>
    <col min="4099" max="4099" width="6.109375" style="478" customWidth="1"/>
    <col min="4100" max="4100" width="5.109375" style="478" customWidth="1"/>
    <col min="4101" max="4101" width="5.5546875" style="478" customWidth="1"/>
    <col min="4102" max="4102" width="12" style="478" customWidth="1"/>
    <col min="4103" max="4103" width="8.77734375" style="478" customWidth="1"/>
    <col min="4104" max="4104" width="9.88671875" style="478" customWidth="1"/>
    <col min="4105" max="4105" width="8.5546875" style="478" customWidth="1"/>
    <col min="4106" max="4106" width="4.33203125" style="478" customWidth="1"/>
    <col min="4107" max="4352" width="8.88671875" style="478"/>
    <col min="4353" max="4353" width="5.21875" style="478" customWidth="1"/>
    <col min="4354" max="4354" width="34.77734375" style="478" customWidth="1"/>
    <col min="4355" max="4355" width="6.109375" style="478" customWidth="1"/>
    <col min="4356" max="4356" width="5.109375" style="478" customWidth="1"/>
    <col min="4357" max="4357" width="5.5546875" style="478" customWidth="1"/>
    <col min="4358" max="4358" width="12" style="478" customWidth="1"/>
    <col min="4359" max="4359" width="8.77734375" style="478" customWidth="1"/>
    <col min="4360" max="4360" width="9.88671875" style="478" customWidth="1"/>
    <col min="4361" max="4361" width="8.5546875" style="478" customWidth="1"/>
    <col min="4362" max="4362" width="4.33203125" style="478" customWidth="1"/>
    <col min="4363" max="4608" width="8.88671875" style="478"/>
    <col min="4609" max="4609" width="5.21875" style="478" customWidth="1"/>
    <col min="4610" max="4610" width="34.77734375" style="478" customWidth="1"/>
    <col min="4611" max="4611" width="6.109375" style="478" customWidth="1"/>
    <col min="4612" max="4612" width="5.109375" style="478" customWidth="1"/>
    <col min="4613" max="4613" width="5.5546875" style="478" customWidth="1"/>
    <col min="4614" max="4614" width="12" style="478" customWidth="1"/>
    <col min="4615" max="4615" width="8.77734375" style="478" customWidth="1"/>
    <col min="4616" max="4616" width="9.88671875" style="478" customWidth="1"/>
    <col min="4617" max="4617" width="8.5546875" style="478" customWidth="1"/>
    <col min="4618" max="4618" width="4.33203125" style="478" customWidth="1"/>
    <col min="4619" max="4864" width="8.88671875" style="478"/>
    <col min="4865" max="4865" width="5.21875" style="478" customWidth="1"/>
    <col min="4866" max="4866" width="34.77734375" style="478" customWidth="1"/>
    <col min="4867" max="4867" width="6.109375" style="478" customWidth="1"/>
    <col min="4868" max="4868" width="5.109375" style="478" customWidth="1"/>
    <col min="4869" max="4869" width="5.5546875" style="478" customWidth="1"/>
    <col min="4870" max="4870" width="12" style="478" customWidth="1"/>
    <col min="4871" max="4871" width="8.77734375" style="478" customWidth="1"/>
    <col min="4872" max="4872" width="9.88671875" style="478" customWidth="1"/>
    <col min="4873" max="4873" width="8.5546875" style="478" customWidth="1"/>
    <col min="4874" max="4874" width="4.33203125" style="478" customWidth="1"/>
    <col min="4875" max="5120" width="8.88671875" style="478"/>
    <col min="5121" max="5121" width="5.21875" style="478" customWidth="1"/>
    <col min="5122" max="5122" width="34.77734375" style="478" customWidth="1"/>
    <col min="5123" max="5123" width="6.109375" style="478" customWidth="1"/>
    <col min="5124" max="5124" width="5.109375" style="478" customWidth="1"/>
    <col min="5125" max="5125" width="5.5546875" style="478" customWidth="1"/>
    <col min="5126" max="5126" width="12" style="478" customWidth="1"/>
    <col min="5127" max="5127" width="8.77734375" style="478" customWidth="1"/>
    <col min="5128" max="5128" width="9.88671875" style="478" customWidth="1"/>
    <col min="5129" max="5129" width="8.5546875" style="478" customWidth="1"/>
    <col min="5130" max="5130" width="4.33203125" style="478" customWidth="1"/>
    <col min="5131" max="5376" width="8.88671875" style="478"/>
    <col min="5377" max="5377" width="5.21875" style="478" customWidth="1"/>
    <col min="5378" max="5378" width="34.77734375" style="478" customWidth="1"/>
    <col min="5379" max="5379" width="6.109375" style="478" customWidth="1"/>
    <col min="5380" max="5380" width="5.109375" style="478" customWidth="1"/>
    <col min="5381" max="5381" width="5.5546875" style="478" customWidth="1"/>
    <col min="5382" max="5382" width="12" style="478" customWidth="1"/>
    <col min="5383" max="5383" width="8.77734375" style="478" customWidth="1"/>
    <col min="5384" max="5384" width="9.88671875" style="478" customWidth="1"/>
    <col min="5385" max="5385" width="8.5546875" style="478" customWidth="1"/>
    <col min="5386" max="5386" width="4.33203125" style="478" customWidth="1"/>
    <col min="5387" max="5632" width="8.88671875" style="478"/>
    <col min="5633" max="5633" width="5.21875" style="478" customWidth="1"/>
    <col min="5634" max="5634" width="34.77734375" style="478" customWidth="1"/>
    <col min="5635" max="5635" width="6.109375" style="478" customWidth="1"/>
    <col min="5636" max="5636" width="5.109375" style="478" customWidth="1"/>
    <col min="5637" max="5637" width="5.5546875" style="478" customWidth="1"/>
    <col min="5638" max="5638" width="12" style="478" customWidth="1"/>
    <col min="5639" max="5639" width="8.77734375" style="478" customWidth="1"/>
    <col min="5640" max="5640" width="9.88671875" style="478" customWidth="1"/>
    <col min="5641" max="5641" width="8.5546875" style="478" customWidth="1"/>
    <col min="5642" max="5642" width="4.33203125" style="478" customWidth="1"/>
    <col min="5643" max="5888" width="8.88671875" style="478"/>
    <col min="5889" max="5889" width="5.21875" style="478" customWidth="1"/>
    <col min="5890" max="5890" width="34.77734375" style="478" customWidth="1"/>
    <col min="5891" max="5891" width="6.109375" style="478" customWidth="1"/>
    <col min="5892" max="5892" width="5.109375" style="478" customWidth="1"/>
    <col min="5893" max="5893" width="5.5546875" style="478" customWidth="1"/>
    <col min="5894" max="5894" width="12" style="478" customWidth="1"/>
    <col min="5895" max="5895" width="8.77734375" style="478" customWidth="1"/>
    <col min="5896" max="5896" width="9.88671875" style="478" customWidth="1"/>
    <col min="5897" max="5897" width="8.5546875" style="478" customWidth="1"/>
    <col min="5898" max="5898" width="4.33203125" style="478" customWidth="1"/>
    <col min="5899" max="6144" width="8.88671875" style="478"/>
    <col min="6145" max="6145" width="5.21875" style="478" customWidth="1"/>
    <col min="6146" max="6146" width="34.77734375" style="478" customWidth="1"/>
    <col min="6147" max="6147" width="6.109375" style="478" customWidth="1"/>
    <col min="6148" max="6148" width="5.109375" style="478" customWidth="1"/>
    <col min="6149" max="6149" width="5.5546875" style="478" customWidth="1"/>
    <col min="6150" max="6150" width="12" style="478" customWidth="1"/>
    <col min="6151" max="6151" width="8.77734375" style="478" customWidth="1"/>
    <col min="6152" max="6152" width="9.88671875" style="478" customWidth="1"/>
    <col min="6153" max="6153" width="8.5546875" style="478" customWidth="1"/>
    <col min="6154" max="6154" width="4.33203125" style="478" customWidth="1"/>
    <col min="6155" max="6400" width="8.88671875" style="478"/>
    <col min="6401" max="6401" width="5.21875" style="478" customWidth="1"/>
    <col min="6402" max="6402" width="34.77734375" style="478" customWidth="1"/>
    <col min="6403" max="6403" width="6.109375" style="478" customWidth="1"/>
    <col min="6404" max="6404" width="5.109375" style="478" customWidth="1"/>
    <col min="6405" max="6405" width="5.5546875" style="478" customWidth="1"/>
    <col min="6406" max="6406" width="12" style="478" customWidth="1"/>
    <col min="6407" max="6407" width="8.77734375" style="478" customWidth="1"/>
    <col min="6408" max="6408" width="9.88671875" style="478" customWidth="1"/>
    <col min="6409" max="6409" width="8.5546875" style="478" customWidth="1"/>
    <col min="6410" max="6410" width="4.33203125" style="478" customWidth="1"/>
    <col min="6411" max="6656" width="8.88671875" style="478"/>
    <col min="6657" max="6657" width="5.21875" style="478" customWidth="1"/>
    <col min="6658" max="6658" width="34.77734375" style="478" customWidth="1"/>
    <col min="6659" max="6659" width="6.109375" style="478" customWidth="1"/>
    <col min="6660" max="6660" width="5.109375" style="478" customWidth="1"/>
    <col min="6661" max="6661" width="5.5546875" style="478" customWidth="1"/>
    <col min="6662" max="6662" width="12" style="478" customWidth="1"/>
    <col min="6663" max="6663" width="8.77734375" style="478" customWidth="1"/>
    <col min="6664" max="6664" width="9.88671875" style="478" customWidth="1"/>
    <col min="6665" max="6665" width="8.5546875" style="478" customWidth="1"/>
    <col min="6666" max="6666" width="4.33203125" style="478" customWidth="1"/>
    <col min="6667" max="6912" width="8.88671875" style="478"/>
    <col min="6913" max="6913" width="5.21875" style="478" customWidth="1"/>
    <col min="6914" max="6914" width="34.77734375" style="478" customWidth="1"/>
    <col min="6915" max="6915" width="6.109375" style="478" customWidth="1"/>
    <col min="6916" max="6916" width="5.109375" style="478" customWidth="1"/>
    <col min="6917" max="6917" width="5.5546875" style="478" customWidth="1"/>
    <col min="6918" max="6918" width="12" style="478" customWidth="1"/>
    <col min="6919" max="6919" width="8.77734375" style="478" customWidth="1"/>
    <col min="6920" max="6920" width="9.88671875" style="478" customWidth="1"/>
    <col min="6921" max="6921" width="8.5546875" style="478" customWidth="1"/>
    <col min="6922" max="6922" width="4.33203125" style="478" customWidth="1"/>
    <col min="6923" max="7168" width="8.88671875" style="478"/>
    <col min="7169" max="7169" width="5.21875" style="478" customWidth="1"/>
    <col min="7170" max="7170" width="34.77734375" style="478" customWidth="1"/>
    <col min="7171" max="7171" width="6.109375" style="478" customWidth="1"/>
    <col min="7172" max="7172" width="5.109375" style="478" customWidth="1"/>
    <col min="7173" max="7173" width="5.5546875" style="478" customWidth="1"/>
    <col min="7174" max="7174" width="12" style="478" customWidth="1"/>
    <col min="7175" max="7175" width="8.77734375" style="478" customWidth="1"/>
    <col min="7176" max="7176" width="9.88671875" style="478" customWidth="1"/>
    <col min="7177" max="7177" width="8.5546875" style="478" customWidth="1"/>
    <col min="7178" max="7178" width="4.33203125" style="478" customWidth="1"/>
    <col min="7179" max="7424" width="8.88671875" style="478"/>
    <col min="7425" max="7425" width="5.21875" style="478" customWidth="1"/>
    <col min="7426" max="7426" width="34.77734375" style="478" customWidth="1"/>
    <col min="7427" max="7427" width="6.109375" style="478" customWidth="1"/>
    <col min="7428" max="7428" width="5.109375" style="478" customWidth="1"/>
    <col min="7429" max="7429" width="5.5546875" style="478" customWidth="1"/>
    <col min="7430" max="7430" width="12" style="478" customWidth="1"/>
    <col min="7431" max="7431" width="8.77734375" style="478" customWidth="1"/>
    <col min="7432" max="7432" width="9.88671875" style="478" customWidth="1"/>
    <col min="7433" max="7433" width="8.5546875" style="478" customWidth="1"/>
    <col min="7434" max="7434" width="4.33203125" style="478" customWidth="1"/>
    <col min="7435" max="7680" width="8.88671875" style="478"/>
    <col min="7681" max="7681" width="5.21875" style="478" customWidth="1"/>
    <col min="7682" max="7682" width="34.77734375" style="478" customWidth="1"/>
    <col min="7683" max="7683" width="6.109375" style="478" customWidth="1"/>
    <col min="7684" max="7684" width="5.109375" style="478" customWidth="1"/>
    <col min="7685" max="7685" width="5.5546875" style="478" customWidth="1"/>
    <col min="7686" max="7686" width="12" style="478" customWidth="1"/>
    <col min="7687" max="7687" width="8.77734375" style="478" customWidth="1"/>
    <col min="7688" max="7688" width="9.88671875" style="478" customWidth="1"/>
    <col min="7689" max="7689" width="8.5546875" style="478" customWidth="1"/>
    <col min="7690" max="7690" width="4.33203125" style="478" customWidth="1"/>
    <col min="7691" max="7936" width="8.88671875" style="478"/>
    <col min="7937" max="7937" width="5.21875" style="478" customWidth="1"/>
    <col min="7938" max="7938" width="34.77734375" style="478" customWidth="1"/>
    <col min="7939" max="7939" width="6.109375" style="478" customWidth="1"/>
    <col min="7940" max="7940" width="5.109375" style="478" customWidth="1"/>
    <col min="7941" max="7941" width="5.5546875" style="478" customWidth="1"/>
    <col min="7942" max="7942" width="12" style="478" customWidth="1"/>
    <col min="7943" max="7943" width="8.77734375" style="478" customWidth="1"/>
    <col min="7944" max="7944" width="9.88671875" style="478" customWidth="1"/>
    <col min="7945" max="7945" width="8.5546875" style="478" customWidth="1"/>
    <col min="7946" max="7946" width="4.33203125" style="478" customWidth="1"/>
    <col min="7947" max="8192" width="8.88671875" style="478"/>
    <col min="8193" max="8193" width="5.21875" style="478" customWidth="1"/>
    <col min="8194" max="8194" width="34.77734375" style="478" customWidth="1"/>
    <col min="8195" max="8195" width="6.109375" style="478" customWidth="1"/>
    <col min="8196" max="8196" width="5.109375" style="478" customWidth="1"/>
    <col min="8197" max="8197" width="5.5546875" style="478" customWidth="1"/>
    <col min="8198" max="8198" width="12" style="478" customWidth="1"/>
    <col min="8199" max="8199" width="8.77734375" style="478" customWidth="1"/>
    <col min="8200" max="8200" width="9.88671875" style="478" customWidth="1"/>
    <col min="8201" max="8201" width="8.5546875" style="478" customWidth="1"/>
    <col min="8202" max="8202" width="4.33203125" style="478" customWidth="1"/>
    <col min="8203" max="8448" width="8.88671875" style="478"/>
    <col min="8449" max="8449" width="5.21875" style="478" customWidth="1"/>
    <col min="8450" max="8450" width="34.77734375" style="478" customWidth="1"/>
    <col min="8451" max="8451" width="6.109375" style="478" customWidth="1"/>
    <col min="8452" max="8452" width="5.109375" style="478" customWidth="1"/>
    <col min="8453" max="8453" width="5.5546875" style="478" customWidth="1"/>
    <col min="8454" max="8454" width="12" style="478" customWidth="1"/>
    <col min="8455" max="8455" width="8.77734375" style="478" customWidth="1"/>
    <col min="8456" max="8456" width="9.88671875" style="478" customWidth="1"/>
    <col min="8457" max="8457" width="8.5546875" style="478" customWidth="1"/>
    <col min="8458" max="8458" width="4.33203125" style="478" customWidth="1"/>
    <col min="8459" max="8704" width="8.88671875" style="478"/>
    <col min="8705" max="8705" width="5.21875" style="478" customWidth="1"/>
    <col min="8706" max="8706" width="34.77734375" style="478" customWidth="1"/>
    <col min="8707" max="8707" width="6.109375" style="478" customWidth="1"/>
    <col min="8708" max="8708" width="5.109375" style="478" customWidth="1"/>
    <col min="8709" max="8709" width="5.5546875" style="478" customWidth="1"/>
    <col min="8710" max="8710" width="12" style="478" customWidth="1"/>
    <col min="8711" max="8711" width="8.77734375" style="478" customWidth="1"/>
    <col min="8712" max="8712" width="9.88671875" style="478" customWidth="1"/>
    <col min="8713" max="8713" width="8.5546875" style="478" customWidth="1"/>
    <col min="8714" max="8714" width="4.33203125" style="478" customWidth="1"/>
    <col min="8715" max="8960" width="8.88671875" style="478"/>
    <col min="8961" max="8961" width="5.21875" style="478" customWidth="1"/>
    <col min="8962" max="8962" width="34.77734375" style="478" customWidth="1"/>
    <col min="8963" max="8963" width="6.109375" style="478" customWidth="1"/>
    <col min="8964" max="8964" width="5.109375" style="478" customWidth="1"/>
    <col min="8965" max="8965" width="5.5546875" style="478" customWidth="1"/>
    <col min="8966" max="8966" width="12" style="478" customWidth="1"/>
    <col min="8967" max="8967" width="8.77734375" style="478" customWidth="1"/>
    <col min="8968" max="8968" width="9.88671875" style="478" customWidth="1"/>
    <col min="8969" max="8969" width="8.5546875" style="478" customWidth="1"/>
    <col min="8970" max="8970" width="4.33203125" style="478" customWidth="1"/>
    <col min="8971" max="9216" width="8.88671875" style="478"/>
    <col min="9217" max="9217" width="5.21875" style="478" customWidth="1"/>
    <col min="9218" max="9218" width="34.77734375" style="478" customWidth="1"/>
    <col min="9219" max="9219" width="6.109375" style="478" customWidth="1"/>
    <col min="9220" max="9220" width="5.109375" style="478" customWidth="1"/>
    <col min="9221" max="9221" width="5.5546875" style="478" customWidth="1"/>
    <col min="9222" max="9222" width="12" style="478" customWidth="1"/>
    <col min="9223" max="9223" width="8.77734375" style="478" customWidth="1"/>
    <col min="9224" max="9224" width="9.88671875" style="478" customWidth="1"/>
    <col min="9225" max="9225" width="8.5546875" style="478" customWidth="1"/>
    <col min="9226" max="9226" width="4.33203125" style="478" customWidth="1"/>
    <col min="9227" max="9472" width="8.88671875" style="478"/>
    <col min="9473" max="9473" width="5.21875" style="478" customWidth="1"/>
    <col min="9474" max="9474" width="34.77734375" style="478" customWidth="1"/>
    <col min="9475" max="9475" width="6.109375" style="478" customWidth="1"/>
    <col min="9476" max="9476" width="5.109375" style="478" customWidth="1"/>
    <col min="9477" max="9477" width="5.5546875" style="478" customWidth="1"/>
    <col min="9478" max="9478" width="12" style="478" customWidth="1"/>
    <col min="9479" max="9479" width="8.77734375" style="478" customWidth="1"/>
    <col min="9480" max="9480" width="9.88671875" style="478" customWidth="1"/>
    <col min="9481" max="9481" width="8.5546875" style="478" customWidth="1"/>
    <col min="9482" max="9482" width="4.33203125" style="478" customWidth="1"/>
    <col min="9483" max="9728" width="8.88671875" style="478"/>
    <col min="9729" max="9729" width="5.21875" style="478" customWidth="1"/>
    <col min="9730" max="9730" width="34.77734375" style="478" customWidth="1"/>
    <col min="9731" max="9731" width="6.109375" style="478" customWidth="1"/>
    <col min="9732" max="9732" width="5.109375" style="478" customWidth="1"/>
    <col min="9733" max="9733" width="5.5546875" style="478" customWidth="1"/>
    <col min="9734" max="9734" width="12" style="478" customWidth="1"/>
    <col min="9735" max="9735" width="8.77734375" style="478" customWidth="1"/>
    <col min="9736" max="9736" width="9.88671875" style="478" customWidth="1"/>
    <col min="9737" max="9737" width="8.5546875" style="478" customWidth="1"/>
    <col min="9738" max="9738" width="4.33203125" style="478" customWidth="1"/>
    <col min="9739" max="9984" width="8.88671875" style="478"/>
    <col min="9985" max="9985" width="5.21875" style="478" customWidth="1"/>
    <col min="9986" max="9986" width="34.77734375" style="478" customWidth="1"/>
    <col min="9987" max="9987" width="6.109375" style="478" customWidth="1"/>
    <col min="9988" max="9988" width="5.109375" style="478" customWidth="1"/>
    <col min="9989" max="9989" width="5.5546875" style="478" customWidth="1"/>
    <col min="9990" max="9990" width="12" style="478" customWidth="1"/>
    <col min="9991" max="9991" width="8.77734375" style="478" customWidth="1"/>
    <col min="9992" max="9992" width="9.88671875" style="478" customWidth="1"/>
    <col min="9993" max="9993" width="8.5546875" style="478" customWidth="1"/>
    <col min="9994" max="9994" width="4.33203125" style="478" customWidth="1"/>
    <col min="9995" max="10240" width="8.88671875" style="478"/>
    <col min="10241" max="10241" width="5.21875" style="478" customWidth="1"/>
    <col min="10242" max="10242" width="34.77734375" style="478" customWidth="1"/>
    <col min="10243" max="10243" width="6.109375" style="478" customWidth="1"/>
    <col min="10244" max="10244" width="5.109375" style="478" customWidth="1"/>
    <col min="10245" max="10245" width="5.5546875" style="478" customWidth="1"/>
    <col min="10246" max="10246" width="12" style="478" customWidth="1"/>
    <col min="10247" max="10247" width="8.77734375" style="478" customWidth="1"/>
    <col min="10248" max="10248" width="9.88671875" style="478" customWidth="1"/>
    <col min="10249" max="10249" width="8.5546875" style="478" customWidth="1"/>
    <col min="10250" max="10250" width="4.33203125" style="478" customWidth="1"/>
    <col min="10251" max="10496" width="8.88671875" style="478"/>
    <col min="10497" max="10497" width="5.21875" style="478" customWidth="1"/>
    <col min="10498" max="10498" width="34.77734375" style="478" customWidth="1"/>
    <col min="10499" max="10499" width="6.109375" style="478" customWidth="1"/>
    <col min="10500" max="10500" width="5.109375" style="478" customWidth="1"/>
    <col min="10501" max="10501" width="5.5546875" style="478" customWidth="1"/>
    <col min="10502" max="10502" width="12" style="478" customWidth="1"/>
    <col min="10503" max="10503" width="8.77734375" style="478" customWidth="1"/>
    <col min="10504" max="10504" width="9.88671875" style="478" customWidth="1"/>
    <col min="10505" max="10505" width="8.5546875" style="478" customWidth="1"/>
    <col min="10506" max="10506" width="4.33203125" style="478" customWidth="1"/>
    <col min="10507" max="10752" width="8.88671875" style="478"/>
    <col min="10753" max="10753" width="5.21875" style="478" customWidth="1"/>
    <col min="10754" max="10754" width="34.77734375" style="478" customWidth="1"/>
    <col min="10755" max="10755" width="6.109375" style="478" customWidth="1"/>
    <col min="10756" max="10756" width="5.109375" style="478" customWidth="1"/>
    <col min="10757" max="10757" width="5.5546875" style="478" customWidth="1"/>
    <col min="10758" max="10758" width="12" style="478" customWidth="1"/>
    <col min="10759" max="10759" width="8.77734375" style="478" customWidth="1"/>
    <col min="10760" max="10760" width="9.88671875" style="478" customWidth="1"/>
    <col min="10761" max="10761" width="8.5546875" style="478" customWidth="1"/>
    <col min="10762" max="10762" width="4.33203125" style="478" customWidth="1"/>
    <col min="10763" max="11008" width="8.88671875" style="478"/>
    <col min="11009" max="11009" width="5.21875" style="478" customWidth="1"/>
    <col min="11010" max="11010" width="34.77734375" style="478" customWidth="1"/>
    <col min="11011" max="11011" width="6.109375" style="478" customWidth="1"/>
    <col min="11012" max="11012" width="5.109375" style="478" customWidth="1"/>
    <col min="11013" max="11013" width="5.5546875" style="478" customWidth="1"/>
    <col min="11014" max="11014" width="12" style="478" customWidth="1"/>
    <col min="11015" max="11015" width="8.77734375" style="478" customWidth="1"/>
    <col min="11016" max="11016" width="9.88671875" style="478" customWidth="1"/>
    <col min="11017" max="11017" width="8.5546875" style="478" customWidth="1"/>
    <col min="11018" max="11018" width="4.33203125" style="478" customWidth="1"/>
    <col min="11019" max="11264" width="8.88671875" style="478"/>
    <col min="11265" max="11265" width="5.21875" style="478" customWidth="1"/>
    <col min="11266" max="11266" width="34.77734375" style="478" customWidth="1"/>
    <col min="11267" max="11267" width="6.109375" style="478" customWidth="1"/>
    <col min="11268" max="11268" width="5.109375" style="478" customWidth="1"/>
    <col min="11269" max="11269" width="5.5546875" style="478" customWidth="1"/>
    <col min="11270" max="11270" width="12" style="478" customWidth="1"/>
    <col min="11271" max="11271" width="8.77734375" style="478" customWidth="1"/>
    <col min="11272" max="11272" width="9.88671875" style="478" customWidth="1"/>
    <col min="11273" max="11273" width="8.5546875" style="478" customWidth="1"/>
    <col min="11274" max="11274" width="4.33203125" style="478" customWidth="1"/>
    <col min="11275" max="11520" width="8.88671875" style="478"/>
    <col min="11521" max="11521" width="5.21875" style="478" customWidth="1"/>
    <col min="11522" max="11522" width="34.77734375" style="478" customWidth="1"/>
    <col min="11523" max="11523" width="6.109375" style="478" customWidth="1"/>
    <col min="11524" max="11524" width="5.109375" style="478" customWidth="1"/>
    <col min="11525" max="11525" width="5.5546875" style="478" customWidth="1"/>
    <col min="11526" max="11526" width="12" style="478" customWidth="1"/>
    <col min="11527" max="11527" width="8.77734375" style="478" customWidth="1"/>
    <col min="11528" max="11528" width="9.88671875" style="478" customWidth="1"/>
    <col min="11529" max="11529" width="8.5546875" style="478" customWidth="1"/>
    <col min="11530" max="11530" width="4.33203125" style="478" customWidth="1"/>
    <col min="11531" max="11776" width="8.88671875" style="478"/>
    <col min="11777" max="11777" width="5.21875" style="478" customWidth="1"/>
    <col min="11778" max="11778" width="34.77734375" style="478" customWidth="1"/>
    <col min="11779" max="11779" width="6.109375" style="478" customWidth="1"/>
    <col min="11780" max="11780" width="5.109375" style="478" customWidth="1"/>
    <col min="11781" max="11781" width="5.5546875" style="478" customWidth="1"/>
    <col min="11782" max="11782" width="12" style="478" customWidth="1"/>
    <col min="11783" max="11783" width="8.77734375" style="478" customWidth="1"/>
    <col min="11784" max="11784" width="9.88671875" style="478" customWidth="1"/>
    <col min="11785" max="11785" width="8.5546875" style="478" customWidth="1"/>
    <col min="11786" max="11786" width="4.33203125" style="478" customWidth="1"/>
    <col min="11787" max="12032" width="8.88671875" style="478"/>
    <col min="12033" max="12033" width="5.21875" style="478" customWidth="1"/>
    <col min="12034" max="12034" width="34.77734375" style="478" customWidth="1"/>
    <col min="12035" max="12035" width="6.109375" style="478" customWidth="1"/>
    <col min="12036" max="12036" width="5.109375" style="478" customWidth="1"/>
    <col min="12037" max="12037" width="5.5546875" style="478" customWidth="1"/>
    <col min="12038" max="12038" width="12" style="478" customWidth="1"/>
    <col min="12039" max="12039" width="8.77734375" style="478" customWidth="1"/>
    <col min="12040" max="12040" width="9.88671875" style="478" customWidth="1"/>
    <col min="12041" max="12041" width="8.5546875" style="478" customWidth="1"/>
    <col min="12042" max="12042" width="4.33203125" style="478" customWidth="1"/>
    <col min="12043" max="12288" width="8.88671875" style="478"/>
    <col min="12289" max="12289" width="5.21875" style="478" customWidth="1"/>
    <col min="12290" max="12290" width="34.77734375" style="478" customWidth="1"/>
    <col min="12291" max="12291" width="6.109375" style="478" customWidth="1"/>
    <col min="12292" max="12292" width="5.109375" style="478" customWidth="1"/>
    <col min="12293" max="12293" width="5.5546875" style="478" customWidth="1"/>
    <col min="12294" max="12294" width="12" style="478" customWidth="1"/>
    <col min="12295" max="12295" width="8.77734375" style="478" customWidth="1"/>
    <col min="12296" max="12296" width="9.88671875" style="478" customWidth="1"/>
    <col min="12297" max="12297" width="8.5546875" style="478" customWidth="1"/>
    <col min="12298" max="12298" width="4.33203125" style="478" customWidth="1"/>
    <col min="12299" max="12544" width="8.88671875" style="478"/>
    <col min="12545" max="12545" width="5.21875" style="478" customWidth="1"/>
    <col min="12546" max="12546" width="34.77734375" style="478" customWidth="1"/>
    <col min="12547" max="12547" width="6.109375" style="478" customWidth="1"/>
    <col min="12548" max="12548" width="5.109375" style="478" customWidth="1"/>
    <col min="12549" max="12549" width="5.5546875" style="478" customWidth="1"/>
    <col min="12550" max="12550" width="12" style="478" customWidth="1"/>
    <col min="12551" max="12551" width="8.77734375" style="478" customWidth="1"/>
    <col min="12552" max="12552" width="9.88671875" style="478" customWidth="1"/>
    <col min="12553" max="12553" width="8.5546875" style="478" customWidth="1"/>
    <col min="12554" max="12554" width="4.33203125" style="478" customWidth="1"/>
    <col min="12555" max="12800" width="8.88671875" style="478"/>
    <col min="12801" max="12801" width="5.21875" style="478" customWidth="1"/>
    <col min="12802" max="12802" width="34.77734375" style="478" customWidth="1"/>
    <col min="12803" max="12803" width="6.109375" style="478" customWidth="1"/>
    <col min="12804" max="12804" width="5.109375" style="478" customWidth="1"/>
    <col min="12805" max="12805" width="5.5546875" style="478" customWidth="1"/>
    <col min="12806" max="12806" width="12" style="478" customWidth="1"/>
    <col min="12807" max="12807" width="8.77734375" style="478" customWidth="1"/>
    <col min="12808" max="12808" width="9.88671875" style="478" customWidth="1"/>
    <col min="12809" max="12809" width="8.5546875" style="478" customWidth="1"/>
    <col min="12810" max="12810" width="4.33203125" style="478" customWidth="1"/>
    <col min="12811" max="13056" width="8.88671875" style="478"/>
    <col min="13057" max="13057" width="5.21875" style="478" customWidth="1"/>
    <col min="13058" max="13058" width="34.77734375" style="478" customWidth="1"/>
    <col min="13059" max="13059" width="6.109375" style="478" customWidth="1"/>
    <col min="13060" max="13060" width="5.109375" style="478" customWidth="1"/>
    <col min="13061" max="13061" width="5.5546875" style="478" customWidth="1"/>
    <col min="13062" max="13062" width="12" style="478" customWidth="1"/>
    <col min="13063" max="13063" width="8.77734375" style="478" customWidth="1"/>
    <col min="13064" max="13064" width="9.88671875" style="478" customWidth="1"/>
    <col min="13065" max="13065" width="8.5546875" style="478" customWidth="1"/>
    <col min="13066" max="13066" width="4.33203125" style="478" customWidth="1"/>
    <col min="13067" max="13312" width="8.88671875" style="478"/>
    <col min="13313" max="13313" width="5.21875" style="478" customWidth="1"/>
    <col min="13314" max="13314" width="34.77734375" style="478" customWidth="1"/>
    <col min="13315" max="13315" width="6.109375" style="478" customWidth="1"/>
    <col min="13316" max="13316" width="5.109375" style="478" customWidth="1"/>
    <col min="13317" max="13317" width="5.5546875" style="478" customWidth="1"/>
    <col min="13318" max="13318" width="12" style="478" customWidth="1"/>
    <col min="13319" max="13319" width="8.77734375" style="478" customWidth="1"/>
    <col min="13320" max="13320" width="9.88671875" style="478" customWidth="1"/>
    <col min="13321" max="13321" width="8.5546875" style="478" customWidth="1"/>
    <col min="13322" max="13322" width="4.33203125" style="478" customWidth="1"/>
    <col min="13323" max="13568" width="8.88671875" style="478"/>
    <col min="13569" max="13569" width="5.21875" style="478" customWidth="1"/>
    <col min="13570" max="13570" width="34.77734375" style="478" customWidth="1"/>
    <col min="13571" max="13571" width="6.109375" style="478" customWidth="1"/>
    <col min="13572" max="13572" width="5.109375" style="478" customWidth="1"/>
    <col min="13573" max="13573" width="5.5546875" style="478" customWidth="1"/>
    <col min="13574" max="13574" width="12" style="478" customWidth="1"/>
    <col min="13575" max="13575" width="8.77734375" style="478" customWidth="1"/>
    <col min="13576" max="13576" width="9.88671875" style="478" customWidth="1"/>
    <col min="13577" max="13577" width="8.5546875" style="478" customWidth="1"/>
    <col min="13578" max="13578" width="4.33203125" style="478" customWidth="1"/>
    <col min="13579" max="13824" width="8.88671875" style="478"/>
    <col min="13825" max="13825" width="5.21875" style="478" customWidth="1"/>
    <col min="13826" max="13826" width="34.77734375" style="478" customWidth="1"/>
    <col min="13827" max="13827" width="6.109375" style="478" customWidth="1"/>
    <col min="13828" max="13828" width="5.109375" style="478" customWidth="1"/>
    <col min="13829" max="13829" width="5.5546875" style="478" customWidth="1"/>
    <col min="13830" max="13830" width="12" style="478" customWidth="1"/>
    <col min="13831" max="13831" width="8.77734375" style="478" customWidth="1"/>
    <col min="13832" max="13832" width="9.88671875" style="478" customWidth="1"/>
    <col min="13833" max="13833" width="8.5546875" style="478" customWidth="1"/>
    <col min="13834" max="13834" width="4.33203125" style="478" customWidth="1"/>
    <col min="13835" max="14080" width="8.88671875" style="478"/>
    <col min="14081" max="14081" width="5.21875" style="478" customWidth="1"/>
    <col min="14082" max="14082" width="34.77734375" style="478" customWidth="1"/>
    <col min="14083" max="14083" width="6.109375" style="478" customWidth="1"/>
    <col min="14084" max="14084" width="5.109375" style="478" customWidth="1"/>
    <col min="14085" max="14085" width="5.5546875" style="478" customWidth="1"/>
    <col min="14086" max="14086" width="12" style="478" customWidth="1"/>
    <col min="14087" max="14087" width="8.77734375" style="478" customWidth="1"/>
    <col min="14088" max="14088" width="9.88671875" style="478" customWidth="1"/>
    <col min="14089" max="14089" width="8.5546875" style="478" customWidth="1"/>
    <col min="14090" max="14090" width="4.33203125" style="478" customWidth="1"/>
    <col min="14091" max="14336" width="8.88671875" style="478"/>
    <col min="14337" max="14337" width="5.21875" style="478" customWidth="1"/>
    <col min="14338" max="14338" width="34.77734375" style="478" customWidth="1"/>
    <col min="14339" max="14339" width="6.109375" style="478" customWidth="1"/>
    <col min="14340" max="14340" width="5.109375" style="478" customWidth="1"/>
    <col min="14341" max="14341" width="5.5546875" style="478" customWidth="1"/>
    <col min="14342" max="14342" width="12" style="478" customWidth="1"/>
    <col min="14343" max="14343" width="8.77734375" style="478" customWidth="1"/>
    <col min="14344" max="14344" width="9.88671875" style="478" customWidth="1"/>
    <col min="14345" max="14345" width="8.5546875" style="478" customWidth="1"/>
    <col min="14346" max="14346" width="4.33203125" style="478" customWidth="1"/>
    <col min="14347" max="14592" width="8.88671875" style="478"/>
    <col min="14593" max="14593" width="5.21875" style="478" customWidth="1"/>
    <col min="14594" max="14594" width="34.77734375" style="478" customWidth="1"/>
    <col min="14595" max="14595" width="6.109375" style="478" customWidth="1"/>
    <col min="14596" max="14596" width="5.109375" style="478" customWidth="1"/>
    <col min="14597" max="14597" width="5.5546875" style="478" customWidth="1"/>
    <col min="14598" max="14598" width="12" style="478" customWidth="1"/>
    <col min="14599" max="14599" width="8.77734375" style="478" customWidth="1"/>
    <col min="14600" max="14600" width="9.88671875" style="478" customWidth="1"/>
    <col min="14601" max="14601" width="8.5546875" style="478" customWidth="1"/>
    <col min="14602" max="14602" width="4.33203125" style="478" customWidth="1"/>
    <col min="14603" max="14848" width="8.88671875" style="478"/>
    <col min="14849" max="14849" width="5.21875" style="478" customWidth="1"/>
    <col min="14850" max="14850" width="34.77734375" style="478" customWidth="1"/>
    <col min="14851" max="14851" width="6.109375" style="478" customWidth="1"/>
    <col min="14852" max="14852" width="5.109375" style="478" customWidth="1"/>
    <col min="14853" max="14853" width="5.5546875" style="478" customWidth="1"/>
    <col min="14854" max="14854" width="12" style="478" customWidth="1"/>
    <col min="14855" max="14855" width="8.77734375" style="478" customWidth="1"/>
    <col min="14856" max="14856" width="9.88671875" style="478" customWidth="1"/>
    <col min="14857" max="14857" width="8.5546875" style="478" customWidth="1"/>
    <col min="14858" max="14858" width="4.33203125" style="478" customWidth="1"/>
    <col min="14859" max="15104" width="8.88671875" style="478"/>
    <col min="15105" max="15105" width="5.21875" style="478" customWidth="1"/>
    <col min="15106" max="15106" width="34.77734375" style="478" customWidth="1"/>
    <col min="15107" max="15107" width="6.109375" style="478" customWidth="1"/>
    <col min="15108" max="15108" width="5.109375" style="478" customWidth="1"/>
    <col min="15109" max="15109" width="5.5546875" style="478" customWidth="1"/>
    <col min="15110" max="15110" width="12" style="478" customWidth="1"/>
    <col min="15111" max="15111" width="8.77734375" style="478" customWidth="1"/>
    <col min="15112" max="15112" width="9.88671875" style="478" customWidth="1"/>
    <col min="15113" max="15113" width="8.5546875" style="478" customWidth="1"/>
    <col min="15114" max="15114" width="4.33203125" style="478" customWidth="1"/>
    <col min="15115" max="15360" width="8.88671875" style="478"/>
    <col min="15361" max="15361" width="5.21875" style="478" customWidth="1"/>
    <col min="15362" max="15362" width="34.77734375" style="478" customWidth="1"/>
    <col min="15363" max="15363" width="6.109375" style="478" customWidth="1"/>
    <col min="15364" max="15364" width="5.109375" style="478" customWidth="1"/>
    <col min="15365" max="15365" width="5.5546875" style="478" customWidth="1"/>
    <col min="15366" max="15366" width="12" style="478" customWidth="1"/>
    <col min="15367" max="15367" width="8.77734375" style="478" customWidth="1"/>
    <col min="15368" max="15368" width="9.88671875" style="478" customWidth="1"/>
    <col min="15369" max="15369" width="8.5546875" style="478" customWidth="1"/>
    <col min="15370" max="15370" width="4.33203125" style="478" customWidth="1"/>
    <col min="15371" max="15616" width="8.88671875" style="478"/>
    <col min="15617" max="15617" width="5.21875" style="478" customWidth="1"/>
    <col min="15618" max="15618" width="34.77734375" style="478" customWidth="1"/>
    <col min="15619" max="15619" width="6.109375" style="478" customWidth="1"/>
    <col min="15620" max="15620" width="5.109375" style="478" customWidth="1"/>
    <col min="15621" max="15621" width="5.5546875" style="478" customWidth="1"/>
    <col min="15622" max="15622" width="12" style="478" customWidth="1"/>
    <col min="15623" max="15623" width="8.77734375" style="478" customWidth="1"/>
    <col min="15624" max="15624" width="9.88671875" style="478" customWidth="1"/>
    <col min="15625" max="15625" width="8.5546875" style="478" customWidth="1"/>
    <col min="15626" max="15626" width="4.33203125" style="478" customWidth="1"/>
    <col min="15627" max="15872" width="8.88671875" style="478"/>
    <col min="15873" max="15873" width="5.21875" style="478" customWidth="1"/>
    <col min="15874" max="15874" width="34.77734375" style="478" customWidth="1"/>
    <col min="15875" max="15875" width="6.109375" style="478" customWidth="1"/>
    <col min="15876" max="15876" width="5.109375" style="478" customWidth="1"/>
    <col min="15877" max="15877" width="5.5546875" style="478" customWidth="1"/>
    <col min="15878" max="15878" width="12" style="478" customWidth="1"/>
    <col min="15879" max="15879" width="8.77734375" style="478" customWidth="1"/>
    <col min="15880" max="15880" width="9.88671875" style="478" customWidth="1"/>
    <col min="15881" max="15881" width="8.5546875" style="478" customWidth="1"/>
    <col min="15882" max="15882" width="4.33203125" style="478" customWidth="1"/>
    <col min="15883" max="16128" width="8.88671875" style="478"/>
    <col min="16129" max="16129" width="5.21875" style="478" customWidth="1"/>
    <col min="16130" max="16130" width="34.77734375" style="478" customWidth="1"/>
    <col min="16131" max="16131" width="6.109375" style="478" customWidth="1"/>
    <col min="16132" max="16132" width="5.109375" style="478" customWidth="1"/>
    <col min="16133" max="16133" width="5.5546875" style="478" customWidth="1"/>
    <col min="16134" max="16134" width="12" style="478" customWidth="1"/>
    <col min="16135" max="16135" width="8.77734375" style="478" customWidth="1"/>
    <col min="16136" max="16136" width="9.88671875" style="478" customWidth="1"/>
    <col min="16137" max="16137" width="8.5546875" style="478" customWidth="1"/>
    <col min="16138" max="16138" width="4.33203125" style="478" customWidth="1"/>
    <col min="16139" max="16384" width="8.88671875" style="478"/>
  </cols>
  <sheetData>
    <row r="1" spans="1:9" ht="19.899999999999999" customHeight="1">
      <c r="A1" s="775"/>
      <c r="B1" s="1078" t="s">
        <v>4724</v>
      </c>
      <c r="C1" s="1078"/>
      <c r="D1" s="1078"/>
      <c r="E1" s="1078"/>
      <c r="F1" s="1078"/>
      <c r="G1" s="1078"/>
      <c r="H1" s="1078"/>
      <c r="I1" s="776"/>
    </row>
    <row r="2" spans="1:9" ht="63" customHeight="1">
      <c r="A2" s="1079" t="str">
        <f>'Plinth Protection'!A6:J6</f>
        <v>Name of work:  Construction of Urban Police Station Building at Nachiyarkoil in Thanjavur District under Announcement made by the Hon’ble Chief Minister for the year 2023 - 2024</v>
      </c>
      <c r="B2" s="1079"/>
      <c r="C2" s="1079"/>
      <c r="D2" s="1079"/>
      <c r="E2" s="1079"/>
      <c r="F2" s="1079"/>
      <c r="G2" s="1079"/>
      <c r="H2" s="1079"/>
      <c r="I2" s="1079"/>
    </row>
    <row r="3" spans="1:9" ht="28.5" customHeight="1">
      <c r="A3" s="1080" t="s">
        <v>4647</v>
      </c>
      <c r="B3" s="1081" t="s">
        <v>4725</v>
      </c>
      <c r="C3" s="1081" t="s">
        <v>1166</v>
      </c>
      <c r="D3" s="1081"/>
      <c r="E3" s="1081"/>
      <c r="F3" s="1081" t="s">
        <v>4726</v>
      </c>
      <c r="G3" s="1081"/>
      <c r="H3" s="1081"/>
      <c r="I3" s="1003" t="s">
        <v>4573</v>
      </c>
    </row>
    <row r="4" spans="1:9" ht="28.5" customHeight="1">
      <c r="A4" s="1080"/>
      <c r="B4" s="1081"/>
      <c r="C4" s="1081"/>
      <c r="D4" s="1081"/>
      <c r="E4" s="1081"/>
      <c r="F4" s="210" t="s">
        <v>3482</v>
      </c>
      <c r="G4" s="210" t="s">
        <v>1261</v>
      </c>
      <c r="H4" s="210" t="s">
        <v>4572</v>
      </c>
      <c r="I4" s="1003"/>
    </row>
    <row r="5" spans="1:9" ht="34.9" customHeight="1">
      <c r="A5" s="777">
        <v>1.1000000000000001</v>
      </c>
      <c r="B5" s="992" t="s">
        <v>4727</v>
      </c>
      <c r="C5" s="993"/>
      <c r="D5" s="993"/>
      <c r="E5" s="993"/>
      <c r="F5" s="993"/>
      <c r="G5" s="993"/>
      <c r="H5" s="994"/>
      <c r="I5" s="200"/>
    </row>
    <row r="6" spans="1:9" ht="20.100000000000001" customHeight="1">
      <c r="A6" s="777"/>
      <c r="B6" s="203" t="s">
        <v>4728</v>
      </c>
      <c r="C6" s="206">
        <v>1</v>
      </c>
      <c r="D6" s="201" t="s">
        <v>4377</v>
      </c>
      <c r="E6" s="206">
        <v>1</v>
      </c>
      <c r="F6" s="244">
        <v>42.68</v>
      </c>
      <c r="G6" s="244">
        <v>0.5</v>
      </c>
      <c r="H6" s="244">
        <v>0.4</v>
      </c>
      <c r="I6" s="244">
        <f>ROUND((C6*E6*F6*G6*H6),2)</f>
        <v>8.5399999999999991</v>
      </c>
    </row>
    <row r="7" spans="1:9" ht="20.100000000000001" customHeight="1">
      <c r="A7" s="777"/>
      <c r="B7" s="203"/>
      <c r="C7" s="201"/>
      <c r="D7" s="203"/>
      <c r="E7" s="206"/>
      <c r="F7" s="244"/>
      <c r="G7" s="244"/>
      <c r="H7" s="182" t="s">
        <v>4729</v>
      </c>
      <c r="I7" s="778">
        <f>ROUNDUP(I6,1)</f>
        <v>8.6</v>
      </c>
    </row>
    <row r="8" spans="1:9" ht="20.100000000000001" customHeight="1">
      <c r="A8" s="777"/>
      <c r="B8" s="203"/>
      <c r="C8" s="201"/>
      <c r="D8" s="203"/>
      <c r="E8" s="206"/>
      <c r="F8" s="244"/>
      <c r="G8" s="244"/>
      <c r="H8" s="244"/>
      <c r="I8" s="182"/>
    </row>
    <row r="9" spans="1:9" ht="34.9" customHeight="1">
      <c r="A9" s="777">
        <v>2.1</v>
      </c>
      <c r="B9" s="992" t="s">
        <v>4730</v>
      </c>
      <c r="C9" s="993"/>
      <c r="D9" s="993"/>
      <c r="E9" s="993"/>
      <c r="F9" s="993"/>
      <c r="G9" s="993"/>
      <c r="H9" s="994"/>
      <c r="I9" s="244"/>
    </row>
    <row r="10" spans="1:9" ht="20.100000000000001" customHeight="1">
      <c r="A10" s="777"/>
      <c r="B10" s="203" t="s">
        <v>4728</v>
      </c>
      <c r="C10" s="206">
        <v>1</v>
      </c>
      <c r="D10" s="201" t="s">
        <v>4377</v>
      </c>
      <c r="E10" s="206">
        <v>1</v>
      </c>
      <c r="F10" s="244">
        <f>F6</f>
        <v>42.68</v>
      </c>
      <c r="G10" s="244">
        <v>0.5</v>
      </c>
      <c r="H10" s="244">
        <v>0.1</v>
      </c>
      <c r="I10" s="244">
        <f>ROUND((C10*E10*F10*G10*H10),2)</f>
        <v>2.13</v>
      </c>
    </row>
    <row r="11" spans="1:9" ht="20.100000000000001" customHeight="1">
      <c r="A11" s="777"/>
      <c r="B11" s="203"/>
      <c r="C11" s="201"/>
      <c r="D11" s="203"/>
      <c r="E11" s="206"/>
      <c r="F11" s="244"/>
      <c r="G11" s="244"/>
      <c r="H11" s="182" t="s">
        <v>4729</v>
      </c>
      <c r="I11" s="778">
        <f>ROUNDUP(I10,1)</f>
        <v>2.2000000000000002</v>
      </c>
    </row>
    <row r="12" spans="1:9" ht="20.100000000000001" customHeight="1">
      <c r="A12" s="777"/>
      <c r="B12" s="203"/>
      <c r="C12" s="201"/>
      <c r="D12" s="203"/>
      <c r="E12" s="206"/>
      <c r="F12" s="244"/>
      <c r="G12" s="244"/>
      <c r="H12" s="182"/>
      <c r="I12" s="778"/>
    </row>
    <row r="13" spans="1:9" ht="34.9" customHeight="1">
      <c r="A13" s="777">
        <v>3.1</v>
      </c>
      <c r="B13" s="992" t="s">
        <v>4731</v>
      </c>
      <c r="C13" s="993"/>
      <c r="D13" s="993"/>
      <c r="E13" s="993"/>
      <c r="F13" s="993"/>
      <c r="G13" s="993"/>
      <c r="H13" s="994"/>
      <c r="I13" s="244"/>
    </row>
    <row r="14" spans="1:9" ht="20.100000000000001" customHeight="1">
      <c r="A14" s="777"/>
      <c r="B14" s="203" t="s">
        <v>4728</v>
      </c>
      <c r="C14" s="206">
        <v>1</v>
      </c>
      <c r="D14" s="201" t="s">
        <v>4377</v>
      </c>
      <c r="E14" s="206">
        <v>1</v>
      </c>
      <c r="F14" s="244">
        <f>F6</f>
        <v>42.68</v>
      </c>
      <c r="G14" s="244">
        <v>0.5</v>
      </c>
      <c r="H14" s="244">
        <v>0.1</v>
      </c>
      <c r="I14" s="244">
        <f>ROUND((C14*E14*F14*G14*H14),2)</f>
        <v>2.13</v>
      </c>
    </row>
    <row r="15" spans="1:9" ht="20.100000000000001" customHeight="1">
      <c r="A15" s="777"/>
      <c r="B15" s="203"/>
      <c r="C15" s="206"/>
      <c r="D15" s="201"/>
      <c r="E15" s="206"/>
      <c r="F15" s="244"/>
      <c r="G15" s="244"/>
      <c r="H15" s="182" t="s">
        <v>4729</v>
      </c>
      <c r="I15" s="778">
        <f>ROUNDUP(I14,1)</f>
        <v>2.2000000000000002</v>
      </c>
    </row>
    <row r="16" spans="1:9" ht="20.100000000000001" customHeight="1">
      <c r="A16" s="777"/>
      <c r="B16" s="203"/>
      <c r="C16" s="206"/>
      <c r="D16" s="201"/>
      <c r="E16" s="206"/>
      <c r="F16" s="244"/>
      <c r="G16" s="244"/>
      <c r="H16" s="182"/>
      <c r="I16" s="778"/>
    </row>
    <row r="17" spans="1:9" ht="34.9" customHeight="1">
      <c r="A17" s="777">
        <v>10.5</v>
      </c>
      <c r="B17" s="1022" t="s">
        <v>4732</v>
      </c>
      <c r="C17" s="1023"/>
      <c r="D17" s="1023"/>
      <c r="E17" s="1023"/>
      <c r="F17" s="1023"/>
      <c r="G17" s="1023"/>
      <c r="H17" s="1024"/>
      <c r="I17" s="244"/>
    </row>
    <row r="18" spans="1:9" ht="19.5" customHeight="1">
      <c r="A18" s="777"/>
      <c r="B18" s="203" t="s">
        <v>4728</v>
      </c>
      <c r="C18" s="206">
        <v>1</v>
      </c>
      <c r="D18" s="201" t="s">
        <v>4377</v>
      </c>
      <c r="E18" s="206">
        <v>1</v>
      </c>
      <c r="F18" s="244">
        <f>F6</f>
        <v>42.68</v>
      </c>
      <c r="G18" s="245" t="s">
        <v>1288</v>
      </c>
      <c r="H18" s="244">
        <v>0.6</v>
      </c>
      <c r="I18" s="244">
        <f>ROUND((C18*E18*F18*H18),2)</f>
        <v>25.61</v>
      </c>
    </row>
    <row r="19" spans="1:9" ht="20.100000000000001" customHeight="1">
      <c r="A19" s="777"/>
      <c r="B19" s="203"/>
      <c r="C19" s="206"/>
      <c r="D19" s="201"/>
      <c r="E19" s="206"/>
      <c r="F19" s="244"/>
      <c r="G19" s="244"/>
      <c r="H19" s="182" t="s">
        <v>4729</v>
      </c>
      <c r="I19" s="778">
        <f>ROUNDUP(I18,1)</f>
        <v>25.7</v>
      </c>
    </row>
    <row r="20" spans="1:9" ht="20.100000000000001" customHeight="1">
      <c r="A20" s="777"/>
      <c r="B20" s="203"/>
      <c r="C20" s="206"/>
      <c r="D20" s="201"/>
      <c r="E20" s="206"/>
      <c r="F20" s="244"/>
      <c r="G20" s="244"/>
      <c r="H20" s="182"/>
      <c r="I20" s="778"/>
    </row>
    <row r="21" spans="1:9" ht="20.100000000000001" customHeight="1">
      <c r="A21" s="777">
        <v>33</v>
      </c>
      <c r="B21" s="995" t="s">
        <v>4733</v>
      </c>
      <c r="C21" s="996"/>
      <c r="D21" s="996"/>
      <c r="E21" s="996"/>
      <c r="F21" s="996"/>
      <c r="G21" s="996"/>
      <c r="H21" s="997"/>
      <c r="I21" s="244"/>
    </row>
    <row r="22" spans="1:9" ht="20.100000000000001" customHeight="1">
      <c r="A22" s="777"/>
      <c r="B22" s="995" t="s">
        <v>4734</v>
      </c>
      <c r="C22" s="996"/>
      <c r="D22" s="996"/>
      <c r="E22" s="996"/>
      <c r="F22" s="996"/>
      <c r="G22" s="996"/>
      <c r="H22" s="997"/>
      <c r="I22" s="244"/>
    </row>
    <row r="23" spans="1:9" ht="20.100000000000001" customHeight="1">
      <c r="A23" s="777"/>
      <c r="B23" s="203" t="s">
        <v>4735</v>
      </c>
      <c r="C23" s="201"/>
      <c r="D23" s="203"/>
      <c r="E23" s="206"/>
      <c r="F23" s="244"/>
      <c r="G23" s="244"/>
      <c r="H23" s="244"/>
      <c r="I23" s="244"/>
    </row>
    <row r="24" spans="1:9" ht="19.5" customHeight="1">
      <c r="A24" s="777"/>
      <c r="B24" s="203" t="s">
        <v>4728</v>
      </c>
      <c r="C24" s="206">
        <v>1</v>
      </c>
      <c r="D24" s="201" t="s">
        <v>4377</v>
      </c>
      <c r="E24" s="206">
        <v>1</v>
      </c>
      <c r="F24" s="244">
        <f>F6</f>
        <v>42.68</v>
      </c>
      <c r="G24" s="245" t="s">
        <v>1288</v>
      </c>
      <c r="H24" s="244">
        <v>0.4</v>
      </c>
      <c r="I24" s="244">
        <f>ROUND((C24*E24*F24*H24),2)</f>
        <v>17.07</v>
      </c>
    </row>
    <row r="25" spans="1:9" ht="20.100000000000001" customHeight="1">
      <c r="A25" s="777"/>
      <c r="B25" s="203"/>
      <c r="C25" s="206"/>
      <c r="D25" s="201"/>
      <c r="E25" s="206"/>
      <c r="F25" s="244"/>
      <c r="G25" s="244"/>
      <c r="H25" s="182" t="s">
        <v>4729</v>
      </c>
      <c r="I25" s="778">
        <f>ROUNDUP(I24,1)</f>
        <v>17.100000000000001</v>
      </c>
    </row>
    <row r="26" spans="1:9" ht="20.100000000000001" hidden="1" customHeight="1">
      <c r="A26" s="777"/>
      <c r="B26" s="203"/>
      <c r="C26" s="206"/>
      <c r="D26" s="203"/>
      <c r="E26" s="206"/>
      <c r="F26" s="244"/>
      <c r="G26" s="182"/>
      <c r="H26" s="244"/>
      <c r="I26" s="182"/>
    </row>
    <row r="27" spans="1:9" ht="20.100000000000001" customHeight="1">
      <c r="A27" s="777"/>
      <c r="B27" s="203"/>
      <c r="C27" s="206"/>
      <c r="D27" s="203"/>
      <c r="E27" s="206"/>
      <c r="F27" s="244"/>
      <c r="G27" s="182"/>
      <c r="H27" s="244"/>
      <c r="I27" s="182"/>
    </row>
    <row r="28" spans="1:9" ht="34.9" customHeight="1">
      <c r="A28" s="777">
        <v>28</v>
      </c>
      <c r="B28" s="992" t="s">
        <v>4736</v>
      </c>
      <c r="C28" s="993"/>
      <c r="D28" s="993"/>
      <c r="E28" s="993"/>
      <c r="F28" s="993"/>
      <c r="G28" s="993"/>
      <c r="H28" s="994"/>
      <c r="I28" s="244"/>
    </row>
    <row r="29" spans="1:9" ht="20.100000000000001" customHeight="1">
      <c r="A29" s="777"/>
      <c r="B29" s="203" t="s">
        <v>4728</v>
      </c>
      <c r="C29" s="206">
        <v>1</v>
      </c>
      <c r="D29" s="201" t="s">
        <v>4377</v>
      </c>
      <c r="E29" s="206">
        <v>1</v>
      </c>
      <c r="F29" s="244">
        <f>F6</f>
        <v>42.68</v>
      </c>
      <c r="G29" s="244">
        <v>1.1000000000000001</v>
      </c>
      <c r="H29" s="245" t="s">
        <v>1288</v>
      </c>
      <c r="I29" s="244">
        <f>ROUND((C29*E29*F29*G29),2)</f>
        <v>46.95</v>
      </c>
    </row>
    <row r="30" spans="1:9" ht="20.100000000000001" customHeight="1">
      <c r="A30" s="777"/>
      <c r="B30" s="203"/>
      <c r="C30" s="206"/>
      <c r="D30" s="201"/>
      <c r="E30" s="206"/>
      <c r="F30" s="244"/>
      <c r="G30" s="244"/>
      <c r="H30" s="182" t="s">
        <v>4729</v>
      </c>
      <c r="I30" s="778">
        <f>ROUNDUP(I29,1)</f>
        <v>47</v>
      </c>
    </row>
    <row r="31" spans="1:9" ht="20.100000000000001" customHeight="1">
      <c r="A31" s="777"/>
      <c r="B31" s="203"/>
      <c r="C31" s="206"/>
      <c r="D31" s="201"/>
      <c r="E31" s="206"/>
      <c r="F31" s="244"/>
      <c r="G31" s="244"/>
      <c r="H31" s="182"/>
      <c r="I31" s="778"/>
    </row>
    <row r="32" spans="1:9" ht="20.100000000000001" customHeight="1">
      <c r="A32" s="779"/>
      <c r="B32" s="238"/>
      <c r="C32" s="223"/>
      <c r="D32" s="174"/>
      <c r="E32" s="223"/>
      <c r="F32" s="221"/>
      <c r="G32" s="221"/>
      <c r="H32" s="780"/>
      <c r="I32" s="780"/>
    </row>
    <row r="33" spans="1:9" ht="20.100000000000001" customHeight="1">
      <c r="A33" s="779"/>
      <c r="B33" s="238"/>
      <c r="C33" s="223"/>
      <c r="D33" s="174"/>
      <c r="E33" s="223"/>
      <c r="F33" s="221"/>
      <c r="G33" s="221"/>
      <c r="H33" s="780"/>
      <c r="I33" s="780"/>
    </row>
    <row r="34" spans="1:9" ht="20.100000000000001" customHeight="1">
      <c r="A34" s="779"/>
      <c r="B34" s="238"/>
      <c r="C34" s="223"/>
      <c r="D34" s="174"/>
      <c r="E34" s="223"/>
      <c r="F34" s="221"/>
      <c r="G34" s="221"/>
      <c r="H34" s="780"/>
      <c r="I34" s="780"/>
    </row>
    <row r="35" spans="1:9" ht="20.100000000000001" customHeight="1">
      <c r="A35" s="779"/>
      <c r="B35" s="238"/>
      <c r="C35" s="223"/>
      <c r="D35" s="174"/>
      <c r="E35" s="223"/>
      <c r="F35" s="221"/>
      <c r="G35" s="221"/>
      <c r="H35" s="780"/>
      <c r="I35" s="780"/>
    </row>
    <row r="36" spans="1:9" ht="20.100000000000001" customHeight="1">
      <c r="A36" s="779"/>
      <c r="B36" s="238"/>
      <c r="C36" s="223"/>
      <c r="D36" s="174"/>
      <c r="E36" s="223"/>
      <c r="F36" s="221"/>
      <c r="G36" s="221"/>
      <c r="H36" s="780"/>
      <c r="I36" s="780"/>
    </row>
    <row r="37" spans="1:9" ht="20.100000000000001" customHeight="1">
      <c r="A37" s="779"/>
      <c r="B37" s="238"/>
      <c r="C37" s="223"/>
      <c r="D37" s="174"/>
      <c r="E37" s="223"/>
      <c r="F37" s="221"/>
      <c r="G37" s="221"/>
      <c r="H37" s="780"/>
      <c r="I37" s="780"/>
    </row>
    <row r="38" spans="1:9" ht="20.100000000000001" customHeight="1">
      <c r="A38" s="779"/>
      <c r="B38" s="238"/>
      <c r="C38" s="223"/>
      <c r="D38" s="174"/>
      <c r="E38" s="223"/>
      <c r="F38" s="221"/>
      <c r="G38" s="221"/>
      <c r="H38" s="780"/>
      <c r="I38" s="780"/>
    </row>
    <row r="39" spans="1:9" ht="20.100000000000001" customHeight="1">
      <c r="A39" s="779"/>
      <c r="B39" s="238"/>
      <c r="C39" s="223"/>
      <c r="D39" s="174"/>
      <c r="E39" s="223"/>
      <c r="F39" s="221"/>
      <c r="G39" s="221"/>
      <c r="H39" s="780"/>
      <c r="I39" s="780"/>
    </row>
    <row r="40" spans="1:9" ht="20.100000000000001" customHeight="1">
      <c r="A40" s="779"/>
      <c r="B40" s="238"/>
      <c r="C40" s="223"/>
      <c r="D40" s="174"/>
      <c r="E40" s="223"/>
      <c r="F40" s="221"/>
      <c r="G40" s="221"/>
      <c r="H40" s="780"/>
      <c r="I40" s="780"/>
    </row>
    <row r="41" spans="1:9" ht="20.100000000000001" customHeight="1">
      <c r="A41" s="779"/>
      <c r="B41" s="238"/>
      <c r="C41" s="223"/>
      <c r="D41" s="174"/>
      <c r="E41" s="223"/>
      <c r="F41" s="221"/>
      <c r="G41" s="221"/>
      <c r="H41" s="780"/>
      <c r="I41" s="780"/>
    </row>
    <row r="42" spans="1:9" ht="20.100000000000001" customHeight="1">
      <c r="A42" s="779"/>
      <c r="B42" s="238"/>
      <c r="C42" s="223"/>
      <c r="D42" s="174"/>
      <c r="E42" s="223"/>
      <c r="F42" s="221"/>
      <c r="G42" s="221"/>
      <c r="H42" s="780"/>
      <c r="I42" s="780"/>
    </row>
    <row r="43" spans="1:9" ht="20.100000000000001" customHeight="1">
      <c r="A43" s="779"/>
      <c r="B43" s="238"/>
      <c r="C43" s="223"/>
      <c r="D43" s="174"/>
      <c r="E43" s="223"/>
      <c r="F43" s="221"/>
      <c r="G43" s="221"/>
      <c r="H43" s="780"/>
      <c r="I43" s="780"/>
    </row>
    <row r="44" spans="1:9" ht="20.100000000000001" customHeight="1">
      <c r="A44" s="779"/>
      <c r="B44" s="238"/>
      <c r="C44" s="223"/>
      <c r="D44" s="174"/>
      <c r="E44" s="223"/>
      <c r="F44" s="221"/>
      <c r="G44" s="221"/>
      <c r="H44" s="780"/>
      <c r="I44" s="780"/>
    </row>
    <row r="45" spans="1:9" ht="20.100000000000001" customHeight="1">
      <c r="A45" s="779"/>
      <c r="B45" s="238"/>
      <c r="C45" s="223"/>
      <c r="D45" s="174"/>
      <c r="E45" s="223"/>
      <c r="F45" s="221"/>
      <c r="G45" s="221"/>
      <c r="H45" s="780"/>
      <c r="I45" s="780"/>
    </row>
  </sheetData>
  <mergeCells count="14">
    <mergeCell ref="B1:H1"/>
    <mergeCell ref="A2:I2"/>
    <mergeCell ref="A3:A4"/>
    <mergeCell ref="B3:B4"/>
    <mergeCell ref="C3:E4"/>
    <mergeCell ref="F3:H3"/>
    <mergeCell ref="I3:I4"/>
    <mergeCell ref="B28:H28"/>
    <mergeCell ref="B5:H5"/>
    <mergeCell ref="B9:H9"/>
    <mergeCell ref="B13:H13"/>
    <mergeCell ref="B17:H17"/>
    <mergeCell ref="B21:H21"/>
    <mergeCell ref="B22:H22"/>
  </mergeCells>
  <pageMargins left="0.7" right="0.4" top="0.6" bottom="0.3" header="0.511811023622047" footer="0.511811023622047"/>
  <pageSetup paperSize="9" orientation="portrait" r:id="rId1"/>
  <headerFooter alignWithMargins="0">
    <oddHeader>Page &amp;P</oddHeader>
  </headerFooter>
</worksheet>
</file>

<file path=xl/worksheets/sheet11.xml><?xml version="1.0" encoding="utf-8"?>
<worksheet xmlns="http://schemas.openxmlformats.org/spreadsheetml/2006/main" xmlns:r="http://schemas.openxmlformats.org/officeDocument/2006/relationships">
  <sheetPr>
    <tabColor rgb="FFFF0000"/>
  </sheetPr>
  <dimension ref="A1:H205"/>
  <sheetViews>
    <sheetView view="pageBreakPreview" topLeftCell="A4" zoomScale="80" zoomScaleSheetLayoutView="80" workbookViewId="0">
      <selection activeCell="C14" sqref="C14"/>
    </sheetView>
  </sheetViews>
  <sheetFormatPr defaultColWidth="8.88671875" defaultRowHeight="24.95" customHeight="1"/>
  <cols>
    <col min="1" max="1" width="4.44140625" style="711" customWidth="1"/>
    <col min="2" max="2" width="36.21875" style="675" customWidth="1"/>
    <col min="3" max="4" width="5.109375" style="707" customWidth="1"/>
    <col min="5" max="8" width="7.21875" style="708" customWidth="1"/>
    <col min="9" max="10" width="8.88671875" style="675" customWidth="1"/>
    <col min="11" max="256" width="8.88671875" style="675"/>
    <col min="257" max="257" width="4.44140625" style="675" customWidth="1"/>
    <col min="258" max="258" width="36.21875" style="675" customWidth="1"/>
    <col min="259" max="260" width="5.109375" style="675" customWidth="1"/>
    <col min="261" max="264" width="7.21875" style="675" customWidth="1"/>
    <col min="265" max="266" width="8.88671875" style="675" customWidth="1"/>
    <col min="267" max="512" width="8.88671875" style="675"/>
    <col min="513" max="513" width="4.44140625" style="675" customWidth="1"/>
    <col min="514" max="514" width="36.21875" style="675" customWidth="1"/>
    <col min="515" max="516" width="5.109375" style="675" customWidth="1"/>
    <col min="517" max="520" width="7.21875" style="675" customWidth="1"/>
    <col min="521" max="522" width="8.88671875" style="675" customWidth="1"/>
    <col min="523" max="768" width="8.88671875" style="675"/>
    <col min="769" max="769" width="4.44140625" style="675" customWidth="1"/>
    <col min="770" max="770" width="36.21875" style="675" customWidth="1"/>
    <col min="771" max="772" width="5.109375" style="675" customWidth="1"/>
    <col min="773" max="776" width="7.21875" style="675" customWidth="1"/>
    <col min="777" max="778" width="8.88671875" style="675" customWidth="1"/>
    <col min="779" max="1024" width="8.88671875" style="675"/>
    <col min="1025" max="1025" width="4.44140625" style="675" customWidth="1"/>
    <col min="1026" max="1026" width="36.21875" style="675" customWidth="1"/>
    <col min="1027" max="1028" width="5.109375" style="675" customWidth="1"/>
    <col min="1029" max="1032" width="7.21875" style="675" customWidth="1"/>
    <col min="1033" max="1034" width="8.88671875" style="675" customWidth="1"/>
    <col min="1035" max="1280" width="8.88671875" style="675"/>
    <col min="1281" max="1281" width="4.44140625" style="675" customWidth="1"/>
    <col min="1282" max="1282" width="36.21875" style="675" customWidth="1"/>
    <col min="1283" max="1284" width="5.109375" style="675" customWidth="1"/>
    <col min="1285" max="1288" width="7.21875" style="675" customWidth="1"/>
    <col min="1289" max="1290" width="8.88671875" style="675" customWidth="1"/>
    <col min="1291" max="1536" width="8.88671875" style="675"/>
    <col min="1537" max="1537" width="4.44140625" style="675" customWidth="1"/>
    <col min="1538" max="1538" width="36.21875" style="675" customWidth="1"/>
    <col min="1539" max="1540" width="5.109375" style="675" customWidth="1"/>
    <col min="1541" max="1544" width="7.21875" style="675" customWidth="1"/>
    <col min="1545" max="1546" width="8.88671875" style="675" customWidth="1"/>
    <col min="1547" max="1792" width="8.88671875" style="675"/>
    <col min="1793" max="1793" width="4.44140625" style="675" customWidth="1"/>
    <col min="1794" max="1794" width="36.21875" style="675" customWidth="1"/>
    <col min="1795" max="1796" width="5.109375" style="675" customWidth="1"/>
    <col min="1797" max="1800" width="7.21875" style="675" customWidth="1"/>
    <col min="1801" max="1802" width="8.88671875" style="675" customWidth="1"/>
    <col min="1803" max="2048" width="8.88671875" style="675"/>
    <col min="2049" max="2049" width="4.44140625" style="675" customWidth="1"/>
    <col min="2050" max="2050" width="36.21875" style="675" customWidth="1"/>
    <col min="2051" max="2052" width="5.109375" style="675" customWidth="1"/>
    <col min="2053" max="2056" width="7.21875" style="675" customWidth="1"/>
    <col min="2057" max="2058" width="8.88671875" style="675" customWidth="1"/>
    <col min="2059" max="2304" width="8.88671875" style="675"/>
    <col min="2305" max="2305" width="4.44140625" style="675" customWidth="1"/>
    <col min="2306" max="2306" width="36.21875" style="675" customWidth="1"/>
    <col min="2307" max="2308" width="5.109375" style="675" customWidth="1"/>
    <col min="2309" max="2312" width="7.21875" style="675" customWidth="1"/>
    <col min="2313" max="2314" width="8.88671875" style="675" customWidth="1"/>
    <col min="2315" max="2560" width="8.88671875" style="675"/>
    <col min="2561" max="2561" width="4.44140625" style="675" customWidth="1"/>
    <col min="2562" max="2562" width="36.21875" style="675" customWidth="1"/>
    <col min="2563" max="2564" width="5.109375" style="675" customWidth="1"/>
    <col min="2565" max="2568" width="7.21875" style="675" customWidth="1"/>
    <col min="2569" max="2570" width="8.88671875" style="675" customWidth="1"/>
    <col min="2571" max="2816" width="8.88671875" style="675"/>
    <col min="2817" max="2817" width="4.44140625" style="675" customWidth="1"/>
    <col min="2818" max="2818" width="36.21875" style="675" customWidth="1"/>
    <col min="2819" max="2820" width="5.109375" style="675" customWidth="1"/>
    <col min="2821" max="2824" width="7.21875" style="675" customWidth="1"/>
    <col min="2825" max="2826" width="8.88671875" style="675" customWidth="1"/>
    <col min="2827" max="3072" width="8.88671875" style="675"/>
    <col min="3073" max="3073" width="4.44140625" style="675" customWidth="1"/>
    <col min="3074" max="3074" width="36.21875" style="675" customWidth="1"/>
    <col min="3075" max="3076" width="5.109375" style="675" customWidth="1"/>
    <col min="3077" max="3080" width="7.21875" style="675" customWidth="1"/>
    <col min="3081" max="3082" width="8.88671875" style="675" customWidth="1"/>
    <col min="3083" max="3328" width="8.88671875" style="675"/>
    <col min="3329" max="3329" width="4.44140625" style="675" customWidth="1"/>
    <col min="3330" max="3330" width="36.21875" style="675" customWidth="1"/>
    <col min="3331" max="3332" width="5.109375" style="675" customWidth="1"/>
    <col min="3333" max="3336" width="7.21875" style="675" customWidth="1"/>
    <col min="3337" max="3338" width="8.88671875" style="675" customWidth="1"/>
    <col min="3339" max="3584" width="8.88671875" style="675"/>
    <col min="3585" max="3585" width="4.44140625" style="675" customWidth="1"/>
    <col min="3586" max="3586" width="36.21875" style="675" customWidth="1"/>
    <col min="3587" max="3588" width="5.109375" style="675" customWidth="1"/>
    <col min="3589" max="3592" width="7.21875" style="675" customWidth="1"/>
    <col min="3593" max="3594" width="8.88671875" style="675" customWidth="1"/>
    <col min="3595" max="3840" width="8.88671875" style="675"/>
    <col min="3841" max="3841" width="4.44140625" style="675" customWidth="1"/>
    <col min="3842" max="3842" width="36.21875" style="675" customWidth="1"/>
    <col min="3843" max="3844" width="5.109375" style="675" customWidth="1"/>
    <col min="3845" max="3848" width="7.21875" style="675" customWidth="1"/>
    <col min="3849" max="3850" width="8.88671875" style="675" customWidth="1"/>
    <col min="3851" max="4096" width="8.88671875" style="675"/>
    <col min="4097" max="4097" width="4.44140625" style="675" customWidth="1"/>
    <col min="4098" max="4098" width="36.21875" style="675" customWidth="1"/>
    <col min="4099" max="4100" width="5.109375" style="675" customWidth="1"/>
    <col min="4101" max="4104" width="7.21875" style="675" customWidth="1"/>
    <col min="4105" max="4106" width="8.88671875" style="675" customWidth="1"/>
    <col min="4107" max="4352" width="8.88671875" style="675"/>
    <col min="4353" max="4353" width="4.44140625" style="675" customWidth="1"/>
    <col min="4354" max="4354" width="36.21875" style="675" customWidth="1"/>
    <col min="4355" max="4356" width="5.109375" style="675" customWidth="1"/>
    <col min="4357" max="4360" width="7.21875" style="675" customWidth="1"/>
    <col min="4361" max="4362" width="8.88671875" style="675" customWidth="1"/>
    <col min="4363" max="4608" width="8.88671875" style="675"/>
    <col min="4609" max="4609" width="4.44140625" style="675" customWidth="1"/>
    <col min="4610" max="4610" width="36.21875" style="675" customWidth="1"/>
    <col min="4611" max="4612" width="5.109375" style="675" customWidth="1"/>
    <col min="4613" max="4616" width="7.21875" style="675" customWidth="1"/>
    <col min="4617" max="4618" width="8.88671875" style="675" customWidth="1"/>
    <col min="4619" max="4864" width="8.88671875" style="675"/>
    <col min="4865" max="4865" width="4.44140625" style="675" customWidth="1"/>
    <col min="4866" max="4866" width="36.21875" style="675" customWidth="1"/>
    <col min="4867" max="4868" width="5.109375" style="675" customWidth="1"/>
    <col min="4869" max="4872" width="7.21875" style="675" customWidth="1"/>
    <col min="4873" max="4874" width="8.88671875" style="675" customWidth="1"/>
    <col min="4875" max="5120" width="8.88671875" style="675"/>
    <col min="5121" max="5121" width="4.44140625" style="675" customWidth="1"/>
    <col min="5122" max="5122" width="36.21875" style="675" customWidth="1"/>
    <col min="5123" max="5124" width="5.109375" style="675" customWidth="1"/>
    <col min="5125" max="5128" width="7.21875" style="675" customWidth="1"/>
    <col min="5129" max="5130" width="8.88671875" style="675" customWidth="1"/>
    <col min="5131" max="5376" width="8.88671875" style="675"/>
    <col min="5377" max="5377" width="4.44140625" style="675" customWidth="1"/>
    <col min="5378" max="5378" width="36.21875" style="675" customWidth="1"/>
    <col min="5379" max="5380" width="5.109375" style="675" customWidth="1"/>
    <col min="5381" max="5384" width="7.21875" style="675" customWidth="1"/>
    <col min="5385" max="5386" width="8.88671875" style="675" customWidth="1"/>
    <col min="5387" max="5632" width="8.88671875" style="675"/>
    <col min="5633" max="5633" width="4.44140625" style="675" customWidth="1"/>
    <col min="5634" max="5634" width="36.21875" style="675" customWidth="1"/>
    <col min="5635" max="5636" width="5.109375" style="675" customWidth="1"/>
    <col min="5637" max="5640" width="7.21875" style="675" customWidth="1"/>
    <col min="5641" max="5642" width="8.88671875" style="675" customWidth="1"/>
    <col min="5643" max="5888" width="8.88671875" style="675"/>
    <col min="5889" max="5889" width="4.44140625" style="675" customWidth="1"/>
    <col min="5890" max="5890" width="36.21875" style="675" customWidth="1"/>
    <col min="5891" max="5892" width="5.109375" style="675" customWidth="1"/>
    <col min="5893" max="5896" width="7.21875" style="675" customWidth="1"/>
    <col min="5897" max="5898" width="8.88671875" style="675" customWidth="1"/>
    <col min="5899" max="6144" width="8.88671875" style="675"/>
    <col min="6145" max="6145" width="4.44140625" style="675" customWidth="1"/>
    <col min="6146" max="6146" width="36.21875" style="675" customWidth="1"/>
    <col min="6147" max="6148" width="5.109375" style="675" customWidth="1"/>
    <col min="6149" max="6152" width="7.21875" style="675" customWidth="1"/>
    <col min="6153" max="6154" width="8.88671875" style="675" customWidth="1"/>
    <col min="6155" max="6400" width="8.88671875" style="675"/>
    <col min="6401" max="6401" width="4.44140625" style="675" customWidth="1"/>
    <col min="6402" max="6402" width="36.21875" style="675" customWidth="1"/>
    <col min="6403" max="6404" width="5.109375" style="675" customWidth="1"/>
    <col min="6405" max="6408" width="7.21875" style="675" customWidth="1"/>
    <col min="6409" max="6410" width="8.88671875" style="675" customWidth="1"/>
    <col min="6411" max="6656" width="8.88671875" style="675"/>
    <col min="6657" max="6657" width="4.44140625" style="675" customWidth="1"/>
    <col min="6658" max="6658" width="36.21875" style="675" customWidth="1"/>
    <col min="6659" max="6660" width="5.109375" style="675" customWidth="1"/>
    <col min="6661" max="6664" width="7.21875" style="675" customWidth="1"/>
    <col min="6665" max="6666" width="8.88671875" style="675" customWidth="1"/>
    <col min="6667" max="6912" width="8.88671875" style="675"/>
    <col min="6913" max="6913" width="4.44140625" style="675" customWidth="1"/>
    <col min="6914" max="6914" width="36.21875" style="675" customWidth="1"/>
    <col min="6915" max="6916" width="5.109375" style="675" customWidth="1"/>
    <col min="6917" max="6920" width="7.21875" style="675" customWidth="1"/>
    <col min="6921" max="6922" width="8.88671875" style="675" customWidth="1"/>
    <col min="6923" max="7168" width="8.88671875" style="675"/>
    <col min="7169" max="7169" width="4.44140625" style="675" customWidth="1"/>
    <col min="7170" max="7170" width="36.21875" style="675" customWidth="1"/>
    <col min="7171" max="7172" width="5.109375" style="675" customWidth="1"/>
    <col min="7173" max="7176" width="7.21875" style="675" customWidth="1"/>
    <col min="7177" max="7178" width="8.88671875" style="675" customWidth="1"/>
    <col min="7179" max="7424" width="8.88671875" style="675"/>
    <col min="7425" max="7425" width="4.44140625" style="675" customWidth="1"/>
    <col min="7426" max="7426" width="36.21875" style="675" customWidth="1"/>
    <col min="7427" max="7428" width="5.109375" style="675" customWidth="1"/>
    <col min="7429" max="7432" width="7.21875" style="675" customWidth="1"/>
    <col min="7433" max="7434" width="8.88671875" style="675" customWidth="1"/>
    <col min="7435" max="7680" width="8.88671875" style="675"/>
    <col min="7681" max="7681" width="4.44140625" style="675" customWidth="1"/>
    <col min="7682" max="7682" width="36.21875" style="675" customWidth="1"/>
    <col min="7683" max="7684" width="5.109375" style="675" customWidth="1"/>
    <col min="7685" max="7688" width="7.21875" style="675" customWidth="1"/>
    <col min="7689" max="7690" width="8.88671875" style="675" customWidth="1"/>
    <col min="7691" max="7936" width="8.88671875" style="675"/>
    <col min="7937" max="7937" width="4.44140625" style="675" customWidth="1"/>
    <col min="7938" max="7938" width="36.21875" style="675" customWidth="1"/>
    <col min="7939" max="7940" width="5.109375" style="675" customWidth="1"/>
    <col min="7941" max="7944" width="7.21875" style="675" customWidth="1"/>
    <col min="7945" max="7946" width="8.88671875" style="675" customWidth="1"/>
    <col min="7947" max="8192" width="8.88671875" style="675"/>
    <col min="8193" max="8193" width="4.44140625" style="675" customWidth="1"/>
    <col min="8194" max="8194" width="36.21875" style="675" customWidth="1"/>
    <col min="8195" max="8196" width="5.109375" style="675" customWidth="1"/>
    <col min="8197" max="8200" width="7.21875" style="675" customWidth="1"/>
    <col min="8201" max="8202" width="8.88671875" style="675" customWidth="1"/>
    <col min="8203" max="8448" width="8.88671875" style="675"/>
    <col min="8449" max="8449" width="4.44140625" style="675" customWidth="1"/>
    <col min="8450" max="8450" width="36.21875" style="675" customWidth="1"/>
    <col min="8451" max="8452" width="5.109375" style="675" customWidth="1"/>
    <col min="8453" max="8456" width="7.21875" style="675" customWidth="1"/>
    <col min="8457" max="8458" width="8.88671875" style="675" customWidth="1"/>
    <col min="8459" max="8704" width="8.88671875" style="675"/>
    <col min="8705" max="8705" width="4.44140625" style="675" customWidth="1"/>
    <col min="8706" max="8706" width="36.21875" style="675" customWidth="1"/>
    <col min="8707" max="8708" width="5.109375" style="675" customWidth="1"/>
    <col min="8709" max="8712" width="7.21875" style="675" customWidth="1"/>
    <col min="8713" max="8714" width="8.88671875" style="675" customWidth="1"/>
    <col min="8715" max="8960" width="8.88671875" style="675"/>
    <col min="8961" max="8961" width="4.44140625" style="675" customWidth="1"/>
    <col min="8962" max="8962" width="36.21875" style="675" customWidth="1"/>
    <col min="8963" max="8964" width="5.109375" style="675" customWidth="1"/>
    <col min="8965" max="8968" width="7.21875" style="675" customWidth="1"/>
    <col min="8969" max="8970" width="8.88671875" style="675" customWidth="1"/>
    <col min="8971" max="9216" width="8.88671875" style="675"/>
    <col min="9217" max="9217" width="4.44140625" style="675" customWidth="1"/>
    <col min="9218" max="9218" width="36.21875" style="675" customWidth="1"/>
    <col min="9219" max="9220" width="5.109375" style="675" customWidth="1"/>
    <col min="9221" max="9224" width="7.21875" style="675" customWidth="1"/>
    <col min="9225" max="9226" width="8.88671875" style="675" customWidth="1"/>
    <col min="9227" max="9472" width="8.88671875" style="675"/>
    <col min="9473" max="9473" width="4.44140625" style="675" customWidth="1"/>
    <col min="9474" max="9474" width="36.21875" style="675" customWidth="1"/>
    <col min="9475" max="9476" width="5.109375" style="675" customWidth="1"/>
    <col min="9477" max="9480" width="7.21875" style="675" customWidth="1"/>
    <col min="9481" max="9482" width="8.88671875" style="675" customWidth="1"/>
    <col min="9483" max="9728" width="8.88671875" style="675"/>
    <col min="9729" max="9729" width="4.44140625" style="675" customWidth="1"/>
    <col min="9730" max="9730" width="36.21875" style="675" customWidth="1"/>
    <col min="9731" max="9732" width="5.109375" style="675" customWidth="1"/>
    <col min="9733" max="9736" width="7.21875" style="675" customWidth="1"/>
    <col min="9737" max="9738" width="8.88671875" style="675" customWidth="1"/>
    <col min="9739" max="9984" width="8.88671875" style="675"/>
    <col min="9985" max="9985" width="4.44140625" style="675" customWidth="1"/>
    <col min="9986" max="9986" width="36.21875" style="675" customWidth="1"/>
    <col min="9987" max="9988" width="5.109375" style="675" customWidth="1"/>
    <col min="9989" max="9992" width="7.21875" style="675" customWidth="1"/>
    <col min="9993" max="9994" width="8.88671875" style="675" customWidth="1"/>
    <col min="9995" max="10240" width="8.88671875" style="675"/>
    <col min="10241" max="10241" width="4.44140625" style="675" customWidth="1"/>
    <col min="10242" max="10242" width="36.21875" style="675" customWidth="1"/>
    <col min="10243" max="10244" width="5.109375" style="675" customWidth="1"/>
    <col min="10245" max="10248" width="7.21875" style="675" customWidth="1"/>
    <col min="10249" max="10250" width="8.88671875" style="675" customWidth="1"/>
    <col min="10251" max="10496" width="8.88671875" style="675"/>
    <col min="10497" max="10497" width="4.44140625" style="675" customWidth="1"/>
    <col min="10498" max="10498" width="36.21875" style="675" customWidth="1"/>
    <col min="10499" max="10500" width="5.109375" style="675" customWidth="1"/>
    <col min="10501" max="10504" width="7.21875" style="675" customWidth="1"/>
    <col min="10505" max="10506" width="8.88671875" style="675" customWidth="1"/>
    <col min="10507" max="10752" width="8.88671875" style="675"/>
    <col min="10753" max="10753" width="4.44140625" style="675" customWidth="1"/>
    <col min="10754" max="10754" width="36.21875" style="675" customWidth="1"/>
    <col min="10755" max="10756" width="5.109375" style="675" customWidth="1"/>
    <col min="10757" max="10760" width="7.21875" style="675" customWidth="1"/>
    <col min="10761" max="10762" width="8.88671875" style="675" customWidth="1"/>
    <col min="10763" max="11008" width="8.88671875" style="675"/>
    <col min="11009" max="11009" width="4.44140625" style="675" customWidth="1"/>
    <col min="11010" max="11010" width="36.21875" style="675" customWidth="1"/>
    <col min="11011" max="11012" width="5.109375" style="675" customWidth="1"/>
    <col min="11013" max="11016" width="7.21875" style="675" customWidth="1"/>
    <col min="11017" max="11018" width="8.88671875" style="675" customWidth="1"/>
    <col min="11019" max="11264" width="8.88671875" style="675"/>
    <col min="11265" max="11265" width="4.44140625" style="675" customWidth="1"/>
    <col min="11266" max="11266" width="36.21875" style="675" customWidth="1"/>
    <col min="11267" max="11268" width="5.109375" style="675" customWidth="1"/>
    <col min="11269" max="11272" width="7.21875" style="675" customWidth="1"/>
    <col min="11273" max="11274" width="8.88671875" style="675" customWidth="1"/>
    <col min="11275" max="11520" width="8.88671875" style="675"/>
    <col min="11521" max="11521" width="4.44140625" style="675" customWidth="1"/>
    <col min="11522" max="11522" width="36.21875" style="675" customWidth="1"/>
    <col min="11523" max="11524" width="5.109375" style="675" customWidth="1"/>
    <col min="11525" max="11528" width="7.21875" style="675" customWidth="1"/>
    <col min="11529" max="11530" width="8.88671875" style="675" customWidth="1"/>
    <col min="11531" max="11776" width="8.88671875" style="675"/>
    <col min="11777" max="11777" width="4.44140625" style="675" customWidth="1"/>
    <col min="11778" max="11778" width="36.21875" style="675" customWidth="1"/>
    <col min="11779" max="11780" width="5.109375" style="675" customWidth="1"/>
    <col min="11781" max="11784" width="7.21875" style="675" customWidth="1"/>
    <col min="11785" max="11786" width="8.88671875" style="675" customWidth="1"/>
    <col min="11787" max="12032" width="8.88671875" style="675"/>
    <col min="12033" max="12033" width="4.44140625" style="675" customWidth="1"/>
    <col min="12034" max="12034" width="36.21875" style="675" customWidth="1"/>
    <col min="12035" max="12036" width="5.109375" style="675" customWidth="1"/>
    <col min="12037" max="12040" width="7.21875" style="675" customWidth="1"/>
    <col min="12041" max="12042" width="8.88671875" style="675" customWidth="1"/>
    <col min="12043" max="12288" width="8.88671875" style="675"/>
    <col min="12289" max="12289" width="4.44140625" style="675" customWidth="1"/>
    <col min="12290" max="12290" width="36.21875" style="675" customWidth="1"/>
    <col min="12291" max="12292" width="5.109375" style="675" customWidth="1"/>
    <col min="12293" max="12296" width="7.21875" style="675" customWidth="1"/>
    <col min="12297" max="12298" width="8.88671875" style="675" customWidth="1"/>
    <col min="12299" max="12544" width="8.88671875" style="675"/>
    <col min="12545" max="12545" width="4.44140625" style="675" customWidth="1"/>
    <col min="12546" max="12546" width="36.21875" style="675" customWidth="1"/>
    <col min="12547" max="12548" width="5.109375" style="675" customWidth="1"/>
    <col min="12549" max="12552" width="7.21875" style="675" customWidth="1"/>
    <col min="12553" max="12554" width="8.88671875" style="675" customWidth="1"/>
    <col min="12555" max="12800" width="8.88671875" style="675"/>
    <col min="12801" max="12801" width="4.44140625" style="675" customWidth="1"/>
    <col min="12802" max="12802" width="36.21875" style="675" customWidth="1"/>
    <col min="12803" max="12804" width="5.109375" style="675" customWidth="1"/>
    <col min="12805" max="12808" width="7.21875" style="675" customWidth="1"/>
    <col min="12809" max="12810" width="8.88671875" style="675" customWidth="1"/>
    <col min="12811" max="13056" width="8.88671875" style="675"/>
    <col min="13057" max="13057" width="4.44140625" style="675" customWidth="1"/>
    <col min="13058" max="13058" width="36.21875" style="675" customWidth="1"/>
    <col min="13059" max="13060" width="5.109375" style="675" customWidth="1"/>
    <col min="13061" max="13064" width="7.21875" style="675" customWidth="1"/>
    <col min="13065" max="13066" width="8.88671875" style="675" customWidth="1"/>
    <col min="13067" max="13312" width="8.88671875" style="675"/>
    <col min="13313" max="13313" width="4.44140625" style="675" customWidth="1"/>
    <col min="13314" max="13314" width="36.21875" style="675" customWidth="1"/>
    <col min="13315" max="13316" width="5.109375" style="675" customWidth="1"/>
    <col min="13317" max="13320" width="7.21875" style="675" customWidth="1"/>
    <col min="13321" max="13322" width="8.88671875" style="675" customWidth="1"/>
    <col min="13323" max="13568" width="8.88671875" style="675"/>
    <col min="13569" max="13569" width="4.44140625" style="675" customWidth="1"/>
    <col min="13570" max="13570" width="36.21875" style="675" customWidth="1"/>
    <col min="13571" max="13572" width="5.109375" style="675" customWidth="1"/>
    <col min="13573" max="13576" width="7.21875" style="675" customWidth="1"/>
    <col min="13577" max="13578" width="8.88671875" style="675" customWidth="1"/>
    <col min="13579" max="13824" width="8.88671875" style="675"/>
    <col min="13825" max="13825" width="4.44140625" style="675" customWidth="1"/>
    <col min="13826" max="13826" width="36.21875" style="675" customWidth="1"/>
    <col min="13827" max="13828" width="5.109375" style="675" customWidth="1"/>
    <col min="13829" max="13832" width="7.21875" style="675" customWidth="1"/>
    <col min="13833" max="13834" width="8.88671875" style="675" customWidth="1"/>
    <col min="13835" max="14080" width="8.88671875" style="675"/>
    <col min="14081" max="14081" width="4.44140625" style="675" customWidth="1"/>
    <col min="14082" max="14082" width="36.21875" style="675" customWidth="1"/>
    <col min="14083" max="14084" width="5.109375" style="675" customWidth="1"/>
    <col min="14085" max="14088" width="7.21875" style="675" customWidth="1"/>
    <col min="14089" max="14090" width="8.88671875" style="675" customWidth="1"/>
    <col min="14091" max="14336" width="8.88671875" style="675"/>
    <col min="14337" max="14337" width="4.44140625" style="675" customWidth="1"/>
    <col min="14338" max="14338" width="36.21875" style="675" customWidth="1"/>
    <col min="14339" max="14340" width="5.109375" style="675" customWidth="1"/>
    <col min="14341" max="14344" width="7.21875" style="675" customWidth="1"/>
    <col min="14345" max="14346" width="8.88671875" style="675" customWidth="1"/>
    <col min="14347" max="14592" width="8.88671875" style="675"/>
    <col min="14593" max="14593" width="4.44140625" style="675" customWidth="1"/>
    <col min="14594" max="14594" width="36.21875" style="675" customWidth="1"/>
    <col min="14595" max="14596" width="5.109375" style="675" customWidth="1"/>
    <col min="14597" max="14600" width="7.21875" style="675" customWidth="1"/>
    <col min="14601" max="14602" width="8.88671875" style="675" customWidth="1"/>
    <col min="14603" max="14848" width="8.88671875" style="675"/>
    <col min="14849" max="14849" width="4.44140625" style="675" customWidth="1"/>
    <col min="14850" max="14850" width="36.21875" style="675" customWidth="1"/>
    <col min="14851" max="14852" width="5.109375" style="675" customWidth="1"/>
    <col min="14853" max="14856" width="7.21875" style="675" customWidth="1"/>
    <col min="14857" max="14858" width="8.88671875" style="675" customWidth="1"/>
    <col min="14859" max="15104" width="8.88671875" style="675"/>
    <col min="15105" max="15105" width="4.44140625" style="675" customWidth="1"/>
    <col min="15106" max="15106" width="36.21875" style="675" customWidth="1"/>
    <col min="15107" max="15108" width="5.109375" style="675" customWidth="1"/>
    <col min="15109" max="15112" width="7.21875" style="675" customWidth="1"/>
    <col min="15113" max="15114" width="8.88671875" style="675" customWidth="1"/>
    <col min="15115" max="15360" width="8.88671875" style="675"/>
    <col min="15361" max="15361" width="4.44140625" style="675" customWidth="1"/>
    <col min="15362" max="15362" width="36.21875" style="675" customWidth="1"/>
    <col min="15363" max="15364" width="5.109375" style="675" customWidth="1"/>
    <col min="15365" max="15368" width="7.21875" style="675" customWidth="1"/>
    <col min="15369" max="15370" width="8.88671875" style="675" customWidth="1"/>
    <col min="15371" max="15616" width="8.88671875" style="675"/>
    <col min="15617" max="15617" width="4.44140625" style="675" customWidth="1"/>
    <col min="15618" max="15618" width="36.21875" style="675" customWidth="1"/>
    <col min="15619" max="15620" width="5.109375" style="675" customWidth="1"/>
    <col min="15621" max="15624" width="7.21875" style="675" customWidth="1"/>
    <col min="15625" max="15626" width="8.88671875" style="675" customWidth="1"/>
    <col min="15627" max="15872" width="8.88671875" style="675"/>
    <col min="15873" max="15873" width="4.44140625" style="675" customWidth="1"/>
    <col min="15874" max="15874" width="36.21875" style="675" customWidth="1"/>
    <col min="15875" max="15876" width="5.109375" style="675" customWidth="1"/>
    <col min="15877" max="15880" width="7.21875" style="675" customWidth="1"/>
    <col min="15881" max="15882" width="8.88671875" style="675" customWidth="1"/>
    <col min="15883" max="16128" width="8.88671875" style="675"/>
    <col min="16129" max="16129" width="4.44140625" style="675" customWidth="1"/>
    <col min="16130" max="16130" width="36.21875" style="675" customWidth="1"/>
    <col min="16131" max="16132" width="5.109375" style="675" customWidth="1"/>
    <col min="16133" max="16136" width="7.21875" style="675" customWidth="1"/>
    <col min="16137" max="16138" width="8.88671875" style="675" customWidth="1"/>
    <col min="16139" max="16384" width="8.88671875" style="675"/>
  </cols>
  <sheetData>
    <row r="1" spans="1:8" ht="24.95" customHeight="1">
      <c r="A1" s="1092" t="s">
        <v>2403</v>
      </c>
      <c r="B1" s="1092"/>
      <c r="C1" s="1092"/>
      <c r="D1" s="1092"/>
      <c r="E1" s="1092"/>
      <c r="F1" s="1092"/>
      <c r="G1" s="1092"/>
      <c r="H1" s="1092"/>
    </row>
    <row r="2" spans="1:8" ht="24.95" customHeight="1">
      <c r="A2" s="1092" t="s">
        <v>3478</v>
      </c>
      <c r="B2" s="1092"/>
      <c r="C2" s="1092"/>
      <c r="D2" s="1092"/>
      <c r="E2" s="1092"/>
      <c r="F2" s="1092"/>
      <c r="G2" s="1092"/>
      <c r="H2" s="1092"/>
    </row>
    <row r="3" spans="1:8" ht="74.25" customHeight="1">
      <c r="A3" s="1092" t="str">
        <f>'Sullage Drain'!A2:I2</f>
        <v>Name of work:  Construction of Urban Police Station Building at Nachiyarkoil in Thanjavur District under Announcement made by the Hon’ble Chief Minister for the year 2023 - 2024</v>
      </c>
      <c r="B3" s="1092"/>
      <c r="C3" s="1092"/>
      <c r="D3" s="1092"/>
      <c r="E3" s="1092"/>
      <c r="F3" s="1092"/>
      <c r="G3" s="1092"/>
      <c r="H3" s="1092"/>
    </row>
    <row r="4" spans="1:8" ht="10.15" customHeight="1">
      <c r="A4" s="676"/>
      <c r="B4" s="676"/>
      <c r="C4" s="676"/>
      <c r="D4" s="676"/>
      <c r="E4" s="676"/>
      <c r="F4" s="676"/>
      <c r="G4" s="676"/>
      <c r="H4" s="676"/>
    </row>
    <row r="5" spans="1:8" ht="25.15" customHeight="1">
      <c r="A5" s="1092" t="s">
        <v>4576</v>
      </c>
      <c r="B5" s="1092"/>
      <c r="C5" s="1092"/>
      <c r="D5" s="1092"/>
      <c r="E5" s="1092"/>
      <c r="F5" s="1092"/>
      <c r="G5" s="1092"/>
      <c r="H5" s="1092"/>
    </row>
    <row r="6" spans="1:8" ht="10.15" customHeight="1">
      <c r="A6" s="676"/>
      <c r="B6" s="676"/>
      <c r="C6" s="676"/>
      <c r="D6" s="676"/>
      <c r="E6" s="676"/>
      <c r="F6" s="676"/>
      <c r="G6" s="676"/>
      <c r="H6" s="676"/>
    </row>
    <row r="7" spans="1:8" ht="25.15" customHeight="1">
      <c r="A7" s="1093" t="s">
        <v>4402</v>
      </c>
      <c r="B7" s="1093"/>
      <c r="C7" s="1093"/>
      <c r="D7" s="1093"/>
      <c r="E7" s="1093"/>
      <c r="F7" s="1093"/>
      <c r="G7" s="1093"/>
      <c r="H7" s="1093"/>
    </row>
    <row r="8" spans="1:8" ht="24.95" customHeight="1">
      <c r="A8" s="1094" t="s">
        <v>3601</v>
      </c>
      <c r="B8" s="1095" t="s">
        <v>4404</v>
      </c>
      <c r="C8" s="1096" t="s">
        <v>838</v>
      </c>
      <c r="D8" s="1096"/>
      <c r="E8" s="1095" t="s">
        <v>4511</v>
      </c>
      <c r="F8" s="1095"/>
      <c r="G8" s="1095"/>
      <c r="H8" s="1095" t="s">
        <v>1720</v>
      </c>
    </row>
    <row r="9" spans="1:8" ht="24.95" customHeight="1">
      <c r="A9" s="1094"/>
      <c r="B9" s="1095"/>
      <c r="C9" s="1096"/>
      <c r="D9" s="1096"/>
      <c r="E9" s="677" t="s">
        <v>4387</v>
      </c>
      <c r="F9" s="677" t="s">
        <v>3293</v>
      </c>
      <c r="G9" s="677" t="s">
        <v>3294</v>
      </c>
      <c r="H9" s="1095"/>
    </row>
    <row r="10" spans="1:8" ht="90" customHeight="1">
      <c r="A10" s="678">
        <v>1</v>
      </c>
      <c r="B10" s="1089" t="s">
        <v>4577</v>
      </c>
      <c r="C10" s="1090"/>
      <c r="D10" s="1090"/>
      <c r="E10" s="1090"/>
      <c r="F10" s="1090"/>
      <c r="G10" s="1091"/>
      <c r="H10" s="679"/>
    </row>
    <row r="11" spans="1:8" ht="24.95" customHeight="1">
      <c r="A11" s="678"/>
      <c r="B11" s="680" t="s">
        <v>4578</v>
      </c>
      <c r="C11" s="681"/>
      <c r="D11" s="681"/>
      <c r="E11" s="679"/>
      <c r="F11" s="682"/>
      <c r="G11" s="682"/>
      <c r="H11" s="683"/>
    </row>
    <row r="12" spans="1:8" ht="24.95" customHeight="1">
      <c r="A12" s="678"/>
      <c r="B12" s="680" t="s">
        <v>4579</v>
      </c>
      <c r="C12" s="681">
        <v>2</v>
      </c>
      <c r="D12" s="681">
        <v>6</v>
      </c>
      <c r="E12" s="679">
        <v>0.75</v>
      </c>
      <c r="F12" s="679">
        <f>+E12</f>
        <v>0.75</v>
      </c>
      <c r="G12" s="679">
        <v>1.2</v>
      </c>
      <c r="H12" s="679">
        <f>PRODUCT(C12:G12)</f>
        <v>8.1</v>
      </c>
    </row>
    <row r="13" spans="1:8" ht="24.95" customHeight="1">
      <c r="A13" s="678"/>
      <c r="B13" s="680" t="s">
        <v>4580</v>
      </c>
      <c r="C13" s="681">
        <v>2</v>
      </c>
      <c r="D13" s="681">
        <v>4</v>
      </c>
      <c r="E13" s="679">
        <v>0.45</v>
      </c>
      <c r="F13" s="679">
        <f>+E13</f>
        <v>0.45</v>
      </c>
      <c r="G13" s="679">
        <v>0.75</v>
      </c>
      <c r="H13" s="679">
        <f t="shared" ref="H13:H18" si="0">PRODUCT(C13:G13)</f>
        <v>1.22</v>
      </c>
    </row>
    <row r="14" spans="1:8" ht="24.95" customHeight="1">
      <c r="A14" s="678"/>
      <c r="B14" s="680" t="s">
        <v>4581</v>
      </c>
      <c r="C14" s="681">
        <v>2</v>
      </c>
      <c r="D14" s="681">
        <v>1</v>
      </c>
      <c r="E14" s="684">
        <v>27.08</v>
      </c>
      <c r="F14" s="679">
        <v>0.45</v>
      </c>
      <c r="G14" s="679">
        <v>0.5</v>
      </c>
      <c r="H14" s="679">
        <f t="shared" si="0"/>
        <v>12.19</v>
      </c>
    </row>
    <row r="15" spans="1:8" ht="24.95" customHeight="1">
      <c r="A15" s="678"/>
      <c r="B15" s="680" t="s">
        <v>4582</v>
      </c>
      <c r="C15" s="681">
        <v>2</v>
      </c>
      <c r="D15" s="681">
        <v>1</v>
      </c>
      <c r="E15" s="684">
        <v>4.54</v>
      </c>
      <c r="F15" s="679">
        <f>+F14</f>
        <v>0.45</v>
      </c>
      <c r="G15" s="679">
        <f>+G14</f>
        <v>0.5</v>
      </c>
      <c r="H15" s="679">
        <f t="shared" si="0"/>
        <v>2.04</v>
      </c>
    </row>
    <row r="16" spans="1:8" ht="24.95" customHeight="1">
      <c r="A16" s="678"/>
      <c r="B16" s="680" t="s">
        <v>4583</v>
      </c>
      <c r="C16" s="681">
        <v>-2</v>
      </c>
      <c r="D16" s="681">
        <f>+D12</f>
        <v>6</v>
      </c>
      <c r="E16" s="684">
        <f>+E12</f>
        <v>0.75</v>
      </c>
      <c r="F16" s="679">
        <f>+F14</f>
        <v>0.45</v>
      </c>
      <c r="G16" s="679">
        <f>+G14</f>
        <v>0.5</v>
      </c>
      <c r="H16" s="679">
        <f t="shared" si="0"/>
        <v>-2.0299999999999998</v>
      </c>
    </row>
    <row r="17" spans="1:8" ht="24.95" customHeight="1">
      <c r="A17" s="678"/>
      <c r="B17" s="680" t="s">
        <v>4584</v>
      </c>
      <c r="C17" s="681">
        <v>-2</v>
      </c>
      <c r="D17" s="681">
        <f>+D13</f>
        <v>4</v>
      </c>
      <c r="E17" s="684">
        <f>+E13</f>
        <v>0.45</v>
      </c>
      <c r="F17" s="679">
        <f>+F14</f>
        <v>0.45</v>
      </c>
      <c r="G17" s="679">
        <f>+G14</f>
        <v>0.5</v>
      </c>
      <c r="H17" s="679">
        <f t="shared" si="0"/>
        <v>-0.81</v>
      </c>
    </row>
    <row r="18" spans="1:8" ht="24.95" customHeight="1">
      <c r="A18" s="678"/>
      <c r="B18" s="680" t="s">
        <v>3796</v>
      </c>
      <c r="C18" s="681">
        <v>2</v>
      </c>
      <c r="D18" s="681">
        <v>2</v>
      </c>
      <c r="E18" s="684">
        <v>10.54</v>
      </c>
      <c r="F18" s="679">
        <v>0.45</v>
      </c>
      <c r="G18" s="679">
        <v>0.75</v>
      </c>
      <c r="H18" s="679">
        <f t="shared" si="0"/>
        <v>14.23</v>
      </c>
    </row>
    <row r="19" spans="1:8" ht="24.95" customHeight="1">
      <c r="A19" s="678"/>
      <c r="B19" s="680"/>
      <c r="C19" s="681"/>
      <c r="D19" s="681"/>
      <c r="E19" s="684"/>
      <c r="F19" s="679"/>
      <c r="G19" s="679"/>
      <c r="H19" s="679">
        <v>0.06</v>
      </c>
    </row>
    <row r="20" spans="1:8" ht="24.95" customHeight="1">
      <c r="A20" s="678"/>
      <c r="B20" s="680"/>
      <c r="C20" s="681"/>
      <c r="D20" s="681"/>
      <c r="E20" s="679"/>
      <c r="F20" s="679"/>
      <c r="G20" s="682" t="s">
        <v>1827</v>
      </c>
      <c r="H20" s="682">
        <f>SUM(H12:H19)</f>
        <v>35</v>
      </c>
    </row>
    <row r="21" spans="1:8" ht="24.95" customHeight="1">
      <c r="A21" s="678"/>
      <c r="B21" s="680"/>
      <c r="C21" s="681"/>
      <c r="D21" s="681"/>
      <c r="E21" s="679"/>
      <c r="F21" s="682" t="s">
        <v>2460</v>
      </c>
      <c r="G21" s="682">
        <f>+H20</f>
        <v>35</v>
      </c>
      <c r="H21" s="683" t="s">
        <v>1749</v>
      </c>
    </row>
    <row r="22" spans="1:8" ht="60" customHeight="1">
      <c r="A22" s="678">
        <f>+A10+1</f>
        <v>2</v>
      </c>
      <c r="B22" s="1085" t="s">
        <v>4585</v>
      </c>
      <c r="C22" s="1086"/>
      <c r="D22" s="1086"/>
      <c r="E22" s="1086"/>
      <c r="F22" s="1086"/>
      <c r="G22" s="1087"/>
      <c r="H22" s="679"/>
    </row>
    <row r="23" spans="1:8" ht="24.95" customHeight="1">
      <c r="A23" s="678"/>
      <c r="B23" s="680" t="s">
        <v>4579</v>
      </c>
      <c r="C23" s="681">
        <v>2</v>
      </c>
      <c r="D23" s="681">
        <f>+D12</f>
        <v>6</v>
      </c>
      <c r="E23" s="679">
        <f>+E12</f>
        <v>0.75</v>
      </c>
      <c r="F23" s="679">
        <f>+F12</f>
        <v>0.75</v>
      </c>
      <c r="G23" s="679">
        <v>0.15</v>
      </c>
      <c r="H23" s="679">
        <f>PRODUCT(C23:G23)</f>
        <v>1.01</v>
      </c>
    </row>
    <row r="24" spans="1:8" ht="24.95" customHeight="1">
      <c r="A24" s="678"/>
      <c r="B24" s="680" t="s">
        <v>4581</v>
      </c>
      <c r="C24" s="681">
        <v>2</v>
      </c>
      <c r="D24" s="681">
        <f t="shared" ref="D24:F25" si="1">+D14</f>
        <v>1</v>
      </c>
      <c r="E24" s="684">
        <f t="shared" si="1"/>
        <v>27.08</v>
      </c>
      <c r="F24" s="679">
        <f t="shared" si="1"/>
        <v>0.45</v>
      </c>
      <c r="G24" s="679">
        <v>0.1</v>
      </c>
      <c r="H24" s="679">
        <f t="shared" ref="H24:H30" si="2">PRODUCT(C24:G24)</f>
        <v>2.44</v>
      </c>
    </row>
    <row r="25" spans="1:8" ht="24.95" customHeight="1">
      <c r="A25" s="678"/>
      <c r="B25" s="680" t="s">
        <v>4582</v>
      </c>
      <c r="C25" s="681">
        <v>2</v>
      </c>
      <c r="D25" s="681">
        <f t="shared" si="1"/>
        <v>1</v>
      </c>
      <c r="E25" s="684">
        <f t="shared" si="1"/>
        <v>4.54</v>
      </c>
      <c r="F25" s="679">
        <f t="shared" si="1"/>
        <v>0.45</v>
      </c>
      <c r="G25" s="679">
        <f>+G24</f>
        <v>0.1</v>
      </c>
      <c r="H25" s="679">
        <f t="shared" si="2"/>
        <v>0.41</v>
      </c>
    </row>
    <row r="26" spans="1:8" ht="24.95" customHeight="1">
      <c r="A26" s="678"/>
      <c r="B26" s="680" t="s">
        <v>4583</v>
      </c>
      <c r="C26" s="681">
        <v>-2</v>
      </c>
      <c r="D26" s="681">
        <f>+D23</f>
        <v>6</v>
      </c>
      <c r="E26" s="684">
        <f>+E23</f>
        <v>0.75</v>
      </c>
      <c r="F26" s="679">
        <f>+F24</f>
        <v>0.45</v>
      </c>
      <c r="G26" s="679">
        <f>+G24</f>
        <v>0.1</v>
      </c>
      <c r="H26" s="679">
        <f t="shared" si="2"/>
        <v>-0.41</v>
      </c>
    </row>
    <row r="27" spans="1:8" ht="24.95" customHeight="1">
      <c r="A27" s="678"/>
      <c r="B27" s="680" t="s">
        <v>4584</v>
      </c>
      <c r="C27" s="681">
        <v>-2</v>
      </c>
      <c r="D27" s="681">
        <f>+D17</f>
        <v>4</v>
      </c>
      <c r="E27" s="684">
        <f>+E17</f>
        <v>0.45</v>
      </c>
      <c r="F27" s="679">
        <f>+F24</f>
        <v>0.45</v>
      </c>
      <c r="G27" s="679">
        <f>+G24</f>
        <v>0.1</v>
      </c>
      <c r="H27" s="679">
        <f t="shared" si="2"/>
        <v>-0.16</v>
      </c>
    </row>
    <row r="28" spans="1:8" ht="24.95" customHeight="1">
      <c r="A28" s="678"/>
      <c r="B28" s="680" t="s">
        <v>3796</v>
      </c>
      <c r="C28" s="681">
        <v>2</v>
      </c>
      <c r="D28" s="681">
        <f>+D18</f>
        <v>2</v>
      </c>
      <c r="E28" s="684">
        <f>+E18</f>
        <v>10.54</v>
      </c>
      <c r="F28" s="679">
        <f>+F18</f>
        <v>0.45</v>
      </c>
      <c r="G28" s="679">
        <v>0.15</v>
      </c>
      <c r="H28" s="679">
        <f t="shared" si="2"/>
        <v>2.85</v>
      </c>
    </row>
    <row r="29" spans="1:8" ht="24.95" customHeight="1">
      <c r="A29" s="678"/>
      <c r="B29" s="680" t="s">
        <v>4586</v>
      </c>
      <c r="C29" s="681">
        <v>2</v>
      </c>
      <c r="D29" s="681">
        <v>2</v>
      </c>
      <c r="E29" s="685">
        <v>4.1550000000000002</v>
      </c>
      <c r="F29" s="679">
        <v>4.54</v>
      </c>
      <c r="G29" s="679">
        <v>0.25</v>
      </c>
      <c r="H29" s="679">
        <f t="shared" si="2"/>
        <v>18.86</v>
      </c>
    </row>
    <row r="30" spans="1:8" ht="24.95" customHeight="1">
      <c r="A30" s="678"/>
      <c r="B30" s="680" t="s">
        <v>4587</v>
      </c>
      <c r="C30" s="686">
        <v>1</v>
      </c>
      <c r="D30" s="681">
        <f>+D28</f>
        <v>2</v>
      </c>
      <c r="E30" s="684">
        <v>8.5399999999999991</v>
      </c>
      <c r="F30" s="685">
        <v>0.51300000000000001</v>
      </c>
      <c r="G30" s="685">
        <v>0.23100000000000001</v>
      </c>
      <c r="H30" s="679">
        <f t="shared" si="2"/>
        <v>2.02</v>
      </c>
    </row>
    <row r="31" spans="1:8" ht="24.95" customHeight="1">
      <c r="A31" s="678"/>
      <c r="B31" s="680"/>
      <c r="C31" s="681"/>
      <c r="D31" s="681"/>
      <c r="E31" s="679"/>
      <c r="F31" s="684"/>
      <c r="G31" s="679"/>
      <c r="H31" s="679">
        <v>0.08</v>
      </c>
    </row>
    <row r="32" spans="1:8" ht="24.95" customHeight="1">
      <c r="A32" s="678"/>
      <c r="B32" s="687"/>
      <c r="C32" s="681"/>
      <c r="D32" s="681"/>
      <c r="E32" s="679"/>
      <c r="F32" s="679"/>
      <c r="G32" s="682" t="s">
        <v>1827</v>
      </c>
      <c r="H32" s="682">
        <f>SUM(H23:H31)</f>
        <v>27.1</v>
      </c>
    </row>
    <row r="33" spans="1:8" ht="24.95" customHeight="1">
      <c r="A33" s="678"/>
      <c r="B33" s="687"/>
      <c r="C33" s="681"/>
      <c r="D33" s="681"/>
      <c r="E33" s="679"/>
      <c r="F33" s="682" t="s">
        <v>2460</v>
      </c>
      <c r="G33" s="682">
        <f>+H32</f>
        <v>27.1</v>
      </c>
      <c r="H33" s="683" t="s">
        <v>1749</v>
      </c>
    </row>
    <row r="34" spans="1:8" ht="94.9" customHeight="1">
      <c r="A34" s="678">
        <f>+A22+1</f>
        <v>3</v>
      </c>
      <c r="B34" s="1085" t="s">
        <v>4588</v>
      </c>
      <c r="C34" s="1086"/>
      <c r="D34" s="1086"/>
      <c r="E34" s="1086"/>
      <c r="F34" s="1086"/>
      <c r="G34" s="1087"/>
      <c r="H34" s="679"/>
    </row>
    <row r="35" spans="1:8" ht="24.95" customHeight="1">
      <c r="A35" s="678"/>
      <c r="B35" s="680" t="s">
        <v>4563</v>
      </c>
      <c r="C35" s="681"/>
      <c r="D35" s="681"/>
      <c r="E35" s="679"/>
      <c r="F35" s="682"/>
      <c r="G35" s="682"/>
      <c r="H35" s="683"/>
    </row>
    <row r="36" spans="1:8" ht="24.95" customHeight="1">
      <c r="A36" s="678"/>
      <c r="B36" s="680" t="s">
        <v>4579</v>
      </c>
      <c r="C36" s="681">
        <v>2</v>
      </c>
      <c r="D36" s="681">
        <f>+D23</f>
        <v>6</v>
      </c>
      <c r="E36" s="679">
        <f>+E23</f>
        <v>0.75</v>
      </c>
      <c r="F36" s="679">
        <f>+F23</f>
        <v>0.75</v>
      </c>
      <c r="G36" s="679">
        <v>0.2</v>
      </c>
      <c r="H36" s="679">
        <f>PRODUCT(C36:G36)</f>
        <v>1.35</v>
      </c>
    </row>
    <row r="37" spans="1:8" ht="24.95" customHeight="1">
      <c r="A37" s="678"/>
      <c r="B37" s="680" t="s">
        <v>4589</v>
      </c>
      <c r="C37" s="681">
        <v>2</v>
      </c>
      <c r="D37" s="681">
        <f>+D36</f>
        <v>6</v>
      </c>
      <c r="E37" s="679">
        <v>0.23</v>
      </c>
      <c r="F37" s="679">
        <v>0.23</v>
      </c>
      <c r="G37" s="679">
        <v>0.52</v>
      </c>
      <c r="H37" s="679">
        <f>PRODUCT(C37:G37)</f>
        <v>0.33</v>
      </c>
    </row>
    <row r="38" spans="1:8" ht="24.95" customHeight="1">
      <c r="A38" s="678"/>
      <c r="B38" s="680" t="s">
        <v>4590</v>
      </c>
      <c r="C38" s="681">
        <v>2</v>
      </c>
      <c r="D38" s="681">
        <f>+D24</f>
        <v>1</v>
      </c>
      <c r="E38" s="679">
        <f>+E24</f>
        <v>27.08</v>
      </c>
      <c r="F38" s="679">
        <v>0.23</v>
      </c>
      <c r="G38" s="679">
        <v>0.23</v>
      </c>
      <c r="H38" s="679">
        <f>PRODUCT(C38:G38)</f>
        <v>2.87</v>
      </c>
    </row>
    <row r="39" spans="1:8" ht="24.95" customHeight="1">
      <c r="A39" s="678"/>
      <c r="B39" s="680" t="s">
        <v>4591</v>
      </c>
      <c r="C39" s="681">
        <v>2</v>
      </c>
      <c r="D39" s="681">
        <f>+D25</f>
        <v>1</v>
      </c>
      <c r="E39" s="679">
        <f>+E25</f>
        <v>4.54</v>
      </c>
      <c r="F39" s="679">
        <v>0.23</v>
      </c>
      <c r="G39" s="679">
        <f>+G38</f>
        <v>0.23</v>
      </c>
      <c r="H39" s="679">
        <f>PRODUCT(C39:G39)</f>
        <v>0.48</v>
      </c>
    </row>
    <row r="40" spans="1:8" ht="24.95" customHeight="1">
      <c r="A40" s="678"/>
      <c r="B40" s="680" t="s">
        <v>4592</v>
      </c>
      <c r="C40" s="681">
        <v>-2</v>
      </c>
      <c r="D40" s="681">
        <f>+D27</f>
        <v>4</v>
      </c>
      <c r="E40" s="684">
        <f>+E27</f>
        <v>0.45</v>
      </c>
      <c r="F40" s="679">
        <f>+F39</f>
        <v>0.23</v>
      </c>
      <c r="G40" s="679">
        <f>+G39</f>
        <v>0.23</v>
      </c>
      <c r="H40" s="679">
        <f>PRODUCT(C40:G40)</f>
        <v>-0.19</v>
      </c>
    </row>
    <row r="41" spans="1:8" ht="24.95" customHeight="1">
      <c r="A41" s="678"/>
      <c r="B41" s="680"/>
      <c r="C41" s="681"/>
      <c r="D41" s="681"/>
      <c r="E41" s="679"/>
      <c r="F41" s="679"/>
      <c r="G41" s="679"/>
      <c r="H41" s="679">
        <v>0.06</v>
      </c>
    </row>
    <row r="42" spans="1:8" ht="24.95" customHeight="1">
      <c r="A42" s="678"/>
      <c r="B42" s="680"/>
      <c r="C42" s="681"/>
      <c r="D42" s="681"/>
      <c r="E42" s="679"/>
      <c r="F42" s="679"/>
      <c r="G42" s="682" t="s">
        <v>1827</v>
      </c>
      <c r="H42" s="682">
        <f>SUM(H36:H41)</f>
        <v>4.9000000000000004</v>
      </c>
    </row>
    <row r="43" spans="1:8" ht="24.95" customHeight="1">
      <c r="A43" s="678"/>
      <c r="B43" s="680"/>
      <c r="C43" s="681"/>
      <c r="D43" s="681"/>
      <c r="E43" s="679"/>
      <c r="F43" s="682" t="s">
        <v>2460</v>
      </c>
      <c r="G43" s="682">
        <f>+H42</f>
        <v>4.9000000000000004</v>
      </c>
      <c r="H43" s="683" t="s">
        <v>1749</v>
      </c>
    </row>
    <row r="44" spans="1:8" ht="94.9" customHeight="1">
      <c r="A44" s="678">
        <f>+A34+1</f>
        <v>4</v>
      </c>
      <c r="B44" s="1085" t="s">
        <v>4593</v>
      </c>
      <c r="C44" s="1086"/>
      <c r="D44" s="1086"/>
      <c r="E44" s="1086"/>
      <c r="F44" s="1086"/>
      <c r="G44" s="1087"/>
      <c r="H44" s="679"/>
    </row>
    <row r="45" spans="1:8" ht="24.95" customHeight="1">
      <c r="A45" s="678"/>
      <c r="B45" s="680" t="s">
        <v>4580</v>
      </c>
      <c r="C45" s="681">
        <v>2</v>
      </c>
      <c r="D45" s="681">
        <f>+D13</f>
        <v>4</v>
      </c>
      <c r="E45" s="679">
        <f>+E13</f>
        <v>0.45</v>
      </c>
      <c r="F45" s="679">
        <f>+F13</f>
        <v>0.45</v>
      </c>
      <c r="G45" s="684">
        <v>0.75</v>
      </c>
      <c r="H45" s="679">
        <f>PRODUCT(C45:G45)</f>
        <v>1.22</v>
      </c>
    </row>
    <row r="46" spans="1:8" ht="24.95" customHeight="1">
      <c r="A46" s="678"/>
      <c r="B46" s="680"/>
      <c r="C46" s="681">
        <v>2</v>
      </c>
      <c r="D46" s="681">
        <f>+D45</f>
        <v>4</v>
      </c>
      <c r="E46" s="679">
        <v>0.3</v>
      </c>
      <c r="F46" s="679">
        <v>0.3</v>
      </c>
      <c r="G46" s="684">
        <v>0.15</v>
      </c>
      <c r="H46" s="679">
        <f>PRODUCT(C46:G46)</f>
        <v>0.11</v>
      </c>
    </row>
    <row r="47" spans="1:8" ht="24.95" customHeight="1">
      <c r="A47" s="678"/>
      <c r="B47" s="680" t="s">
        <v>4586</v>
      </c>
      <c r="C47" s="681">
        <v>2</v>
      </c>
      <c r="D47" s="681">
        <f>+D29</f>
        <v>2</v>
      </c>
      <c r="E47" s="685">
        <f>+E29</f>
        <v>4.1550000000000002</v>
      </c>
      <c r="F47" s="679">
        <f>+F29</f>
        <v>4.54</v>
      </c>
      <c r="G47" s="684">
        <v>0.05</v>
      </c>
      <c r="H47" s="679">
        <f>PRODUCT(C47:G47)</f>
        <v>3.77</v>
      </c>
    </row>
    <row r="48" spans="1:8" ht="24.95" customHeight="1">
      <c r="A48" s="678"/>
      <c r="B48" s="680" t="s">
        <v>4587</v>
      </c>
      <c r="C48" s="681">
        <v>2</v>
      </c>
      <c r="D48" s="681">
        <f>+D30</f>
        <v>2</v>
      </c>
      <c r="E48" s="684">
        <f>+E30</f>
        <v>8.5399999999999991</v>
      </c>
      <c r="F48" s="685">
        <v>0.84399999999999997</v>
      </c>
      <c r="G48" s="684">
        <v>0.05</v>
      </c>
      <c r="H48" s="679">
        <f>PRODUCT(C48:G48)</f>
        <v>1.44</v>
      </c>
    </row>
    <row r="49" spans="1:8" ht="24.95" customHeight="1">
      <c r="A49" s="678"/>
      <c r="B49" s="680"/>
      <c r="C49" s="681"/>
      <c r="D49" s="681"/>
      <c r="E49" s="684"/>
      <c r="F49" s="679"/>
      <c r="G49" s="685"/>
      <c r="H49" s="679">
        <v>0.06</v>
      </c>
    </row>
    <row r="50" spans="1:8" ht="24.95" customHeight="1">
      <c r="A50" s="678"/>
      <c r="B50" s="680"/>
      <c r="C50" s="681"/>
      <c r="D50" s="681"/>
      <c r="E50" s="679"/>
      <c r="F50" s="679"/>
      <c r="G50" s="682" t="s">
        <v>1827</v>
      </c>
      <c r="H50" s="682">
        <f>SUM(H45:H49)</f>
        <v>6.6</v>
      </c>
    </row>
    <row r="51" spans="1:8" ht="24.95" customHeight="1">
      <c r="A51" s="678"/>
      <c r="B51" s="680"/>
      <c r="C51" s="681"/>
      <c r="D51" s="681"/>
      <c r="E51" s="679"/>
      <c r="F51" s="682" t="s">
        <v>2460</v>
      </c>
      <c r="G51" s="682">
        <f>+H50</f>
        <v>6.6</v>
      </c>
      <c r="H51" s="683" t="s">
        <v>1749</v>
      </c>
    </row>
    <row r="52" spans="1:8" ht="75" customHeight="1">
      <c r="A52" s="678">
        <f>+A44+1</f>
        <v>5</v>
      </c>
      <c r="B52" s="1085" t="s">
        <v>4594</v>
      </c>
      <c r="C52" s="1086"/>
      <c r="D52" s="1086"/>
      <c r="E52" s="1086"/>
      <c r="F52" s="1086"/>
      <c r="G52" s="1087"/>
      <c r="H52" s="679"/>
    </row>
    <row r="53" spans="1:8" ht="24.95" customHeight="1">
      <c r="A53" s="678"/>
      <c r="B53" s="680" t="s">
        <v>4595</v>
      </c>
      <c r="C53" s="681">
        <v>2</v>
      </c>
      <c r="D53" s="681">
        <f>+D24</f>
        <v>1</v>
      </c>
      <c r="E53" s="679">
        <f>+E24</f>
        <v>27.08</v>
      </c>
      <c r="F53" s="679">
        <v>0.23</v>
      </c>
      <c r="G53" s="684">
        <v>0.45</v>
      </c>
      <c r="H53" s="679">
        <f>PRODUCT(C53:G53)</f>
        <v>5.61</v>
      </c>
    </row>
    <row r="54" spans="1:8" ht="24.95" customHeight="1">
      <c r="A54" s="678"/>
      <c r="B54" s="680" t="s">
        <v>4596</v>
      </c>
      <c r="C54" s="681">
        <v>2</v>
      </c>
      <c r="D54" s="681">
        <f>+D25</f>
        <v>1</v>
      </c>
      <c r="E54" s="679">
        <f>+E25</f>
        <v>4.54</v>
      </c>
      <c r="F54" s="679">
        <v>0.23</v>
      </c>
      <c r="G54" s="679">
        <f>+G53</f>
        <v>0.45</v>
      </c>
      <c r="H54" s="679">
        <f>PRODUCT(C54:G54)</f>
        <v>0.94</v>
      </c>
    </row>
    <row r="55" spans="1:8" ht="24.95" customHeight="1">
      <c r="A55" s="678"/>
      <c r="B55" s="680" t="s">
        <v>3796</v>
      </c>
      <c r="C55" s="681">
        <v>2</v>
      </c>
      <c r="D55" s="681">
        <f>+D28</f>
        <v>2</v>
      </c>
      <c r="E55" s="679">
        <f>+E28</f>
        <v>10.54</v>
      </c>
      <c r="F55" s="679">
        <v>0.23</v>
      </c>
      <c r="G55" s="685">
        <f>(0.45+0.9)/2</f>
        <v>0.67500000000000004</v>
      </c>
      <c r="H55" s="679">
        <f>PRODUCT(C55:G55)</f>
        <v>6.55</v>
      </c>
    </row>
    <row r="56" spans="1:8" ht="24.95" customHeight="1">
      <c r="A56" s="678"/>
      <c r="B56" s="680" t="s">
        <v>4584</v>
      </c>
      <c r="C56" s="681">
        <v>-2</v>
      </c>
      <c r="D56" s="681">
        <f>+D27</f>
        <v>4</v>
      </c>
      <c r="E56" s="684">
        <f>+E27</f>
        <v>0.45</v>
      </c>
      <c r="F56" s="679">
        <f>+F53</f>
        <v>0.23</v>
      </c>
      <c r="G56" s="679">
        <f>+G53</f>
        <v>0.45</v>
      </c>
      <c r="H56" s="679">
        <f>PRODUCT(C56:G56)</f>
        <v>-0.37</v>
      </c>
    </row>
    <row r="57" spans="1:8" ht="24.95" customHeight="1">
      <c r="A57" s="678"/>
      <c r="B57" s="688"/>
      <c r="C57" s="681"/>
      <c r="D57" s="681"/>
      <c r="E57" s="684"/>
      <c r="F57" s="679"/>
      <c r="G57" s="679"/>
      <c r="H57" s="679">
        <v>7.0000000000000007E-2</v>
      </c>
    </row>
    <row r="58" spans="1:8" ht="24.95" customHeight="1">
      <c r="A58" s="678"/>
      <c r="B58" s="680"/>
      <c r="C58" s="681"/>
      <c r="D58" s="681"/>
      <c r="E58" s="679"/>
      <c r="F58" s="679"/>
      <c r="G58" s="682" t="s">
        <v>1827</v>
      </c>
      <c r="H58" s="682">
        <f>SUM(H53:H57)</f>
        <v>12.8</v>
      </c>
    </row>
    <row r="59" spans="1:8" ht="24.95" customHeight="1">
      <c r="A59" s="678"/>
      <c r="B59" s="680"/>
      <c r="C59" s="681"/>
      <c r="D59" s="681"/>
      <c r="E59" s="679"/>
      <c r="F59" s="682" t="s">
        <v>2460</v>
      </c>
      <c r="G59" s="682">
        <f>+H58</f>
        <v>12.8</v>
      </c>
      <c r="H59" s="683" t="s">
        <v>1749</v>
      </c>
    </row>
    <row r="60" spans="1:8" ht="75" customHeight="1">
      <c r="A60" s="678">
        <f>+A52+1</f>
        <v>6</v>
      </c>
      <c r="B60" s="1085" t="s">
        <v>4597</v>
      </c>
      <c r="C60" s="1086"/>
      <c r="D60" s="1086"/>
      <c r="E60" s="1086"/>
      <c r="F60" s="1086"/>
      <c r="G60" s="1087"/>
      <c r="H60" s="679"/>
    </row>
    <row r="61" spans="1:8" ht="24.95" customHeight="1">
      <c r="A61" s="678"/>
      <c r="B61" s="680" t="s">
        <v>4579</v>
      </c>
      <c r="C61" s="681">
        <v>2</v>
      </c>
      <c r="D61" s="681">
        <f t="shared" ref="D61:F63" si="3">+D23</f>
        <v>6</v>
      </c>
      <c r="E61" s="679">
        <f t="shared" si="3"/>
        <v>0.75</v>
      </c>
      <c r="F61" s="679">
        <f t="shared" si="3"/>
        <v>0.75</v>
      </c>
      <c r="G61" s="679">
        <v>0.1</v>
      </c>
      <c r="H61" s="679">
        <f>PRODUCT(C61:G61)</f>
        <v>0.68</v>
      </c>
    </row>
    <row r="62" spans="1:8" ht="24.95" customHeight="1">
      <c r="A62" s="678"/>
      <c r="B62" s="680" t="s">
        <v>4581</v>
      </c>
      <c r="C62" s="681">
        <v>2</v>
      </c>
      <c r="D62" s="681">
        <f t="shared" si="3"/>
        <v>1</v>
      </c>
      <c r="E62" s="684">
        <f t="shared" si="3"/>
        <v>27.08</v>
      </c>
      <c r="F62" s="679">
        <f t="shared" si="3"/>
        <v>0.45</v>
      </c>
      <c r="G62" s="679">
        <v>0.1</v>
      </c>
      <c r="H62" s="679">
        <f t="shared" ref="H62:H68" si="4">PRODUCT(C62:G62)</f>
        <v>2.44</v>
      </c>
    </row>
    <row r="63" spans="1:8" ht="24.95" customHeight="1">
      <c r="A63" s="678"/>
      <c r="B63" s="680" t="s">
        <v>4582</v>
      </c>
      <c r="C63" s="681">
        <v>2</v>
      </c>
      <c r="D63" s="681">
        <f t="shared" si="3"/>
        <v>1</v>
      </c>
      <c r="E63" s="684">
        <f t="shared" si="3"/>
        <v>4.54</v>
      </c>
      <c r="F63" s="679">
        <f t="shared" si="3"/>
        <v>0.45</v>
      </c>
      <c r="G63" s="679">
        <f>+G62</f>
        <v>0.1</v>
      </c>
      <c r="H63" s="679">
        <f t="shared" si="4"/>
        <v>0.41</v>
      </c>
    </row>
    <row r="64" spans="1:8" ht="24.95" customHeight="1">
      <c r="A64" s="678"/>
      <c r="B64" s="680" t="s">
        <v>4583</v>
      </c>
      <c r="C64" s="681">
        <v>-2</v>
      </c>
      <c r="D64" s="681">
        <f>+D61</f>
        <v>6</v>
      </c>
      <c r="E64" s="684">
        <f>+E61</f>
        <v>0.75</v>
      </c>
      <c r="F64" s="679">
        <f>+F62</f>
        <v>0.45</v>
      </c>
      <c r="G64" s="679">
        <f>+G62</f>
        <v>0.1</v>
      </c>
      <c r="H64" s="679">
        <f t="shared" si="4"/>
        <v>-0.41</v>
      </c>
    </row>
    <row r="65" spans="1:8" ht="24.95" customHeight="1">
      <c r="A65" s="678"/>
      <c r="B65" s="680" t="s">
        <v>4592</v>
      </c>
      <c r="C65" s="681">
        <v>-2</v>
      </c>
      <c r="D65" s="681">
        <f t="shared" ref="D65:E68" si="5">+D27</f>
        <v>4</v>
      </c>
      <c r="E65" s="684">
        <f t="shared" si="5"/>
        <v>0.45</v>
      </c>
      <c r="F65" s="679">
        <f>+F62</f>
        <v>0.45</v>
      </c>
      <c r="G65" s="679">
        <f>+G62</f>
        <v>0.1</v>
      </c>
      <c r="H65" s="679">
        <f t="shared" si="4"/>
        <v>-0.16</v>
      </c>
    </row>
    <row r="66" spans="1:8" ht="24.95" customHeight="1">
      <c r="A66" s="678"/>
      <c r="B66" s="680" t="s">
        <v>3796</v>
      </c>
      <c r="C66" s="681">
        <v>2</v>
      </c>
      <c r="D66" s="681">
        <f t="shared" si="5"/>
        <v>2</v>
      </c>
      <c r="E66" s="684">
        <f t="shared" si="5"/>
        <v>10.54</v>
      </c>
      <c r="F66" s="679">
        <f>+F28</f>
        <v>0.45</v>
      </c>
      <c r="G66" s="679">
        <v>0.15</v>
      </c>
      <c r="H66" s="679">
        <f t="shared" si="4"/>
        <v>2.85</v>
      </c>
    </row>
    <row r="67" spans="1:8" ht="24.95" customHeight="1">
      <c r="A67" s="678"/>
      <c r="B67" s="680" t="s">
        <v>4586</v>
      </c>
      <c r="C67" s="681">
        <v>2</v>
      </c>
      <c r="D67" s="681">
        <f t="shared" si="5"/>
        <v>2</v>
      </c>
      <c r="E67" s="685">
        <f t="shared" si="5"/>
        <v>4.1550000000000002</v>
      </c>
      <c r="F67" s="679">
        <f>+F29</f>
        <v>4.54</v>
      </c>
      <c r="G67" s="679">
        <v>0.15</v>
      </c>
      <c r="H67" s="679">
        <f t="shared" si="4"/>
        <v>11.32</v>
      </c>
    </row>
    <row r="68" spans="1:8" ht="24.95" customHeight="1">
      <c r="A68" s="678"/>
      <c r="B68" s="680" t="s">
        <v>4587</v>
      </c>
      <c r="C68" s="681">
        <v>2</v>
      </c>
      <c r="D68" s="681">
        <f t="shared" si="5"/>
        <v>2</v>
      </c>
      <c r="E68" s="684">
        <f t="shared" si="5"/>
        <v>8.5399999999999991</v>
      </c>
      <c r="F68" s="685">
        <v>0.84399999999999997</v>
      </c>
      <c r="G68" s="684">
        <v>0.15</v>
      </c>
      <c r="H68" s="679">
        <f t="shared" si="4"/>
        <v>4.32</v>
      </c>
    </row>
    <row r="69" spans="1:8" ht="24.95" customHeight="1">
      <c r="A69" s="678"/>
      <c r="B69" s="680"/>
      <c r="C69" s="681"/>
      <c r="D69" s="681"/>
      <c r="E69" s="679"/>
      <c r="F69" s="679"/>
      <c r="G69" s="679"/>
      <c r="H69" s="679">
        <v>0.05</v>
      </c>
    </row>
    <row r="70" spans="1:8" ht="24.95" customHeight="1">
      <c r="A70" s="678"/>
      <c r="B70" s="680"/>
      <c r="C70" s="681"/>
      <c r="D70" s="681"/>
      <c r="E70" s="679"/>
      <c r="F70" s="679"/>
      <c r="G70" s="682" t="s">
        <v>1827</v>
      </c>
      <c r="H70" s="682">
        <f>SUM(H61:H69)</f>
        <v>21.5</v>
      </c>
    </row>
    <row r="71" spans="1:8" ht="24.95" customHeight="1">
      <c r="A71" s="678"/>
      <c r="B71" s="680"/>
      <c r="C71" s="681"/>
      <c r="D71" s="681"/>
      <c r="E71" s="679"/>
      <c r="F71" s="682" t="s">
        <v>2460</v>
      </c>
      <c r="G71" s="682">
        <f>+H70</f>
        <v>21.5</v>
      </c>
      <c r="H71" s="683" t="s">
        <v>1749</v>
      </c>
    </row>
    <row r="72" spans="1:8" ht="90" customHeight="1">
      <c r="A72" s="678">
        <f>+A60+1</f>
        <v>7</v>
      </c>
      <c r="B72" s="1085" t="s">
        <v>4598</v>
      </c>
      <c r="C72" s="1086"/>
      <c r="D72" s="1086"/>
      <c r="E72" s="1086"/>
      <c r="F72" s="1086"/>
      <c r="G72" s="1087"/>
      <c r="H72" s="679"/>
    </row>
    <row r="73" spans="1:8" ht="24.95" customHeight="1">
      <c r="A73" s="678"/>
      <c r="B73" s="680" t="s">
        <v>4599</v>
      </c>
      <c r="C73" s="681"/>
      <c r="D73" s="681"/>
      <c r="E73" s="679"/>
      <c r="F73" s="682"/>
      <c r="G73" s="682"/>
      <c r="H73" s="683"/>
    </row>
    <row r="74" spans="1:8" ht="24.95" customHeight="1">
      <c r="A74" s="678"/>
      <c r="B74" s="680" t="s">
        <v>4600</v>
      </c>
      <c r="C74" s="681">
        <v>2</v>
      </c>
      <c r="D74" s="681">
        <v>2</v>
      </c>
      <c r="E74" s="684">
        <v>5</v>
      </c>
      <c r="F74" s="679">
        <v>0.23</v>
      </c>
      <c r="G74" s="679">
        <v>2.6</v>
      </c>
      <c r="H74" s="679">
        <f>PRODUCT(C74:G74)</f>
        <v>11.96</v>
      </c>
    </row>
    <row r="75" spans="1:8" ht="24.95" customHeight="1">
      <c r="A75" s="678"/>
      <c r="B75" s="689"/>
      <c r="C75" s="681" t="s">
        <v>4601</v>
      </c>
      <c r="D75" s="686">
        <v>0.5</v>
      </c>
      <c r="E75" s="684">
        <v>0.5</v>
      </c>
      <c r="F75" s="679">
        <v>0.23</v>
      </c>
      <c r="G75" s="679">
        <v>2.6</v>
      </c>
      <c r="H75" s="679">
        <f>G75*F75*E75*D75*4*2</f>
        <v>1.2</v>
      </c>
    </row>
    <row r="76" spans="1:8" ht="24.95" customHeight="1">
      <c r="A76" s="678"/>
      <c r="B76" s="689"/>
      <c r="C76" s="681" t="s">
        <v>4601</v>
      </c>
      <c r="D76" s="686">
        <v>0.5</v>
      </c>
      <c r="E76" s="684">
        <v>3</v>
      </c>
      <c r="F76" s="679">
        <v>0.23</v>
      </c>
      <c r="G76" s="679">
        <v>0.45</v>
      </c>
      <c r="H76" s="679">
        <f>G76*F76*E76*D76*4*2</f>
        <v>1.24</v>
      </c>
    </row>
    <row r="77" spans="1:8" ht="24.95" customHeight="1">
      <c r="A77" s="678"/>
      <c r="B77" s="680" t="s">
        <v>4602</v>
      </c>
      <c r="C77" s="681">
        <v>-2</v>
      </c>
      <c r="D77" s="681">
        <v>2</v>
      </c>
      <c r="E77" s="684">
        <v>1.2</v>
      </c>
      <c r="F77" s="679">
        <v>0.23</v>
      </c>
      <c r="G77" s="679">
        <v>1.2</v>
      </c>
      <c r="H77" s="679">
        <f>PRODUCT(C77:G77)</f>
        <v>-1.32</v>
      </c>
    </row>
    <row r="78" spans="1:8" ht="24.95" customHeight="1">
      <c r="A78" s="678"/>
      <c r="B78" s="680" t="s">
        <v>4603</v>
      </c>
      <c r="C78" s="681">
        <v>-2</v>
      </c>
      <c r="D78" s="681">
        <f>+D84</f>
        <v>2</v>
      </c>
      <c r="E78" s="684">
        <f>+E84</f>
        <v>6</v>
      </c>
      <c r="F78" s="679">
        <f>+F84</f>
        <v>0.23</v>
      </c>
      <c r="G78" s="679">
        <f>+G84</f>
        <v>0.12</v>
      </c>
      <c r="H78" s="679">
        <f>PRODUCT(C78:G78)</f>
        <v>-0.66</v>
      </c>
    </row>
    <row r="79" spans="1:8" ht="24.95" customHeight="1">
      <c r="A79" s="678"/>
      <c r="B79" s="680"/>
      <c r="C79" s="681"/>
      <c r="D79" s="681"/>
      <c r="E79" s="684"/>
      <c r="F79" s="679"/>
      <c r="G79" s="679"/>
      <c r="H79" s="679">
        <v>0.08</v>
      </c>
    </row>
    <row r="80" spans="1:8" ht="24.95" customHeight="1">
      <c r="A80" s="678"/>
      <c r="B80" s="680"/>
      <c r="C80" s="681"/>
      <c r="D80" s="681"/>
      <c r="E80" s="679"/>
      <c r="F80" s="679"/>
      <c r="G80" s="682" t="s">
        <v>1827</v>
      </c>
      <c r="H80" s="682">
        <f>SUM(H74:H79)</f>
        <v>12.5</v>
      </c>
    </row>
    <row r="81" spans="1:8" ht="24.95" customHeight="1">
      <c r="A81" s="678"/>
      <c r="B81" s="680"/>
      <c r="C81" s="681"/>
      <c r="D81" s="681"/>
      <c r="E81" s="679"/>
      <c r="F81" s="682" t="s">
        <v>2460</v>
      </c>
      <c r="G81" s="682">
        <f>+H80</f>
        <v>12.5</v>
      </c>
      <c r="H81" s="683" t="s">
        <v>1749</v>
      </c>
    </row>
    <row r="82" spans="1:8" ht="94.9" customHeight="1">
      <c r="A82" s="678">
        <v>8</v>
      </c>
      <c r="B82" s="1085" t="s">
        <v>4588</v>
      </c>
      <c r="C82" s="1086"/>
      <c r="D82" s="1086"/>
      <c r="E82" s="1086"/>
      <c r="F82" s="1086"/>
      <c r="G82" s="1087"/>
      <c r="H82" s="679"/>
    </row>
    <row r="83" spans="1:8" ht="24.95" customHeight="1">
      <c r="A83" s="678"/>
      <c r="B83" s="680" t="s">
        <v>4604</v>
      </c>
      <c r="C83" s="681"/>
      <c r="D83" s="681"/>
      <c r="E83" s="679"/>
      <c r="F83" s="682"/>
      <c r="G83" s="682"/>
      <c r="H83" s="683"/>
    </row>
    <row r="84" spans="1:8" ht="24.95" customHeight="1">
      <c r="A84" s="678"/>
      <c r="B84" s="680" t="s">
        <v>4605</v>
      </c>
      <c r="C84" s="681">
        <v>2</v>
      </c>
      <c r="D84" s="681">
        <v>2</v>
      </c>
      <c r="E84" s="684">
        <v>6</v>
      </c>
      <c r="F84" s="679">
        <v>0.23</v>
      </c>
      <c r="G84" s="679">
        <v>0.12</v>
      </c>
      <c r="H84" s="679">
        <f>PRODUCT(C84:G84)</f>
        <v>0.66</v>
      </c>
    </row>
    <row r="85" spans="1:8" ht="24.95" customHeight="1">
      <c r="A85" s="678"/>
      <c r="B85" s="680"/>
      <c r="C85" s="681"/>
      <c r="D85" s="681"/>
      <c r="E85" s="684"/>
      <c r="F85" s="679"/>
      <c r="G85" s="679"/>
      <c r="H85" s="679">
        <v>0.04</v>
      </c>
    </row>
    <row r="86" spans="1:8" ht="24.95" customHeight="1">
      <c r="A86" s="678"/>
      <c r="B86" s="680"/>
      <c r="C86" s="681"/>
      <c r="D86" s="681"/>
      <c r="E86" s="679"/>
      <c r="F86" s="679"/>
      <c r="G86" s="682" t="s">
        <v>1827</v>
      </c>
      <c r="H86" s="682">
        <f>SUM(H84:H85)</f>
        <v>0.7</v>
      </c>
    </row>
    <row r="87" spans="1:8" ht="24.95" customHeight="1">
      <c r="A87" s="678"/>
      <c r="B87" s="680"/>
      <c r="C87" s="681"/>
      <c r="D87" s="681"/>
      <c r="E87" s="679"/>
      <c r="F87" s="682" t="s">
        <v>2460</v>
      </c>
      <c r="G87" s="682">
        <f>+H86</f>
        <v>0.7</v>
      </c>
      <c r="H87" s="683" t="s">
        <v>1749</v>
      </c>
    </row>
    <row r="88" spans="1:8" ht="40.15" customHeight="1">
      <c r="A88" s="678">
        <f>+A82+1</f>
        <v>9</v>
      </c>
      <c r="B88" s="1085" t="s">
        <v>4606</v>
      </c>
      <c r="C88" s="1086"/>
      <c r="D88" s="1086"/>
      <c r="E88" s="1086"/>
      <c r="F88" s="1086"/>
      <c r="G88" s="1087"/>
      <c r="H88" s="679"/>
    </row>
    <row r="89" spans="1:8" ht="24.95" customHeight="1">
      <c r="A89" s="678"/>
      <c r="B89" s="680" t="s">
        <v>4599</v>
      </c>
      <c r="C89" s="681"/>
      <c r="D89" s="681"/>
      <c r="E89" s="679"/>
      <c r="F89" s="682"/>
      <c r="G89" s="682"/>
      <c r="H89" s="683"/>
    </row>
    <row r="90" spans="1:8" ht="24.95" customHeight="1">
      <c r="A90" s="678"/>
      <c r="B90" s="680" t="s">
        <v>4607</v>
      </c>
      <c r="C90" s="681">
        <v>2</v>
      </c>
      <c r="D90" s="681">
        <v>2</v>
      </c>
      <c r="E90" s="679">
        <v>1.2</v>
      </c>
      <c r="F90" s="679"/>
      <c r="G90" s="684">
        <v>1.2</v>
      </c>
      <c r="H90" s="679">
        <f>PRODUCT(C90:G90)</f>
        <v>5.76</v>
      </c>
    </row>
    <row r="91" spans="1:8" ht="24.95" customHeight="1">
      <c r="A91" s="678"/>
      <c r="B91" s="688"/>
      <c r="C91" s="681"/>
      <c r="D91" s="681"/>
      <c r="E91" s="684"/>
      <c r="F91" s="679"/>
      <c r="G91" s="684"/>
      <c r="H91" s="679">
        <v>0.04</v>
      </c>
    </row>
    <row r="92" spans="1:8" ht="24.95" customHeight="1">
      <c r="A92" s="678"/>
      <c r="B92" s="690"/>
      <c r="C92" s="681"/>
      <c r="D92" s="681"/>
      <c r="E92" s="679"/>
      <c r="F92" s="679"/>
      <c r="G92" s="682" t="s">
        <v>1827</v>
      </c>
      <c r="H92" s="682">
        <f>SUM(H90:H91)</f>
        <v>5.8</v>
      </c>
    </row>
    <row r="93" spans="1:8" ht="24.95" customHeight="1">
      <c r="A93" s="678"/>
      <c r="B93" s="690"/>
      <c r="C93" s="681"/>
      <c r="D93" s="681"/>
      <c r="E93" s="679"/>
      <c r="F93" s="682" t="s">
        <v>2460</v>
      </c>
      <c r="G93" s="682">
        <f>+H92</f>
        <v>5.8</v>
      </c>
      <c r="H93" s="683" t="s">
        <v>1861</v>
      </c>
    </row>
    <row r="94" spans="1:8" ht="60" customHeight="1">
      <c r="A94" s="678">
        <f>+A88+1</f>
        <v>10</v>
      </c>
      <c r="B94" s="1082" t="s">
        <v>4608</v>
      </c>
      <c r="C94" s="1083"/>
      <c r="D94" s="1083"/>
      <c r="E94" s="1083"/>
      <c r="F94" s="1083"/>
      <c r="G94" s="1084"/>
      <c r="H94" s="682"/>
    </row>
    <row r="95" spans="1:8" ht="24.95" customHeight="1">
      <c r="A95" s="678"/>
      <c r="B95" s="1085" t="s">
        <v>4609</v>
      </c>
      <c r="C95" s="1086"/>
      <c r="D95" s="1086"/>
      <c r="E95" s="1086"/>
      <c r="F95" s="1086"/>
      <c r="G95" s="1087"/>
      <c r="H95" s="679"/>
    </row>
    <row r="96" spans="1:8" ht="24.95" customHeight="1">
      <c r="A96" s="678"/>
      <c r="B96" s="680" t="s">
        <v>4579</v>
      </c>
      <c r="C96" s="681">
        <v>2</v>
      </c>
      <c r="D96" s="681">
        <f>+D36</f>
        <v>6</v>
      </c>
      <c r="E96" s="679">
        <f>(0.75+0.75)*2</f>
        <v>3</v>
      </c>
      <c r="F96" s="679"/>
      <c r="G96" s="679">
        <f>+G36</f>
        <v>0.2</v>
      </c>
      <c r="H96" s="679">
        <f>PRODUCT(C96:G96)</f>
        <v>7.2</v>
      </c>
    </row>
    <row r="97" spans="1:8" ht="33" customHeight="1">
      <c r="A97" s="678"/>
      <c r="B97" s="691" t="s">
        <v>4610</v>
      </c>
      <c r="C97" s="681">
        <v>4</v>
      </c>
      <c r="D97" s="681">
        <f t="shared" ref="D97:E99" si="6">+D38</f>
        <v>1</v>
      </c>
      <c r="E97" s="679">
        <f t="shared" si="6"/>
        <v>27.08</v>
      </c>
      <c r="F97" s="679"/>
      <c r="G97" s="679">
        <f>+G38</f>
        <v>0.23</v>
      </c>
      <c r="H97" s="679">
        <f>PRODUCT(C97:G97)</f>
        <v>24.91</v>
      </c>
    </row>
    <row r="98" spans="1:8" ht="24.95" customHeight="1">
      <c r="A98" s="678"/>
      <c r="B98" s="680" t="s">
        <v>4591</v>
      </c>
      <c r="C98" s="681">
        <v>4</v>
      </c>
      <c r="D98" s="681">
        <f t="shared" si="6"/>
        <v>1</v>
      </c>
      <c r="E98" s="679">
        <f t="shared" si="6"/>
        <v>4.54</v>
      </c>
      <c r="F98" s="679"/>
      <c r="G98" s="679">
        <f>+G39</f>
        <v>0.23</v>
      </c>
      <c r="H98" s="679">
        <f>PRODUCT(C98:G98)</f>
        <v>4.18</v>
      </c>
    </row>
    <row r="99" spans="1:8" ht="24.95" customHeight="1">
      <c r="A99" s="678"/>
      <c r="B99" s="680" t="s">
        <v>4584</v>
      </c>
      <c r="C99" s="681">
        <v>-4</v>
      </c>
      <c r="D99" s="681">
        <f t="shared" si="6"/>
        <v>4</v>
      </c>
      <c r="E99" s="684">
        <f t="shared" si="6"/>
        <v>0.45</v>
      </c>
      <c r="F99" s="679"/>
      <c r="G99" s="679">
        <f>+G98</f>
        <v>0.23</v>
      </c>
      <c r="H99" s="679">
        <f>PRODUCT(C99:G99)</f>
        <v>-1.66</v>
      </c>
    </row>
    <row r="100" spans="1:8" ht="24.95" customHeight="1">
      <c r="A100" s="678"/>
      <c r="B100" s="680"/>
      <c r="C100" s="681"/>
      <c r="D100" s="681"/>
      <c r="E100" s="684"/>
      <c r="F100" s="679"/>
      <c r="G100" s="679"/>
      <c r="H100" s="679">
        <v>7.0000000000000007E-2</v>
      </c>
    </row>
    <row r="101" spans="1:8" ht="24.95" customHeight="1">
      <c r="A101" s="678"/>
      <c r="B101" s="690"/>
      <c r="C101" s="681"/>
      <c r="D101" s="681"/>
      <c r="E101" s="679"/>
      <c r="F101" s="679"/>
      <c r="G101" s="682" t="s">
        <v>1827</v>
      </c>
      <c r="H101" s="682">
        <f>SUM(H96:H100)</f>
        <v>34.700000000000003</v>
      </c>
    </row>
    <row r="102" spans="1:8" ht="24.95" customHeight="1">
      <c r="A102" s="678"/>
      <c r="B102" s="690"/>
      <c r="C102" s="681"/>
      <c r="D102" s="681"/>
      <c r="E102" s="679"/>
      <c r="F102" s="682" t="s">
        <v>2460</v>
      </c>
      <c r="G102" s="682">
        <f>+H101</f>
        <v>34.700000000000003</v>
      </c>
      <c r="H102" s="683" t="s">
        <v>1861</v>
      </c>
    </row>
    <row r="103" spans="1:8" ht="40.15" customHeight="1">
      <c r="A103" s="678"/>
      <c r="B103" s="1085" t="s">
        <v>4611</v>
      </c>
      <c r="C103" s="1086"/>
      <c r="D103" s="1086"/>
      <c r="E103" s="1086"/>
      <c r="F103" s="1086"/>
      <c r="G103" s="1087"/>
      <c r="H103" s="679"/>
    </row>
    <row r="104" spans="1:8" ht="24.95" customHeight="1">
      <c r="A104" s="678"/>
      <c r="B104" s="680" t="s">
        <v>4612</v>
      </c>
      <c r="C104" s="681">
        <v>4</v>
      </c>
      <c r="D104" s="681">
        <f>+D84</f>
        <v>2</v>
      </c>
      <c r="E104" s="679">
        <f>+E84</f>
        <v>6</v>
      </c>
      <c r="F104" s="679"/>
      <c r="G104" s="679">
        <f>+G84</f>
        <v>0.12</v>
      </c>
      <c r="H104" s="679">
        <f>PRODUCT(C104:G104)</f>
        <v>5.76</v>
      </c>
    </row>
    <row r="105" spans="1:8" ht="24.95" customHeight="1">
      <c r="A105" s="678"/>
      <c r="B105" s="680"/>
      <c r="C105" s="681"/>
      <c r="D105" s="681"/>
      <c r="E105" s="679"/>
      <c r="F105" s="684"/>
      <c r="G105" s="684"/>
      <c r="H105" s="679">
        <v>0.04</v>
      </c>
    </row>
    <row r="106" spans="1:8" ht="24.95" customHeight="1">
      <c r="A106" s="678"/>
      <c r="B106" s="690"/>
      <c r="C106" s="681"/>
      <c r="D106" s="681"/>
      <c r="E106" s="679"/>
      <c r="F106" s="679"/>
      <c r="G106" s="682" t="s">
        <v>1827</v>
      </c>
      <c r="H106" s="682">
        <f>SUM(H104:H105)</f>
        <v>5.8</v>
      </c>
    </row>
    <row r="107" spans="1:8" ht="24.95" customHeight="1">
      <c r="A107" s="678"/>
      <c r="B107" s="690"/>
      <c r="C107" s="681"/>
      <c r="D107" s="681"/>
      <c r="E107" s="679"/>
      <c r="F107" s="682" t="s">
        <v>2460</v>
      </c>
      <c r="G107" s="682">
        <f>+H106</f>
        <v>5.8</v>
      </c>
      <c r="H107" s="683" t="s">
        <v>1861</v>
      </c>
    </row>
    <row r="108" spans="1:8" ht="40.15" customHeight="1">
      <c r="A108" s="678"/>
      <c r="B108" s="1085" t="s">
        <v>4613</v>
      </c>
      <c r="C108" s="1086"/>
      <c r="D108" s="1086"/>
      <c r="E108" s="1086"/>
      <c r="F108" s="1086"/>
      <c r="G108" s="1087"/>
      <c r="H108" s="679"/>
    </row>
    <row r="109" spans="1:8" ht="24.95" customHeight="1">
      <c r="A109" s="678"/>
      <c r="B109" s="680" t="s">
        <v>4589</v>
      </c>
      <c r="C109" s="681">
        <v>2</v>
      </c>
      <c r="D109" s="681">
        <f>+D37</f>
        <v>6</v>
      </c>
      <c r="E109" s="679">
        <f>0.23*4</f>
        <v>0.92</v>
      </c>
      <c r="F109" s="679"/>
      <c r="G109" s="679">
        <f>+G37</f>
        <v>0.52</v>
      </c>
      <c r="H109" s="679">
        <f>PRODUCT(C109:G109)</f>
        <v>5.74</v>
      </c>
    </row>
    <row r="110" spans="1:8" ht="24.95" customHeight="1">
      <c r="A110" s="678"/>
      <c r="B110" s="680"/>
      <c r="C110" s="681"/>
      <c r="D110" s="681"/>
      <c r="E110" s="679"/>
      <c r="F110" s="684"/>
      <c r="G110" s="684"/>
      <c r="H110" s="679">
        <v>0.06</v>
      </c>
    </row>
    <row r="111" spans="1:8" ht="24.95" customHeight="1">
      <c r="A111" s="678"/>
      <c r="B111" s="690"/>
      <c r="C111" s="681"/>
      <c r="D111" s="681"/>
      <c r="E111" s="679"/>
      <c r="F111" s="679"/>
      <c r="G111" s="682" t="s">
        <v>1827</v>
      </c>
      <c r="H111" s="682">
        <f>SUM(H109:H110)</f>
        <v>5.8</v>
      </c>
    </row>
    <row r="112" spans="1:8" ht="24.95" customHeight="1">
      <c r="A112" s="678"/>
      <c r="B112" s="689"/>
      <c r="C112" s="681"/>
      <c r="D112" s="681"/>
      <c r="E112" s="679"/>
      <c r="F112" s="682" t="s">
        <v>2460</v>
      </c>
      <c r="G112" s="682">
        <f>+H111</f>
        <v>5.8</v>
      </c>
      <c r="H112" s="683" t="s">
        <v>1861</v>
      </c>
    </row>
    <row r="113" spans="1:8" ht="60" customHeight="1">
      <c r="A113" s="678">
        <f>+A94+1</f>
        <v>11</v>
      </c>
      <c r="B113" s="1085" t="s">
        <v>4614</v>
      </c>
      <c r="C113" s="1086"/>
      <c r="D113" s="1086"/>
      <c r="E113" s="1086"/>
      <c r="F113" s="1086"/>
      <c r="G113" s="1087"/>
      <c r="H113" s="679"/>
    </row>
    <row r="114" spans="1:8" s="697" customFormat="1" ht="24.95" customHeight="1">
      <c r="A114" s="692"/>
      <c r="B114" s="693" t="s">
        <v>4264</v>
      </c>
      <c r="C114" s="694"/>
      <c r="D114" s="694"/>
      <c r="E114" s="695"/>
      <c r="F114" s="696">
        <f>G43</f>
        <v>4.9000000000000004</v>
      </c>
      <c r="G114" s="696">
        <v>120</v>
      </c>
      <c r="H114" s="696">
        <f>G114*F114</f>
        <v>588</v>
      </c>
    </row>
    <row r="115" spans="1:8" s="697" customFormat="1" ht="24.95" customHeight="1">
      <c r="A115" s="692"/>
      <c r="B115" s="693"/>
      <c r="C115" s="698"/>
      <c r="D115" s="698"/>
      <c r="E115" s="696"/>
      <c r="F115" s="699" t="s">
        <v>2460</v>
      </c>
      <c r="G115" s="700">
        <f>H114/1000</f>
        <v>0.58799999999999997</v>
      </c>
      <c r="H115" s="701" t="s">
        <v>427</v>
      </c>
    </row>
    <row r="116" spans="1:8" ht="60" customHeight="1">
      <c r="A116" s="678">
        <f>+A113+1</f>
        <v>12</v>
      </c>
      <c r="B116" s="1082" t="s">
        <v>4615</v>
      </c>
      <c r="C116" s="1083"/>
      <c r="D116" s="1083"/>
      <c r="E116" s="1083"/>
      <c r="F116" s="1083"/>
      <c r="G116" s="1084"/>
      <c r="H116" s="682"/>
    </row>
    <row r="117" spans="1:8" ht="25.15" customHeight="1">
      <c r="A117" s="678"/>
      <c r="B117" s="688" t="s">
        <v>4616</v>
      </c>
      <c r="C117" s="681">
        <v>2</v>
      </c>
      <c r="D117" s="681">
        <f>+D53</f>
        <v>1</v>
      </c>
      <c r="E117" s="679">
        <f>+E53</f>
        <v>27.08</v>
      </c>
      <c r="F117" s="679"/>
      <c r="G117" s="679">
        <f>+G53</f>
        <v>0.45</v>
      </c>
      <c r="H117" s="679">
        <f>PRODUCT(C117:G117)</f>
        <v>24.37</v>
      </c>
    </row>
    <row r="118" spans="1:8" ht="25.15" customHeight="1">
      <c r="A118" s="678"/>
      <c r="B118" s="691" t="s">
        <v>4617</v>
      </c>
      <c r="C118" s="681">
        <v>2</v>
      </c>
      <c r="D118" s="681">
        <f>+D54</f>
        <v>1</v>
      </c>
      <c r="E118" s="679">
        <f>+E54</f>
        <v>4.54</v>
      </c>
      <c r="F118" s="679"/>
      <c r="G118" s="684">
        <f>+G54</f>
        <v>0.45</v>
      </c>
      <c r="H118" s="679">
        <f>PRODUCT(C118:G118)</f>
        <v>4.09</v>
      </c>
    </row>
    <row r="119" spans="1:8" ht="24.95" customHeight="1">
      <c r="A119" s="678"/>
      <c r="B119" s="680" t="s">
        <v>4618</v>
      </c>
      <c r="C119" s="681">
        <v>2</v>
      </c>
      <c r="D119" s="681">
        <v>2</v>
      </c>
      <c r="E119" s="684">
        <v>5</v>
      </c>
      <c r="F119" s="679"/>
      <c r="G119" s="679">
        <v>2.6</v>
      </c>
      <c r="H119" s="679">
        <f>PRODUCT(C119:G119)</f>
        <v>52</v>
      </c>
    </row>
    <row r="120" spans="1:8" ht="24.95" customHeight="1">
      <c r="A120" s="678"/>
      <c r="B120" s="680"/>
      <c r="C120" s="681" t="s">
        <v>4619</v>
      </c>
      <c r="D120" s="686" t="s">
        <v>4620</v>
      </c>
      <c r="E120" s="684">
        <v>0.5</v>
      </c>
      <c r="F120" s="679"/>
      <c r="G120" s="679">
        <v>2.6</v>
      </c>
      <c r="H120" s="679">
        <f>G120*E120*0.5*2*2*4</f>
        <v>10.4</v>
      </c>
    </row>
    <row r="121" spans="1:8" ht="24.95" customHeight="1">
      <c r="A121" s="678"/>
      <c r="B121" s="680"/>
      <c r="C121" s="681" t="s">
        <v>4619</v>
      </c>
      <c r="D121" s="686" t="s">
        <v>4620</v>
      </c>
      <c r="E121" s="684">
        <v>3</v>
      </c>
      <c r="F121" s="679"/>
      <c r="G121" s="679">
        <v>0.45</v>
      </c>
      <c r="H121" s="679">
        <f>G121*E121*0.5*2*2*4</f>
        <v>10.8</v>
      </c>
    </row>
    <row r="122" spans="1:8" ht="24.95" customHeight="1">
      <c r="A122" s="678"/>
      <c r="B122" s="680" t="s">
        <v>4258</v>
      </c>
      <c r="C122" s="681">
        <v>1</v>
      </c>
      <c r="D122" s="681">
        <v>2</v>
      </c>
      <c r="E122" s="685">
        <v>6.1379999999999999</v>
      </c>
      <c r="F122" s="679">
        <v>0.23</v>
      </c>
      <c r="G122" s="679"/>
      <c r="H122" s="679">
        <f>PRODUCT(C122:G122)</f>
        <v>2.82</v>
      </c>
    </row>
    <row r="123" spans="1:8" ht="24.95" customHeight="1">
      <c r="A123" s="678"/>
      <c r="B123" s="680" t="s">
        <v>4602</v>
      </c>
      <c r="C123" s="681">
        <v>-2</v>
      </c>
      <c r="D123" s="681">
        <v>2</v>
      </c>
      <c r="E123" s="684">
        <v>1.2</v>
      </c>
      <c r="F123" s="679"/>
      <c r="G123" s="679">
        <v>1.2</v>
      </c>
      <c r="H123" s="679">
        <f>PRODUCT(C123:G123)</f>
        <v>-5.76</v>
      </c>
    </row>
    <row r="124" spans="1:8" ht="24.95" customHeight="1">
      <c r="A124" s="678"/>
      <c r="B124" s="680"/>
      <c r="C124" s="681"/>
      <c r="D124" s="681"/>
      <c r="E124" s="684"/>
      <c r="F124" s="679"/>
      <c r="G124" s="679"/>
      <c r="H124" s="679">
        <v>0.08</v>
      </c>
    </row>
    <row r="125" spans="1:8" ht="24.95" customHeight="1">
      <c r="A125" s="678"/>
      <c r="B125" s="690"/>
      <c r="C125" s="681"/>
      <c r="D125" s="681"/>
      <c r="E125" s="679"/>
      <c r="F125" s="679"/>
      <c r="G125" s="682" t="s">
        <v>1827</v>
      </c>
      <c r="H125" s="682">
        <f>SUM(H117:H124)</f>
        <v>98.8</v>
      </c>
    </row>
    <row r="126" spans="1:8" ht="24.95" customHeight="1">
      <c r="A126" s="678"/>
      <c r="B126" s="690"/>
      <c r="C126" s="681"/>
      <c r="D126" s="681"/>
      <c r="E126" s="679"/>
      <c r="F126" s="682" t="s">
        <v>2460</v>
      </c>
      <c r="G126" s="682">
        <f>+H125</f>
        <v>98.8</v>
      </c>
      <c r="H126" s="683" t="s">
        <v>1861</v>
      </c>
    </row>
    <row r="127" spans="1:8" ht="75" customHeight="1">
      <c r="A127" s="678">
        <f>+A116+1</f>
        <v>13</v>
      </c>
      <c r="B127" s="1082" t="s">
        <v>4621</v>
      </c>
      <c r="C127" s="1083"/>
      <c r="D127" s="1083"/>
      <c r="E127" s="1083"/>
      <c r="F127" s="1083"/>
      <c r="G127" s="1084"/>
      <c r="H127" s="682"/>
    </row>
    <row r="128" spans="1:8" ht="33" customHeight="1">
      <c r="A128" s="678"/>
      <c r="B128" s="688" t="s">
        <v>4616</v>
      </c>
      <c r="C128" s="681">
        <v>1</v>
      </c>
      <c r="D128" s="681">
        <f>+D53</f>
        <v>1</v>
      </c>
      <c r="E128" s="679">
        <f>+E53</f>
        <v>27.08</v>
      </c>
      <c r="F128" s="679"/>
      <c r="G128" s="679">
        <f>+G53</f>
        <v>0.45</v>
      </c>
      <c r="H128" s="679">
        <f>PRODUCT(C128:G128)</f>
        <v>12.19</v>
      </c>
    </row>
    <row r="129" spans="1:8" ht="24.95" customHeight="1">
      <c r="A129" s="678"/>
      <c r="B129" s="680" t="s">
        <v>4618</v>
      </c>
      <c r="C129" s="681">
        <v>1</v>
      </c>
      <c r="D129" s="681">
        <v>2</v>
      </c>
      <c r="E129" s="684">
        <v>5</v>
      </c>
      <c r="F129" s="679"/>
      <c r="G129" s="679">
        <v>2.6</v>
      </c>
      <c r="H129" s="679">
        <f>PRODUCT(C129:G129)</f>
        <v>26</v>
      </c>
    </row>
    <row r="130" spans="1:8" ht="24.95" customHeight="1">
      <c r="A130" s="678"/>
      <c r="B130" s="680"/>
      <c r="C130" s="681" t="s">
        <v>4619</v>
      </c>
      <c r="D130" s="686" t="s">
        <v>4620</v>
      </c>
      <c r="E130" s="684">
        <v>0.5</v>
      </c>
      <c r="F130" s="679"/>
      <c r="G130" s="679">
        <v>2.6</v>
      </c>
      <c r="H130" s="679">
        <f>G130*E130*0.5*2*2*4</f>
        <v>10.4</v>
      </c>
    </row>
    <row r="131" spans="1:8" ht="24.95" customHeight="1">
      <c r="A131" s="678"/>
      <c r="B131" s="680"/>
      <c r="C131" s="681" t="s">
        <v>4619</v>
      </c>
      <c r="D131" s="686" t="s">
        <v>4620</v>
      </c>
      <c r="E131" s="684">
        <v>3</v>
      </c>
      <c r="F131" s="679"/>
      <c r="G131" s="679">
        <v>0.45</v>
      </c>
      <c r="H131" s="679">
        <f>G131*E131*0.5*2*2*4</f>
        <v>10.8</v>
      </c>
    </row>
    <row r="132" spans="1:8" ht="24.95" customHeight="1">
      <c r="A132" s="678"/>
      <c r="B132" s="680" t="s">
        <v>4258</v>
      </c>
      <c r="C132" s="681">
        <v>1</v>
      </c>
      <c r="D132" s="681">
        <v>2</v>
      </c>
      <c r="E132" s="685">
        <v>6.1379999999999999</v>
      </c>
      <c r="F132" s="679">
        <v>0.23</v>
      </c>
      <c r="G132" s="679"/>
      <c r="H132" s="679">
        <f>PRODUCT(C132:G132)</f>
        <v>2.82</v>
      </c>
    </row>
    <row r="133" spans="1:8" ht="24.95" customHeight="1">
      <c r="A133" s="678"/>
      <c r="B133" s="680" t="s">
        <v>4607</v>
      </c>
      <c r="C133" s="681">
        <v>1</v>
      </c>
      <c r="D133" s="681">
        <v>2</v>
      </c>
      <c r="E133" s="684">
        <v>1.2</v>
      </c>
      <c r="F133" s="679"/>
      <c r="G133" s="679">
        <v>1.2</v>
      </c>
      <c r="H133" s="679">
        <f>PRODUCT(C133:G133)</f>
        <v>2.88</v>
      </c>
    </row>
    <row r="134" spans="1:8" ht="24.95" customHeight="1">
      <c r="A134" s="678"/>
      <c r="B134" s="688"/>
      <c r="C134" s="681"/>
      <c r="D134" s="681"/>
      <c r="E134" s="684"/>
      <c r="F134" s="679"/>
      <c r="G134" s="684"/>
      <c r="H134" s="679">
        <v>0.01</v>
      </c>
    </row>
    <row r="135" spans="1:8" ht="24.95" customHeight="1">
      <c r="A135" s="678"/>
      <c r="B135" s="690"/>
      <c r="C135" s="681"/>
      <c r="D135" s="681"/>
      <c r="E135" s="679"/>
      <c r="F135" s="679"/>
      <c r="G135" s="682" t="s">
        <v>1827</v>
      </c>
      <c r="H135" s="682">
        <f>SUM(H128:H134)</f>
        <v>65.099999999999994</v>
      </c>
    </row>
    <row r="136" spans="1:8" ht="24.95" customHeight="1">
      <c r="A136" s="678"/>
      <c r="B136" s="690"/>
      <c r="C136" s="681"/>
      <c r="D136" s="681"/>
      <c r="E136" s="679"/>
      <c r="F136" s="682" t="s">
        <v>2460</v>
      </c>
      <c r="G136" s="682">
        <f>+H135</f>
        <v>65.099999999999994</v>
      </c>
      <c r="H136" s="683" t="s">
        <v>1861</v>
      </c>
    </row>
    <row r="137" spans="1:8" ht="75" customHeight="1">
      <c r="A137" s="678">
        <f>+A127+1</f>
        <v>14</v>
      </c>
      <c r="B137" s="1082" t="s">
        <v>4622</v>
      </c>
      <c r="C137" s="1083"/>
      <c r="D137" s="1083"/>
      <c r="E137" s="1083"/>
      <c r="F137" s="1083"/>
      <c r="G137" s="1084"/>
      <c r="H137" s="682"/>
    </row>
    <row r="138" spans="1:8" ht="24.95" customHeight="1">
      <c r="A138" s="678"/>
      <c r="B138" s="680" t="s">
        <v>4618</v>
      </c>
      <c r="C138" s="681">
        <v>2</v>
      </c>
      <c r="D138" s="681">
        <v>2</v>
      </c>
      <c r="E138" s="684">
        <v>5</v>
      </c>
      <c r="F138" s="679"/>
      <c r="G138" s="679">
        <v>2.6</v>
      </c>
      <c r="H138" s="679">
        <f>PRODUCT(C138:G138)</f>
        <v>52</v>
      </c>
    </row>
    <row r="139" spans="1:8" ht="24.95" customHeight="1">
      <c r="A139" s="678"/>
      <c r="B139" s="680"/>
      <c r="C139" s="681" t="s">
        <v>4619</v>
      </c>
      <c r="D139" s="686" t="s">
        <v>4620</v>
      </c>
      <c r="E139" s="684">
        <v>0.5</v>
      </c>
      <c r="F139" s="679"/>
      <c r="G139" s="679">
        <v>2.6</v>
      </c>
      <c r="H139" s="679">
        <f>G139*E139*0.5*2*2*4</f>
        <v>10.4</v>
      </c>
    </row>
    <row r="140" spans="1:8" ht="24.95" customHeight="1">
      <c r="A140" s="678"/>
      <c r="B140" s="680"/>
      <c r="C140" s="681" t="s">
        <v>4619</v>
      </c>
      <c r="D140" s="686" t="s">
        <v>4620</v>
      </c>
      <c r="E140" s="684">
        <v>3</v>
      </c>
      <c r="F140" s="679"/>
      <c r="G140" s="679">
        <v>0.45</v>
      </c>
      <c r="H140" s="679">
        <f>G140*E140*0.5*2*2*4</f>
        <v>10.8</v>
      </c>
    </row>
    <row r="141" spans="1:8" ht="24.95" customHeight="1">
      <c r="A141" s="678"/>
      <c r="B141" s="680" t="s">
        <v>4607</v>
      </c>
      <c r="C141" s="681">
        <v>2</v>
      </c>
      <c r="D141" s="681">
        <v>2</v>
      </c>
      <c r="E141" s="684">
        <v>1.2</v>
      </c>
      <c r="F141" s="679"/>
      <c r="G141" s="679">
        <v>1.2</v>
      </c>
      <c r="H141" s="679">
        <f>G141*E141*0.5*2*1*2</f>
        <v>2.88</v>
      </c>
    </row>
    <row r="142" spans="1:8" ht="24.95" customHeight="1">
      <c r="A142" s="678"/>
      <c r="B142" s="688"/>
      <c r="C142" s="681"/>
      <c r="D142" s="681"/>
      <c r="E142" s="684"/>
      <c r="F142" s="679"/>
      <c r="G142" s="684"/>
      <c r="H142" s="679">
        <v>0.02</v>
      </c>
    </row>
    <row r="143" spans="1:8" ht="24.95" customHeight="1">
      <c r="A143" s="678"/>
      <c r="B143" s="690"/>
      <c r="C143" s="681"/>
      <c r="D143" s="681"/>
      <c r="E143" s="679"/>
      <c r="F143" s="679"/>
      <c r="G143" s="682" t="s">
        <v>1827</v>
      </c>
      <c r="H143" s="682">
        <f>SUM(H138:H142)</f>
        <v>76.099999999999994</v>
      </c>
    </row>
    <row r="144" spans="1:8" ht="24.95" customHeight="1">
      <c r="A144" s="678"/>
      <c r="B144" s="690"/>
      <c r="C144" s="681"/>
      <c r="D144" s="681"/>
      <c r="E144" s="679"/>
      <c r="F144" s="682" t="s">
        <v>2460</v>
      </c>
      <c r="G144" s="682">
        <f>+H143</f>
        <v>76.099999999999994</v>
      </c>
      <c r="H144" s="683" t="s">
        <v>1861</v>
      </c>
    </row>
    <row r="145" spans="1:8" ht="75" customHeight="1">
      <c r="A145" s="678">
        <f>+A137+1</f>
        <v>15</v>
      </c>
      <c r="B145" s="1082" t="s">
        <v>4623</v>
      </c>
      <c r="C145" s="1083"/>
      <c r="D145" s="1083"/>
      <c r="E145" s="1083"/>
      <c r="F145" s="1083"/>
      <c r="G145" s="1084"/>
      <c r="H145" s="682"/>
    </row>
    <row r="146" spans="1:8" ht="24.95" customHeight="1">
      <c r="A146" s="678"/>
      <c r="B146" s="680" t="s">
        <v>4618</v>
      </c>
      <c r="C146" s="681">
        <v>2</v>
      </c>
      <c r="D146" s="681">
        <v>2</v>
      </c>
      <c r="E146" s="684">
        <v>5</v>
      </c>
      <c r="F146" s="679"/>
      <c r="G146" s="679">
        <v>2.6</v>
      </c>
      <c r="H146" s="679">
        <f>PRODUCT(C146:G146)</f>
        <v>52</v>
      </c>
    </row>
    <row r="147" spans="1:8" ht="24.95" customHeight="1">
      <c r="A147" s="678"/>
      <c r="B147" s="680"/>
      <c r="C147" s="681" t="s">
        <v>4619</v>
      </c>
      <c r="D147" s="686" t="s">
        <v>4620</v>
      </c>
      <c r="E147" s="684">
        <v>0.5</v>
      </c>
      <c r="F147" s="679"/>
      <c r="G147" s="679">
        <v>2.6</v>
      </c>
      <c r="H147" s="679">
        <f>G147*E147*0.5*2*2*4</f>
        <v>10.4</v>
      </c>
    </row>
    <row r="148" spans="1:8" ht="24.95" customHeight="1">
      <c r="A148" s="678"/>
      <c r="B148" s="680"/>
      <c r="C148" s="681" t="s">
        <v>4619</v>
      </c>
      <c r="D148" s="686" t="s">
        <v>4620</v>
      </c>
      <c r="E148" s="684">
        <v>3</v>
      </c>
      <c r="F148" s="679"/>
      <c r="G148" s="679">
        <v>0.45</v>
      </c>
      <c r="H148" s="679">
        <f>G148*E148*0.5*2*2*4</f>
        <v>10.8</v>
      </c>
    </row>
    <row r="149" spans="1:8" ht="24.95" customHeight="1">
      <c r="A149" s="678"/>
      <c r="B149" s="680" t="s">
        <v>4607</v>
      </c>
      <c r="C149" s="681">
        <v>2</v>
      </c>
      <c r="D149" s="681">
        <v>2</v>
      </c>
      <c r="E149" s="684">
        <v>1.2</v>
      </c>
      <c r="F149" s="679"/>
      <c r="G149" s="679">
        <v>1.2</v>
      </c>
      <c r="H149" s="679">
        <f>G149*E149*0.5*2*1*2</f>
        <v>2.88</v>
      </c>
    </row>
    <row r="150" spans="1:8" ht="24.95" customHeight="1">
      <c r="A150" s="678"/>
      <c r="B150" s="688"/>
      <c r="C150" s="681"/>
      <c r="D150" s="681"/>
      <c r="E150" s="684"/>
      <c r="F150" s="679"/>
      <c r="G150" s="684"/>
      <c r="H150" s="679">
        <v>0.02</v>
      </c>
    </row>
    <row r="151" spans="1:8" ht="24.95" customHeight="1">
      <c r="A151" s="678"/>
      <c r="B151" s="690"/>
      <c r="C151" s="681"/>
      <c r="D151" s="681"/>
      <c r="E151" s="679"/>
      <c r="F151" s="679"/>
      <c r="G151" s="682" t="s">
        <v>1827</v>
      </c>
      <c r="H151" s="682">
        <f>SUM(H146:H150)</f>
        <v>76.099999999999994</v>
      </c>
    </row>
    <row r="152" spans="1:8" ht="24.95" customHeight="1">
      <c r="A152" s="678"/>
      <c r="B152" s="690"/>
      <c r="C152" s="681"/>
      <c r="D152" s="681"/>
      <c r="E152" s="679"/>
      <c r="F152" s="682" t="s">
        <v>2460</v>
      </c>
      <c r="G152" s="682">
        <f>+H151</f>
        <v>76.099999999999994</v>
      </c>
      <c r="H152" s="683" t="s">
        <v>1861</v>
      </c>
    </row>
    <row r="153" spans="1:8" ht="60" customHeight="1">
      <c r="A153" s="678">
        <f>+A145+1</f>
        <v>16</v>
      </c>
      <c r="B153" s="1082" t="s">
        <v>4624</v>
      </c>
      <c r="C153" s="1083"/>
      <c r="D153" s="1083"/>
      <c r="E153" s="1083"/>
      <c r="F153" s="1083"/>
      <c r="G153" s="1084"/>
      <c r="H153" s="682"/>
    </row>
    <row r="154" spans="1:8" ht="24.95" customHeight="1">
      <c r="A154" s="678"/>
      <c r="B154" s="691" t="s">
        <v>4625</v>
      </c>
      <c r="C154" s="681">
        <v>2</v>
      </c>
      <c r="D154" s="681">
        <v>1</v>
      </c>
      <c r="E154" s="679">
        <v>9</v>
      </c>
      <c r="F154" s="685">
        <v>6.1379999999999999</v>
      </c>
      <c r="G154" s="684"/>
      <c r="H154" s="679">
        <f>PRODUCT(C154:G154)</f>
        <v>110.48</v>
      </c>
    </row>
    <row r="155" spans="1:8" ht="24.95" customHeight="1">
      <c r="A155" s="678"/>
      <c r="B155" s="691"/>
      <c r="C155" s="681"/>
      <c r="D155" s="681"/>
      <c r="E155" s="679"/>
      <c r="F155" s="679"/>
      <c r="G155" s="679"/>
      <c r="H155" s="679">
        <v>0.72</v>
      </c>
    </row>
    <row r="156" spans="1:8" ht="24.95" customHeight="1">
      <c r="A156" s="678"/>
      <c r="B156" s="691"/>
      <c r="C156" s="681"/>
      <c r="D156" s="681"/>
      <c r="E156" s="679"/>
      <c r="F156" s="679"/>
      <c r="G156" s="682" t="s">
        <v>1827</v>
      </c>
      <c r="H156" s="682">
        <f>SUM(H154:H155)</f>
        <v>111.2</v>
      </c>
    </row>
    <row r="157" spans="1:8" ht="24.95" customHeight="1">
      <c r="A157" s="678"/>
      <c r="B157" s="691"/>
      <c r="C157" s="681"/>
      <c r="D157" s="681"/>
      <c r="E157" s="679"/>
      <c r="F157" s="682" t="s">
        <v>2460</v>
      </c>
      <c r="G157" s="682">
        <f>+H156</f>
        <v>111.2</v>
      </c>
      <c r="H157" s="683" t="s">
        <v>1861</v>
      </c>
    </row>
    <row r="158" spans="1:8" ht="40.15" customHeight="1">
      <c r="A158" s="678">
        <f>+A153+1</f>
        <v>17</v>
      </c>
      <c r="B158" s="1082" t="s">
        <v>4626</v>
      </c>
      <c r="C158" s="1083"/>
      <c r="D158" s="1083"/>
      <c r="E158" s="1083"/>
      <c r="F158" s="1083"/>
      <c r="G158" s="1084"/>
      <c r="H158" s="682"/>
    </row>
    <row r="159" spans="1:8" ht="24.95" customHeight="1">
      <c r="A159" s="678"/>
      <c r="B159" s="702" t="s">
        <v>4627</v>
      </c>
      <c r="C159" s="681"/>
      <c r="D159" s="681"/>
      <c r="E159" s="679"/>
      <c r="F159" s="679"/>
      <c r="G159" s="679"/>
      <c r="H159" s="682"/>
    </row>
    <row r="160" spans="1:8" ht="24.95" customHeight="1">
      <c r="A160" s="678"/>
      <c r="B160" s="691" t="s">
        <v>4628</v>
      </c>
      <c r="C160" s="681">
        <v>2</v>
      </c>
      <c r="D160" s="681">
        <v>2</v>
      </c>
      <c r="E160" s="685">
        <v>6.1379999999999999</v>
      </c>
      <c r="F160" s="685"/>
      <c r="G160" s="679"/>
      <c r="H160" s="679">
        <f>PRODUCT(C160:G160)</f>
        <v>24.55</v>
      </c>
    </row>
    <row r="161" spans="1:8" ht="24.95" customHeight="1">
      <c r="A161" s="678"/>
      <c r="B161" s="691"/>
      <c r="C161" s="681"/>
      <c r="D161" s="681"/>
      <c r="E161" s="685"/>
      <c r="F161" s="685"/>
      <c r="G161" s="679"/>
      <c r="H161" s="679">
        <v>0.65</v>
      </c>
    </row>
    <row r="162" spans="1:8" ht="24.95" customHeight="1">
      <c r="A162" s="678"/>
      <c r="B162" s="691"/>
      <c r="C162" s="681"/>
      <c r="D162" s="681"/>
      <c r="E162" s="679"/>
      <c r="F162" s="679"/>
      <c r="G162" s="682" t="s">
        <v>1827</v>
      </c>
      <c r="H162" s="682">
        <f>SUM(H160:H161)</f>
        <v>25.2</v>
      </c>
    </row>
    <row r="163" spans="1:8" ht="24.95" customHeight="1">
      <c r="A163" s="678"/>
      <c r="B163" s="702" t="s">
        <v>4629</v>
      </c>
      <c r="C163" s="681"/>
      <c r="D163" s="681"/>
      <c r="E163" s="679"/>
      <c r="F163" s="679"/>
      <c r="G163" s="679"/>
      <c r="H163" s="682"/>
    </row>
    <row r="164" spans="1:8" ht="24.95" customHeight="1">
      <c r="A164" s="678"/>
      <c r="B164" s="691" t="s">
        <v>4630</v>
      </c>
      <c r="C164" s="681">
        <v>4</v>
      </c>
      <c r="D164" s="681">
        <v>2</v>
      </c>
      <c r="E164" s="685">
        <f>2.692+0.75</f>
        <v>3.4420000000000002</v>
      </c>
      <c r="F164" s="685"/>
      <c r="G164" s="679"/>
      <c r="H164" s="679">
        <f>PRODUCT(C164:G164)</f>
        <v>27.54</v>
      </c>
    </row>
    <row r="165" spans="1:8" ht="24.95" customHeight="1">
      <c r="A165" s="678"/>
      <c r="B165" s="691"/>
      <c r="C165" s="681"/>
      <c r="D165" s="681"/>
      <c r="E165" s="685"/>
      <c r="F165" s="679"/>
      <c r="G165" s="679"/>
      <c r="H165" s="679">
        <v>0.46</v>
      </c>
    </row>
    <row r="166" spans="1:8" ht="24.95" customHeight="1">
      <c r="A166" s="678"/>
      <c r="B166" s="691"/>
      <c r="C166" s="681"/>
      <c r="D166" s="681"/>
      <c r="E166" s="679"/>
      <c r="F166" s="679"/>
      <c r="G166" s="682" t="s">
        <v>1827</v>
      </c>
      <c r="H166" s="682">
        <f>SUM(H164:H165)</f>
        <v>28</v>
      </c>
    </row>
    <row r="167" spans="1:8" ht="24.95" customHeight="1">
      <c r="A167" s="678"/>
      <c r="B167" s="702" t="s">
        <v>4631</v>
      </c>
      <c r="C167" s="681"/>
      <c r="D167" s="681"/>
      <c r="E167" s="679"/>
      <c r="F167" s="679"/>
      <c r="G167" s="679"/>
      <c r="H167" s="682"/>
    </row>
    <row r="168" spans="1:8" ht="24.95" customHeight="1">
      <c r="A168" s="678"/>
      <c r="B168" s="691" t="s">
        <v>4632</v>
      </c>
      <c r="C168" s="681">
        <v>2</v>
      </c>
      <c r="D168" s="681">
        <v>6</v>
      </c>
      <c r="E168" s="679">
        <v>9</v>
      </c>
      <c r="F168" s="685"/>
      <c r="G168" s="679"/>
      <c r="H168" s="679">
        <f>PRODUCT(C168:G168)</f>
        <v>108</v>
      </c>
    </row>
    <row r="169" spans="1:8" ht="24.95" customHeight="1">
      <c r="A169" s="678"/>
      <c r="B169" s="691"/>
      <c r="C169" s="681"/>
      <c r="D169" s="681"/>
      <c r="E169" s="679"/>
      <c r="F169" s="679"/>
      <c r="G169" s="682" t="s">
        <v>1827</v>
      </c>
      <c r="H169" s="682">
        <f>SUM(H168:H168)</f>
        <v>108</v>
      </c>
    </row>
    <row r="170" spans="1:8" ht="24.95" customHeight="1">
      <c r="A170" s="678"/>
      <c r="B170" s="702" t="s">
        <v>4633</v>
      </c>
      <c r="C170" s="681"/>
      <c r="D170" s="681"/>
      <c r="E170" s="679"/>
      <c r="F170" s="679"/>
      <c r="G170" s="679"/>
      <c r="H170" s="682"/>
    </row>
    <row r="171" spans="1:8" ht="24.95" customHeight="1">
      <c r="A171" s="678"/>
      <c r="B171" s="691" t="s">
        <v>4634</v>
      </c>
      <c r="C171" s="681">
        <v>4</v>
      </c>
      <c r="D171" s="681">
        <v>6</v>
      </c>
      <c r="E171" s="679">
        <v>0.4</v>
      </c>
      <c r="F171" s="685"/>
      <c r="G171" s="679"/>
      <c r="H171" s="679">
        <f>PRODUCT(C171:G171)</f>
        <v>9.6</v>
      </c>
    </row>
    <row r="172" spans="1:8" ht="24.95" customHeight="1">
      <c r="A172" s="678"/>
      <c r="B172" s="691" t="s">
        <v>4635</v>
      </c>
      <c r="C172" s="681">
        <v>4</v>
      </c>
      <c r="D172" s="681">
        <v>6</v>
      </c>
      <c r="E172" s="679">
        <v>0.05</v>
      </c>
      <c r="F172" s="685"/>
      <c r="G172" s="679"/>
      <c r="H172" s="679">
        <f>PRODUCT(C172:G172)</f>
        <v>1.2</v>
      </c>
    </row>
    <row r="173" spans="1:8" ht="24.95" customHeight="1">
      <c r="A173" s="678"/>
      <c r="B173" s="691"/>
      <c r="C173" s="681"/>
      <c r="D173" s="681"/>
      <c r="E173" s="679"/>
      <c r="F173" s="685"/>
      <c r="G173" s="679"/>
      <c r="H173" s="679">
        <v>0.3</v>
      </c>
    </row>
    <row r="174" spans="1:8" ht="24.95" customHeight="1">
      <c r="A174" s="678"/>
      <c r="B174" s="691"/>
      <c r="C174" s="681"/>
      <c r="D174" s="681"/>
      <c r="E174" s="679"/>
      <c r="F174" s="679"/>
      <c r="G174" s="682" t="s">
        <v>1827</v>
      </c>
      <c r="H174" s="682">
        <f>SUM(H171:H173)</f>
        <v>11.1</v>
      </c>
    </row>
    <row r="175" spans="1:8" ht="24.95" customHeight="1">
      <c r="A175" s="678"/>
      <c r="B175" s="691" t="s">
        <v>4627</v>
      </c>
      <c r="C175" s="1088">
        <f>+H162</f>
        <v>25.2</v>
      </c>
      <c r="D175" s="1088"/>
      <c r="E175" s="703" t="s">
        <v>4377</v>
      </c>
      <c r="F175" s="684">
        <v>6.3</v>
      </c>
      <c r="G175" s="704" t="s">
        <v>4636</v>
      </c>
      <c r="H175" s="679">
        <f>C175*F175</f>
        <v>158.76</v>
      </c>
    </row>
    <row r="176" spans="1:8" ht="24.95" customHeight="1">
      <c r="A176" s="678"/>
      <c r="B176" s="691" t="s">
        <v>4629</v>
      </c>
      <c r="C176" s="1088">
        <f>+H166</f>
        <v>28</v>
      </c>
      <c r="D176" s="1088"/>
      <c r="E176" s="703" t="s">
        <v>4377</v>
      </c>
      <c r="F176" s="684">
        <v>10.5</v>
      </c>
      <c r="G176" s="704" t="s">
        <v>4636</v>
      </c>
      <c r="H176" s="679">
        <f>C176*F176</f>
        <v>294</v>
      </c>
    </row>
    <row r="177" spans="1:8" ht="24.95" customHeight="1">
      <c r="A177" s="678"/>
      <c r="B177" s="691" t="s">
        <v>4631</v>
      </c>
      <c r="C177" s="1088">
        <f>+H169</f>
        <v>108</v>
      </c>
      <c r="D177" s="1088"/>
      <c r="E177" s="703" t="s">
        <v>4377</v>
      </c>
      <c r="F177" s="684">
        <v>2.93</v>
      </c>
      <c r="G177" s="704" t="s">
        <v>4636</v>
      </c>
      <c r="H177" s="679">
        <f>C177*F177</f>
        <v>316.44</v>
      </c>
    </row>
    <row r="178" spans="1:8" ht="24.95" customHeight="1">
      <c r="A178" s="678"/>
      <c r="B178" s="691" t="s">
        <v>4633</v>
      </c>
      <c r="C178" s="1088">
        <f>+H174</f>
        <v>11.1</v>
      </c>
      <c r="D178" s="1088"/>
      <c r="E178" s="703" t="s">
        <v>4377</v>
      </c>
      <c r="F178" s="684">
        <v>2.97</v>
      </c>
      <c r="G178" s="704" t="s">
        <v>4636</v>
      </c>
      <c r="H178" s="679">
        <f>C178*F178</f>
        <v>32.97</v>
      </c>
    </row>
    <row r="179" spans="1:8" ht="33" customHeight="1">
      <c r="A179" s="678"/>
      <c r="B179" s="691" t="s">
        <v>4637</v>
      </c>
      <c r="C179" s="681"/>
      <c r="D179" s="681"/>
      <c r="E179" s="679"/>
      <c r="F179" s="679"/>
      <c r="G179" s="679"/>
      <c r="H179" s="679">
        <f>(H175+H176+H177+H178)*7%</f>
        <v>56.15</v>
      </c>
    </row>
    <row r="180" spans="1:8" ht="24.95" customHeight="1">
      <c r="A180" s="678"/>
      <c r="B180" s="691"/>
      <c r="C180" s="681"/>
      <c r="D180" s="681"/>
      <c r="E180" s="685"/>
      <c r="F180" s="679"/>
      <c r="G180" s="679"/>
      <c r="H180" s="679">
        <v>0.68</v>
      </c>
    </row>
    <row r="181" spans="1:8" ht="24.95" customHeight="1">
      <c r="A181" s="678"/>
      <c r="B181" s="691"/>
      <c r="C181" s="681"/>
      <c r="D181" s="681"/>
      <c r="E181" s="679"/>
      <c r="F181" s="679"/>
      <c r="G181" s="682" t="s">
        <v>1827</v>
      </c>
      <c r="H181" s="682">
        <f>SUM(H175:H180)</f>
        <v>859</v>
      </c>
    </row>
    <row r="182" spans="1:8" ht="24.95" customHeight="1">
      <c r="A182" s="678"/>
      <c r="B182" s="691"/>
      <c r="C182" s="681"/>
      <c r="D182" s="681"/>
      <c r="E182" s="679"/>
      <c r="F182" s="682" t="s">
        <v>2460</v>
      </c>
      <c r="G182" s="682">
        <f>+H181</f>
        <v>859</v>
      </c>
      <c r="H182" s="683" t="s">
        <v>1341</v>
      </c>
    </row>
    <row r="183" spans="1:8" ht="75" customHeight="1">
      <c r="A183" s="678">
        <f>+A158+1</f>
        <v>18</v>
      </c>
      <c r="B183" s="1082" t="s">
        <v>4638</v>
      </c>
      <c r="C183" s="1083"/>
      <c r="D183" s="1083"/>
      <c r="E183" s="1083"/>
      <c r="F183" s="1083"/>
      <c r="G183" s="1084"/>
      <c r="H183" s="682"/>
    </row>
    <row r="184" spans="1:8" ht="24.95" customHeight="1">
      <c r="A184" s="678"/>
      <c r="B184" s="691" t="s">
        <v>4628</v>
      </c>
      <c r="C184" s="681">
        <v>2</v>
      </c>
      <c r="D184" s="681">
        <f>+D160</f>
        <v>2</v>
      </c>
      <c r="E184" s="679">
        <v>3.14</v>
      </c>
      <c r="F184" s="684">
        <v>0.05</v>
      </c>
      <c r="G184" s="685">
        <f>+E160</f>
        <v>6.1379999999999999</v>
      </c>
      <c r="H184" s="679">
        <f>PRODUCT(C184:G184)</f>
        <v>3.85</v>
      </c>
    </row>
    <row r="185" spans="1:8" ht="24.95" customHeight="1">
      <c r="A185" s="678"/>
      <c r="B185" s="691" t="s">
        <v>4630</v>
      </c>
      <c r="C185" s="681">
        <v>4</v>
      </c>
      <c r="D185" s="681">
        <f>+D164</f>
        <v>2</v>
      </c>
      <c r="E185" s="679">
        <v>3.14</v>
      </c>
      <c r="F185" s="679">
        <v>0.08</v>
      </c>
      <c r="G185" s="685">
        <f>+E164</f>
        <v>3.4420000000000002</v>
      </c>
      <c r="H185" s="679">
        <f>PRODUCT(C185:G185)</f>
        <v>6.92</v>
      </c>
    </row>
    <row r="186" spans="1:8" ht="24.95" customHeight="1">
      <c r="A186" s="678"/>
      <c r="B186" s="691" t="s">
        <v>4632</v>
      </c>
      <c r="C186" s="681">
        <v>2</v>
      </c>
      <c r="D186" s="681">
        <f>+D168</f>
        <v>6</v>
      </c>
      <c r="E186" s="684">
        <f>(0.05+0.05)*2</f>
        <v>0.2</v>
      </c>
      <c r="F186" s="679">
        <v>1</v>
      </c>
      <c r="G186" s="679">
        <f>+E168</f>
        <v>9</v>
      </c>
      <c r="H186" s="679">
        <f>PRODUCT(C186:G186)</f>
        <v>21.6</v>
      </c>
    </row>
    <row r="187" spans="1:8" ht="24.95" customHeight="1">
      <c r="A187" s="678"/>
      <c r="B187" s="691" t="s">
        <v>4634</v>
      </c>
      <c r="C187" s="681">
        <v>4</v>
      </c>
      <c r="D187" s="681">
        <f>+D171</f>
        <v>6</v>
      </c>
      <c r="E187" s="684">
        <f>0.04*4</f>
        <v>0.16</v>
      </c>
      <c r="F187" s="679">
        <v>1</v>
      </c>
      <c r="G187" s="679">
        <f>+E171</f>
        <v>0.4</v>
      </c>
      <c r="H187" s="679">
        <f>PRODUCT(C187:G187)</f>
        <v>1.54</v>
      </c>
    </row>
    <row r="188" spans="1:8" ht="24.95" customHeight="1">
      <c r="A188" s="678"/>
      <c r="B188" s="691" t="s">
        <v>4635</v>
      </c>
      <c r="C188" s="681">
        <v>4</v>
      </c>
      <c r="D188" s="681">
        <f>+D172</f>
        <v>6</v>
      </c>
      <c r="E188" s="684">
        <f>0.04*4</f>
        <v>0.16</v>
      </c>
      <c r="F188" s="679">
        <v>1</v>
      </c>
      <c r="G188" s="679">
        <f>+E172</f>
        <v>0.05</v>
      </c>
      <c r="H188" s="679">
        <f>PRODUCT(C188:G188)</f>
        <v>0.19</v>
      </c>
    </row>
    <row r="189" spans="1:8" ht="24.95" customHeight="1">
      <c r="A189" s="678"/>
      <c r="B189" s="691"/>
      <c r="C189" s="681"/>
      <c r="D189" s="681"/>
      <c r="E189" s="679"/>
      <c r="F189" s="679"/>
      <c r="G189" s="682" t="s">
        <v>1827</v>
      </c>
      <c r="H189" s="682">
        <f>SUM(H184:H188)</f>
        <v>34.1</v>
      </c>
    </row>
    <row r="190" spans="1:8" ht="24.95" customHeight="1">
      <c r="A190" s="678"/>
      <c r="B190" s="691"/>
      <c r="C190" s="681"/>
      <c r="D190" s="681"/>
      <c r="E190" s="679"/>
      <c r="F190" s="682" t="s">
        <v>2460</v>
      </c>
      <c r="G190" s="682">
        <f>+H189</f>
        <v>34.1</v>
      </c>
      <c r="H190" s="683" t="s">
        <v>1861</v>
      </c>
    </row>
    <row r="191" spans="1:8" ht="40.15" customHeight="1">
      <c r="A191" s="678">
        <f>+A183+1</f>
        <v>19</v>
      </c>
      <c r="B191" s="1082" t="s">
        <v>4639</v>
      </c>
      <c r="C191" s="1083"/>
      <c r="D191" s="1083"/>
      <c r="E191" s="1083"/>
      <c r="F191" s="1083"/>
      <c r="G191" s="1084"/>
      <c r="H191" s="682"/>
    </row>
    <row r="192" spans="1:8" ht="24.95" customHeight="1">
      <c r="A192" s="678"/>
      <c r="B192" s="691" t="s">
        <v>4640</v>
      </c>
      <c r="C192" s="681"/>
      <c r="D192" s="681"/>
      <c r="E192" s="679"/>
      <c r="F192" s="679"/>
      <c r="G192" s="679"/>
      <c r="H192" s="682"/>
    </row>
    <row r="193" spans="1:8" ht="24.95" customHeight="1">
      <c r="A193" s="678"/>
      <c r="B193" s="691" t="s">
        <v>4625</v>
      </c>
      <c r="C193" s="681">
        <v>2</v>
      </c>
      <c r="D193" s="681">
        <v>3</v>
      </c>
      <c r="E193" s="685"/>
      <c r="F193" s="679"/>
      <c r="G193" s="682" t="s">
        <v>1166</v>
      </c>
      <c r="H193" s="682">
        <f>PRODUCT(C193:G193)</f>
        <v>6</v>
      </c>
    </row>
    <row r="194" spans="1:8" ht="75" customHeight="1">
      <c r="A194" s="678">
        <f>+A191+1</f>
        <v>20</v>
      </c>
      <c r="B194" s="1085" t="s">
        <v>4641</v>
      </c>
      <c r="C194" s="1086"/>
      <c r="D194" s="1086"/>
      <c r="E194" s="1086"/>
      <c r="F194" s="1086"/>
      <c r="G194" s="1087"/>
      <c r="H194" s="679"/>
    </row>
    <row r="195" spans="1:8" ht="24.95" customHeight="1">
      <c r="A195" s="678"/>
      <c r="B195" s="691" t="s">
        <v>4625</v>
      </c>
      <c r="C195" s="681">
        <v>2</v>
      </c>
      <c r="D195" s="681">
        <f>+D193</f>
        <v>3</v>
      </c>
      <c r="E195" s="679"/>
      <c r="F195" s="679"/>
      <c r="G195" s="682" t="s">
        <v>1166</v>
      </c>
      <c r="H195" s="682">
        <f>PRODUCT(C195:G195)</f>
        <v>6</v>
      </c>
    </row>
    <row r="196" spans="1:8" ht="105" customHeight="1">
      <c r="A196" s="678">
        <f>+A194+1</f>
        <v>21</v>
      </c>
      <c r="B196" s="1082" t="s">
        <v>4642</v>
      </c>
      <c r="C196" s="1083"/>
      <c r="D196" s="1083"/>
      <c r="E196" s="1083"/>
      <c r="F196" s="1083"/>
      <c r="G196" s="1084"/>
      <c r="H196" s="682"/>
    </row>
    <row r="197" spans="1:8" ht="24.95" customHeight="1">
      <c r="A197" s="678"/>
      <c r="B197" s="691" t="s">
        <v>4625</v>
      </c>
      <c r="C197" s="681">
        <v>2</v>
      </c>
      <c r="D197" s="681">
        <v>1</v>
      </c>
      <c r="E197" s="679">
        <v>25</v>
      </c>
      <c r="F197" s="679"/>
      <c r="G197" s="682" t="s">
        <v>669</v>
      </c>
      <c r="H197" s="682">
        <f>PRODUCT(C197:G197)</f>
        <v>50</v>
      </c>
    </row>
    <row r="198" spans="1:8" ht="75" customHeight="1">
      <c r="A198" s="678">
        <f>+A196+1</f>
        <v>22</v>
      </c>
      <c r="B198" s="1085" t="s">
        <v>4643</v>
      </c>
      <c r="C198" s="1086"/>
      <c r="D198" s="1086"/>
      <c r="E198" s="1086"/>
      <c r="F198" s="1086"/>
      <c r="G198" s="1087"/>
      <c r="H198" s="679"/>
    </row>
    <row r="199" spans="1:8" ht="24.95" customHeight="1">
      <c r="A199" s="678"/>
      <c r="B199" s="680" t="s">
        <v>4644</v>
      </c>
      <c r="C199" s="681">
        <v>2</v>
      </c>
      <c r="D199" s="681">
        <v>1</v>
      </c>
      <c r="E199" s="679">
        <v>29</v>
      </c>
      <c r="F199" s="679">
        <v>6.15</v>
      </c>
      <c r="G199" s="679">
        <v>0.3</v>
      </c>
      <c r="H199" s="679">
        <f>PRODUCT(C199:G199)</f>
        <v>107.01</v>
      </c>
    </row>
    <row r="200" spans="1:8" ht="24.95" customHeight="1">
      <c r="A200" s="678"/>
      <c r="B200" s="680" t="s">
        <v>4645</v>
      </c>
      <c r="C200" s="681">
        <v>2</v>
      </c>
      <c r="D200" s="681">
        <v>1</v>
      </c>
      <c r="E200" s="679">
        <v>28</v>
      </c>
      <c r="F200" s="679">
        <v>2.9</v>
      </c>
      <c r="G200" s="679">
        <v>0.25</v>
      </c>
      <c r="H200" s="679">
        <f>PRODUCT(C200:G200)</f>
        <v>40.6</v>
      </c>
    </row>
    <row r="201" spans="1:8" ht="24.95" customHeight="1">
      <c r="A201" s="678"/>
      <c r="B201" s="680"/>
      <c r="C201" s="681"/>
      <c r="D201" s="681"/>
      <c r="E201" s="679"/>
      <c r="F201" s="679"/>
      <c r="G201" s="679"/>
      <c r="H201" s="679">
        <v>0.19</v>
      </c>
    </row>
    <row r="202" spans="1:8" ht="24.95" customHeight="1">
      <c r="A202" s="678"/>
      <c r="B202" s="691"/>
      <c r="C202" s="681"/>
      <c r="D202" s="681"/>
      <c r="E202" s="679"/>
      <c r="F202" s="682"/>
      <c r="G202" s="682" t="s">
        <v>1827</v>
      </c>
      <c r="H202" s="682">
        <f>SUM(H199:H201)</f>
        <v>147.80000000000001</v>
      </c>
    </row>
    <row r="203" spans="1:8" ht="24.95" customHeight="1">
      <c r="A203" s="678"/>
      <c r="B203" s="691"/>
      <c r="C203" s="681"/>
      <c r="D203" s="681"/>
      <c r="E203" s="679"/>
      <c r="F203" s="682" t="s">
        <v>2460</v>
      </c>
      <c r="G203" s="682">
        <f>H202</f>
        <v>147.80000000000001</v>
      </c>
      <c r="H203" s="683" t="s">
        <v>1749</v>
      </c>
    </row>
    <row r="204" spans="1:8" ht="24.95" customHeight="1">
      <c r="A204" s="705"/>
      <c r="B204" s="706"/>
      <c r="F204" s="709"/>
      <c r="G204" s="709"/>
      <c r="H204" s="710"/>
    </row>
    <row r="205" spans="1:8" ht="24.95" customHeight="1">
      <c r="A205" s="705"/>
      <c r="B205" s="706"/>
      <c r="F205" s="709"/>
      <c r="G205" s="709"/>
      <c r="H205" s="710"/>
    </row>
  </sheetData>
  <mergeCells count="39">
    <mergeCell ref="A8:A9"/>
    <mergeCell ref="B8:B9"/>
    <mergeCell ref="C8:D9"/>
    <mergeCell ref="E8:G8"/>
    <mergeCell ref="H8:H9"/>
    <mergeCell ref="A1:H1"/>
    <mergeCell ref="A2:H2"/>
    <mergeCell ref="A3:H3"/>
    <mergeCell ref="A5:H5"/>
    <mergeCell ref="A7:H7"/>
    <mergeCell ref="B103:G103"/>
    <mergeCell ref="B10:G10"/>
    <mergeCell ref="B22:G22"/>
    <mergeCell ref="B34:G34"/>
    <mergeCell ref="B44:G44"/>
    <mergeCell ref="B52:G52"/>
    <mergeCell ref="B60:G60"/>
    <mergeCell ref="B72:G72"/>
    <mergeCell ref="B82:G82"/>
    <mergeCell ref="B88:G88"/>
    <mergeCell ref="B94:G94"/>
    <mergeCell ref="B95:G95"/>
    <mergeCell ref="C178:D178"/>
    <mergeCell ref="B108:G108"/>
    <mergeCell ref="B113:G113"/>
    <mergeCell ref="B116:G116"/>
    <mergeCell ref="B127:G127"/>
    <mergeCell ref="B137:G137"/>
    <mergeCell ref="B145:G145"/>
    <mergeCell ref="B153:G153"/>
    <mergeCell ref="B158:G158"/>
    <mergeCell ref="C175:D175"/>
    <mergeCell ref="C176:D176"/>
    <mergeCell ref="C177:D177"/>
    <mergeCell ref="B183:G183"/>
    <mergeCell ref="B191:G191"/>
    <mergeCell ref="B194:G194"/>
    <mergeCell ref="B196:G196"/>
    <mergeCell ref="B198:G198"/>
  </mergeCells>
  <pageMargins left="0.6" right="0.6" top="0.7" bottom="0.5" header="0.3" footer="0.3"/>
  <pageSetup paperSize="9" scale="95" orientation="portrait" r:id="rId1"/>
  <headerFooter>
    <oddHeader>&amp;CPage &amp;P&amp;RTwo wheeler shed</oddHeader>
  </headerFooter>
</worksheet>
</file>

<file path=xl/worksheets/sheet12.xml><?xml version="1.0" encoding="utf-8"?>
<worksheet xmlns="http://schemas.openxmlformats.org/spreadsheetml/2006/main" xmlns:r="http://schemas.openxmlformats.org/officeDocument/2006/relationships">
  <dimension ref="A1:IV169"/>
  <sheetViews>
    <sheetView topLeftCell="A22" zoomScale="115" zoomScaleNormal="115" workbookViewId="0">
      <selection sqref="A1:O2"/>
    </sheetView>
  </sheetViews>
  <sheetFormatPr defaultColWidth="4.88671875" defaultRowHeight="15"/>
  <cols>
    <col min="1" max="1" width="4.109375" style="712" customWidth="1"/>
    <col min="2" max="2" width="26" style="712" customWidth="1"/>
    <col min="3" max="3" width="3.21875" style="769" customWidth="1"/>
    <col min="4" max="4" width="2.44140625" style="769" customWidth="1"/>
    <col min="5" max="5" width="4.109375" style="769" customWidth="1"/>
    <col min="6" max="9" width="6.77734375" style="773" customWidth="1"/>
    <col min="10" max="14" width="7.6640625" style="712" hidden="1" customWidth="1"/>
    <col min="15" max="15" width="4.21875" style="774" customWidth="1"/>
    <col min="16" max="255" width="7.6640625" style="712" customWidth="1"/>
    <col min="256" max="256" width="4.88671875" style="712"/>
    <col min="257" max="257" width="4.109375" style="712" customWidth="1"/>
    <col min="258" max="258" width="26" style="712" customWidth="1"/>
    <col min="259" max="259" width="3.21875" style="712" customWidth="1"/>
    <col min="260" max="260" width="2.44140625" style="712" customWidth="1"/>
    <col min="261" max="261" width="4.109375" style="712" customWidth="1"/>
    <col min="262" max="265" width="6.77734375" style="712" customWidth="1"/>
    <col min="266" max="270" width="0" style="712" hidden="1" customWidth="1"/>
    <col min="271" max="271" width="4.21875" style="712" customWidth="1"/>
    <col min="272" max="511" width="7.6640625" style="712" customWidth="1"/>
    <col min="512" max="512" width="4.88671875" style="712"/>
    <col min="513" max="513" width="4.109375" style="712" customWidth="1"/>
    <col min="514" max="514" width="26" style="712" customWidth="1"/>
    <col min="515" max="515" width="3.21875" style="712" customWidth="1"/>
    <col min="516" max="516" width="2.44140625" style="712" customWidth="1"/>
    <col min="517" max="517" width="4.109375" style="712" customWidth="1"/>
    <col min="518" max="521" width="6.77734375" style="712" customWidth="1"/>
    <col min="522" max="526" width="0" style="712" hidden="1" customWidth="1"/>
    <col min="527" max="527" width="4.21875" style="712" customWidth="1"/>
    <col min="528" max="767" width="7.6640625" style="712" customWidth="1"/>
    <col min="768" max="768" width="4.88671875" style="712"/>
    <col min="769" max="769" width="4.109375" style="712" customWidth="1"/>
    <col min="770" max="770" width="26" style="712" customWidth="1"/>
    <col min="771" max="771" width="3.21875" style="712" customWidth="1"/>
    <col min="772" max="772" width="2.44140625" style="712" customWidth="1"/>
    <col min="773" max="773" width="4.109375" style="712" customWidth="1"/>
    <col min="774" max="777" width="6.77734375" style="712" customWidth="1"/>
    <col min="778" max="782" width="0" style="712" hidden="1" customWidth="1"/>
    <col min="783" max="783" width="4.21875" style="712" customWidth="1"/>
    <col min="784" max="1023" width="7.6640625" style="712" customWidth="1"/>
    <col min="1024" max="1024" width="4.88671875" style="712"/>
    <col min="1025" max="1025" width="4.109375" style="712" customWidth="1"/>
    <col min="1026" max="1026" width="26" style="712" customWidth="1"/>
    <col min="1027" max="1027" width="3.21875" style="712" customWidth="1"/>
    <col min="1028" max="1028" width="2.44140625" style="712" customWidth="1"/>
    <col min="1029" max="1029" width="4.109375" style="712" customWidth="1"/>
    <col min="1030" max="1033" width="6.77734375" style="712" customWidth="1"/>
    <col min="1034" max="1038" width="0" style="712" hidden="1" customWidth="1"/>
    <col min="1039" max="1039" width="4.21875" style="712" customWidth="1"/>
    <col min="1040" max="1279" width="7.6640625" style="712" customWidth="1"/>
    <col min="1280" max="1280" width="4.88671875" style="712"/>
    <col min="1281" max="1281" width="4.109375" style="712" customWidth="1"/>
    <col min="1282" max="1282" width="26" style="712" customWidth="1"/>
    <col min="1283" max="1283" width="3.21875" style="712" customWidth="1"/>
    <col min="1284" max="1284" width="2.44140625" style="712" customWidth="1"/>
    <col min="1285" max="1285" width="4.109375" style="712" customWidth="1"/>
    <col min="1286" max="1289" width="6.77734375" style="712" customWidth="1"/>
    <col min="1290" max="1294" width="0" style="712" hidden="1" customWidth="1"/>
    <col min="1295" max="1295" width="4.21875" style="712" customWidth="1"/>
    <col min="1296" max="1535" width="7.6640625" style="712" customWidth="1"/>
    <col min="1536" max="1536" width="4.88671875" style="712"/>
    <col min="1537" max="1537" width="4.109375" style="712" customWidth="1"/>
    <col min="1538" max="1538" width="26" style="712" customWidth="1"/>
    <col min="1539" max="1539" width="3.21875" style="712" customWidth="1"/>
    <col min="1540" max="1540" width="2.44140625" style="712" customWidth="1"/>
    <col min="1541" max="1541" width="4.109375" style="712" customWidth="1"/>
    <col min="1542" max="1545" width="6.77734375" style="712" customWidth="1"/>
    <col min="1546" max="1550" width="0" style="712" hidden="1" customWidth="1"/>
    <col min="1551" max="1551" width="4.21875" style="712" customWidth="1"/>
    <col min="1552" max="1791" width="7.6640625" style="712" customWidth="1"/>
    <col min="1792" max="1792" width="4.88671875" style="712"/>
    <col min="1793" max="1793" width="4.109375" style="712" customWidth="1"/>
    <col min="1794" max="1794" width="26" style="712" customWidth="1"/>
    <col min="1795" max="1795" width="3.21875" style="712" customWidth="1"/>
    <col min="1796" max="1796" width="2.44140625" style="712" customWidth="1"/>
    <col min="1797" max="1797" width="4.109375" style="712" customWidth="1"/>
    <col min="1798" max="1801" width="6.77734375" style="712" customWidth="1"/>
    <col min="1802" max="1806" width="0" style="712" hidden="1" customWidth="1"/>
    <col min="1807" max="1807" width="4.21875" style="712" customWidth="1"/>
    <col min="1808" max="2047" width="7.6640625" style="712" customWidth="1"/>
    <col min="2048" max="2048" width="4.88671875" style="712"/>
    <col min="2049" max="2049" width="4.109375" style="712" customWidth="1"/>
    <col min="2050" max="2050" width="26" style="712" customWidth="1"/>
    <col min="2051" max="2051" width="3.21875" style="712" customWidth="1"/>
    <col min="2052" max="2052" width="2.44140625" style="712" customWidth="1"/>
    <col min="2053" max="2053" width="4.109375" style="712" customWidth="1"/>
    <col min="2054" max="2057" width="6.77734375" style="712" customWidth="1"/>
    <col min="2058" max="2062" width="0" style="712" hidden="1" customWidth="1"/>
    <col min="2063" max="2063" width="4.21875" style="712" customWidth="1"/>
    <col min="2064" max="2303" width="7.6640625" style="712" customWidth="1"/>
    <col min="2304" max="2304" width="4.88671875" style="712"/>
    <col min="2305" max="2305" width="4.109375" style="712" customWidth="1"/>
    <col min="2306" max="2306" width="26" style="712" customWidth="1"/>
    <col min="2307" max="2307" width="3.21875" style="712" customWidth="1"/>
    <col min="2308" max="2308" width="2.44140625" style="712" customWidth="1"/>
    <col min="2309" max="2309" width="4.109375" style="712" customWidth="1"/>
    <col min="2310" max="2313" width="6.77734375" style="712" customWidth="1"/>
    <col min="2314" max="2318" width="0" style="712" hidden="1" customWidth="1"/>
    <col min="2319" max="2319" width="4.21875" style="712" customWidth="1"/>
    <col min="2320" max="2559" width="7.6640625" style="712" customWidth="1"/>
    <col min="2560" max="2560" width="4.88671875" style="712"/>
    <col min="2561" max="2561" width="4.109375" style="712" customWidth="1"/>
    <col min="2562" max="2562" width="26" style="712" customWidth="1"/>
    <col min="2563" max="2563" width="3.21875" style="712" customWidth="1"/>
    <col min="2564" max="2564" width="2.44140625" style="712" customWidth="1"/>
    <col min="2565" max="2565" width="4.109375" style="712" customWidth="1"/>
    <col min="2566" max="2569" width="6.77734375" style="712" customWidth="1"/>
    <col min="2570" max="2574" width="0" style="712" hidden="1" customWidth="1"/>
    <col min="2575" max="2575" width="4.21875" style="712" customWidth="1"/>
    <col min="2576" max="2815" width="7.6640625" style="712" customWidth="1"/>
    <col min="2816" max="2816" width="4.88671875" style="712"/>
    <col min="2817" max="2817" width="4.109375" style="712" customWidth="1"/>
    <col min="2818" max="2818" width="26" style="712" customWidth="1"/>
    <col min="2819" max="2819" width="3.21875" style="712" customWidth="1"/>
    <col min="2820" max="2820" width="2.44140625" style="712" customWidth="1"/>
    <col min="2821" max="2821" width="4.109375" style="712" customWidth="1"/>
    <col min="2822" max="2825" width="6.77734375" style="712" customWidth="1"/>
    <col min="2826" max="2830" width="0" style="712" hidden="1" customWidth="1"/>
    <col min="2831" max="2831" width="4.21875" style="712" customWidth="1"/>
    <col min="2832" max="3071" width="7.6640625" style="712" customWidth="1"/>
    <col min="3072" max="3072" width="4.88671875" style="712"/>
    <col min="3073" max="3073" width="4.109375" style="712" customWidth="1"/>
    <col min="3074" max="3074" width="26" style="712" customWidth="1"/>
    <col min="3075" max="3075" width="3.21875" style="712" customWidth="1"/>
    <col min="3076" max="3076" width="2.44140625" style="712" customWidth="1"/>
    <col min="3077" max="3077" width="4.109375" style="712" customWidth="1"/>
    <col min="3078" max="3081" width="6.77734375" style="712" customWidth="1"/>
    <col min="3082" max="3086" width="0" style="712" hidden="1" customWidth="1"/>
    <col min="3087" max="3087" width="4.21875" style="712" customWidth="1"/>
    <col min="3088" max="3327" width="7.6640625" style="712" customWidth="1"/>
    <col min="3328" max="3328" width="4.88671875" style="712"/>
    <col min="3329" max="3329" width="4.109375" style="712" customWidth="1"/>
    <col min="3330" max="3330" width="26" style="712" customWidth="1"/>
    <col min="3331" max="3331" width="3.21875" style="712" customWidth="1"/>
    <col min="3332" max="3332" width="2.44140625" style="712" customWidth="1"/>
    <col min="3333" max="3333" width="4.109375" style="712" customWidth="1"/>
    <col min="3334" max="3337" width="6.77734375" style="712" customWidth="1"/>
    <col min="3338" max="3342" width="0" style="712" hidden="1" customWidth="1"/>
    <col min="3343" max="3343" width="4.21875" style="712" customWidth="1"/>
    <col min="3344" max="3583" width="7.6640625" style="712" customWidth="1"/>
    <col min="3584" max="3584" width="4.88671875" style="712"/>
    <col min="3585" max="3585" width="4.109375" style="712" customWidth="1"/>
    <col min="3586" max="3586" width="26" style="712" customWidth="1"/>
    <col min="3587" max="3587" width="3.21875" style="712" customWidth="1"/>
    <col min="3588" max="3588" width="2.44140625" style="712" customWidth="1"/>
    <col min="3589" max="3589" width="4.109375" style="712" customWidth="1"/>
    <col min="3590" max="3593" width="6.77734375" style="712" customWidth="1"/>
    <col min="3594" max="3598" width="0" style="712" hidden="1" customWidth="1"/>
    <col min="3599" max="3599" width="4.21875" style="712" customWidth="1"/>
    <col min="3600" max="3839" width="7.6640625" style="712" customWidth="1"/>
    <col min="3840" max="3840" width="4.88671875" style="712"/>
    <col min="3841" max="3841" width="4.109375" style="712" customWidth="1"/>
    <col min="3842" max="3842" width="26" style="712" customWidth="1"/>
    <col min="3843" max="3843" width="3.21875" style="712" customWidth="1"/>
    <col min="3844" max="3844" width="2.44140625" style="712" customWidth="1"/>
    <col min="3845" max="3845" width="4.109375" style="712" customWidth="1"/>
    <col min="3846" max="3849" width="6.77734375" style="712" customWidth="1"/>
    <col min="3850" max="3854" width="0" style="712" hidden="1" customWidth="1"/>
    <col min="3855" max="3855" width="4.21875" style="712" customWidth="1"/>
    <col min="3856" max="4095" width="7.6640625" style="712" customWidth="1"/>
    <col min="4096" max="4096" width="4.88671875" style="712"/>
    <col min="4097" max="4097" width="4.109375" style="712" customWidth="1"/>
    <col min="4098" max="4098" width="26" style="712" customWidth="1"/>
    <col min="4099" max="4099" width="3.21875" style="712" customWidth="1"/>
    <col min="4100" max="4100" width="2.44140625" style="712" customWidth="1"/>
    <col min="4101" max="4101" width="4.109375" style="712" customWidth="1"/>
    <col min="4102" max="4105" width="6.77734375" style="712" customWidth="1"/>
    <col min="4106" max="4110" width="0" style="712" hidden="1" customWidth="1"/>
    <col min="4111" max="4111" width="4.21875" style="712" customWidth="1"/>
    <col min="4112" max="4351" width="7.6640625" style="712" customWidth="1"/>
    <col min="4352" max="4352" width="4.88671875" style="712"/>
    <col min="4353" max="4353" width="4.109375" style="712" customWidth="1"/>
    <col min="4354" max="4354" width="26" style="712" customWidth="1"/>
    <col min="4355" max="4355" width="3.21875" style="712" customWidth="1"/>
    <col min="4356" max="4356" width="2.44140625" style="712" customWidth="1"/>
    <col min="4357" max="4357" width="4.109375" style="712" customWidth="1"/>
    <col min="4358" max="4361" width="6.77734375" style="712" customWidth="1"/>
    <col min="4362" max="4366" width="0" style="712" hidden="1" customWidth="1"/>
    <col min="4367" max="4367" width="4.21875" style="712" customWidth="1"/>
    <col min="4368" max="4607" width="7.6640625" style="712" customWidth="1"/>
    <col min="4608" max="4608" width="4.88671875" style="712"/>
    <col min="4609" max="4609" width="4.109375" style="712" customWidth="1"/>
    <col min="4610" max="4610" width="26" style="712" customWidth="1"/>
    <col min="4611" max="4611" width="3.21875" style="712" customWidth="1"/>
    <col min="4612" max="4612" width="2.44140625" style="712" customWidth="1"/>
    <col min="4613" max="4613" width="4.109375" style="712" customWidth="1"/>
    <col min="4614" max="4617" width="6.77734375" style="712" customWidth="1"/>
    <col min="4618" max="4622" width="0" style="712" hidden="1" customWidth="1"/>
    <col min="4623" max="4623" width="4.21875" style="712" customWidth="1"/>
    <col min="4624" max="4863" width="7.6640625" style="712" customWidth="1"/>
    <col min="4864" max="4864" width="4.88671875" style="712"/>
    <col min="4865" max="4865" width="4.109375" style="712" customWidth="1"/>
    <col min="4866" max="4866" width="26" style="712" customWidth="1"/>
    <col min="4867" max="4867" width="3.21875" style="712" customWidth="1"/>
    <col min="4868" max="4868" width="2.44140625" style="712" customWidth="1"/>
    <col min="4869" max="4869" width="4.109375" style="712" customWidth="1"/>
    <col min="4870" max="4873" width="6.77734375" style="712" customWidth="1"/>
    <col min="4874" max="4878" width="0" style="712" hidden="1" customWidth="1"/>
    <col min="4879" max="4879" width="4.21875" style="712" customWidth="1"/>
    <col min="4880" max="5119" width="7.6640625" style="712" customWidth="1"/>
    <col min="5120" max="5120" width="4.88671875" style="712"/>
    <col min="5121" max="5121" width="4.109375" style="712" customWidth="1"/>
    <col min="5122" max="5122" width="26" style="712" customWidth="1"/>
    <col min="5123" max="5123" width="3.21875" style="712" customWidth="1"/>
    <col min="5124" max="5124" width="2.44140625" style="712" customWidth="1"/>
    <col min="5125" max="5125" width="4.109375" style="712" customWidth="1"/>
    <col min="5126" max="5129" width="6.77734375" style="712" customWidth="1"/>
    <col min="5130" max="5134" width="0" style="712" hidden="1" customWidth="1"/>
    <col min="5135" max="5135" width="4.21875" style="712" customWidth="1"/>
    <col min="5136" max="5375" width="7.6640625" style="712" customWidth="1"/>
    <col min="5376" max="5376" width="4.88671875" style="712"/>
    <col min="5377" max="5377" width="4.109375" style="712" customWidth="1"/>
    <col min="5378" max="5378" width="26" style="712" customWidth="1"/>
    <col min="5379" max="5379" width="3.21875" style="712" customWidth="1"/>
    <col min="5380" max="5380" width="2.44140625" style="712" customWidth="1"/>
    <col min="5381" max="5381" width="4.109375" style="712" customWidth="1"/>
    <col min="5382" max="5385" width="6.77734375" style="712" customWidth="1"/>
    <col min="5386" max="5390" width="0" style="712" hidden="1" customWidth="1"/>
    <col min="5391" max="5391" width="4.21875" style="712" customWidth="1"/>
    <col min="5392" max="5631" width="7.6640625" style="712" customWidth="1"/>
    <col min="5632" max="5632" width="4.88671875" style="712"/>
    <col min="5633" max="5633" width="4.109375" style="712" customWidth="1"/>
    <col min="5634" max="5634" width="26" style="712" customWidth="1"/>
    <col min="5635" max="5635" width="3.21875" style="712" customWidth="1"/>
    <col min="5636" max="5636" width="2.44140625" style="712" customWidth="1"/>
    <col min="5637" max="5637" width="4.109375" style="712" customWidth="1"/>
    <col min="5638" max="5641" width="6.77734375" style="712" customWidth="1"/>
    <col min="5642" max="5646" width="0" style="712" hidden="1" customWidth="1"/>
    <col min="5647" max="5647" width="4.21875" style="712" customWidth="1"/>
    <col min="5648" max="5887" width="7.6640625" style="712" customWidth="1"/>
    <col min="5888" max="5888" width="4.88671875" style="712"/>
    <col min="5889" max="5889" width="4.109375" style="712" customWidth="1"/>
    <col min="5890" max="5890" width="26" style="712" customWidth="1"/>
    <col min="5891" max="5891" width="3.21875" style="712" customWidth="1"/>
    <col min="5892" max="5892" width="2.44140625" style="712" customWidth="1"/>
    <col min="5893" max="5893" width="4.109375" style="712" customWidth="1"/>
    <col min="5894" max="5897" width="6.77734375" style="712" customWidth="1"/>
    <col min="5898" max="5902" width="0" style="712" hidden="1" customWidth="1"/>
    <col min="5903" max="5903" width="4.21875" style="712" customWidth="1"/>
    <col min="5904" max="6143" width="7.6640625" style="712" customWidth="1"/>
    <col min="6144" max="6144" width="4.88671875" style="712"/>
    <col min="6145" max="6145" width="4.109375" style="712" customWidth="1"/>
    <col min="6146" max="6146" width="26" style="712" customWidth="1"/>
    <col min="6147" max="6147" width="3.21875" style="712" customWidth="1"/>
    <col min="6148" max="6148" width="2.44140625" style="712" customWidth="1"/>
    <col min="6149" max="6149" width="4.109375" style="712" customWidth="1"/>
    <col min="6150" max="6153" width="6.77734375" style="712" customWidth="1"/>
    <col min="6154" max="6158" width="0" style="712" hidden="1" customWidth="1"/>
    <col min="6159" max="6159" width="4.21875" style="712" customWidth="1"/>
    <col min="6160" max="6399" width="7.6640625" style="712" customWidth="1"/>
    <col min="6400" max="6400" width="4.88671875" style="712"/>
    <col min="6401" max="6401" width="4.109375" style="712" customWidth="1"/>
    <col min="6402" max="6402" width="26" style="712" customWidth="1"/>
    <col min="6403" max="6403" width="3.21875" style="712" customWidth="1"/>
    <col min="6404" max="6404" width="2.44140625" style="712" customWidth="1"/>
    <col min="6405" max="6405" width="4.109375" style="712" customWidth="1"/>
    <col min="6406" max="6409" width="6.77734375" style="712" customWidth="1"/>
    <col min="6410" max="6414" width="0" style="712" hidden="1" customWidth="1"/>
    <col min="6415" max="6415" width="4.21875" style="712" customWidth="1"/>
    <col min="6416" max="6655" width="7.6640625" style="712" customWidth="1"/>
    <col min="6656" max="6656" width="4.88671875" style="712"/>
    <col min="6657" max="6657" width="4.109375" style="712" customWidth="1"/>
    <col min="6658" max="6658" width="26" style="712" customWidth="1"/>
    <col min="6659" max="6659" width="3.21875" style="712" customWidth="1"/>
    <col min="6660" max="6660" width="2.44140625" style="712" customWidth="1"/>
    <col min="6661" max="6661" width="4.109375" style="712" customWidth="1"/>
    <col min="6662" max="6665" width="6.77734375" style="712" customWidth="1"/>
    <col min="6666" max="6670" width="0" style="712" hidden="1" customWidth="1"/>
    <col min="6671" max="6671" width="4.21875" style="712" customWidth="1"/>
    <col min="6672" max="6911" width="7.6640625" style="712" customWidth="1"/>
    <col min="6912" max="6912" width="4.88671875" style="712"/>
    <col min="6913" max="6913" width="4.109375" style="712" customWidth="1"/>
    <col min="6914" max="6914" width="26" style="712" customWidth="1"/>
    <col min="6915" max="6915" width="3.21875" style="712" customWidth="1"/>
    <col min="6916" max="6916" width="2.44140625" style="712" customWidth="1"/>
    <col min="6917" max="6917" width="4.109375" style="712" customWidth="1"/>
    <col min="6918" max="6921" width="6.77734375" style="712" customWidth="1"/>
    <col min="6922" max="6926" width="0" style="712" hidden="1" customWidth="1"/>
    <col min="6927" max="6927" width="4.21875" style="712" customWidth="1"/>
    <col min="6928" max="7167" width="7.6640625" style="712" customWidth="1"/>
    <col min="7168" max="7168" width="4.88671875" style="712"/>
    <col min="7169" max="7169" width="4.109375" style="712" customWidth="1"/>
    <col min="7170" max="7170" width="26" style="712" customWidth="1"/>
    <col min="7171" max="7171" width="3.21875" style="712" customWidth="1"/>
    <col min="7172" max="7172" width="2.44140625" style="712" customWidth="1"/>
    <col min="7173" max="7173" width="4.109375" style="712" customWidth="1"/>
    <col min="7174" max="7177" width="6.77734375" style="712" customWidth="1"/>
    <col min="7178" max="7182" width="0" style="712" hidden="1" customWidth="1"/>
    <col min="7183" max="7183" width="4.21875" style="712" customWidth="1"/>
    <col min="7184" max="7423" width="7.6640625" style="712" customWidth="1"/>
    <col min="7424" max="7424" width="4.88671875" style="712"/>
    <col min="7425" max="7425" width="4.109375" style="712" customWidth="1"/>
    <col min="7426" max="7426" width="26" style="712" customWidth="1"/>
    <col min="7427" max="7427" width="3.21875" style="712" customWidth="1"/>
    <col min="7428" max="7428" width="2.44140625" style="712" customWidth="1"/>
    <col min="7429" max="7429" width="4.109375" style="712" customWidth="1"/>
    <col min="7430" max="7433" width="6.77734375" style="712" customWidth="1"/>
    <col min="7434" max="7438" width="0" style="712" hidden="1" customWidth="1"/>
    <col min="7439" max="7439" width="4.21875" style="712" customWidth="1"/>
    <col min="7440" max="7679" width="7.6640625" style="712" customWidth="1"/>
    <col min="7680" max="7680" width="4.88671875" style="712"/>
    <col min="7681" max="7681" width="4.109375" style="712" customWidth="1"/>
    <col min="7682" max="7682" width="26" style="712" customWidth="1"/>
    <col min="7683" max="7683" width="3.21875" style="712" customWidth="1"/>
    <col min="7684" max="7684" width="2.44140625" style="712" customWidth="1"/>
    <col min="7685" max="7685" width="4.109375" style="712" customWidth="1"/>
    <col min="7686" max="7689" width="6.77734375" style="712" customWidth="1"/>
    <col min="7690" max="7694" width="0" style="712" hidden="1" customWidth="1"/>
    <col min="7695" max="7695" width="4.21875" style="712" customWidth="1"/>
    <col min="7696" max="7935" width="7.6640625" style="712" customWidth="1"/>
    <col min="7936" max="7936" width="4.88671875" style="712"/>
    <col min="7937" max="7937" width="4.109375" style="712" customWidth="1"/>
    <col min="7938" max="7938" width="26" style="712" customWidth="1"/>
    <col min="7939" max="7939" width="3.21875" style="712" customWidth="1"/>
    <col min="7940" max="7940" width="2.44140625" style="712" customWidth="1"/>
    <col min="7941" max="7941" width="4.109375" style="712" customWidth="1"/>
    <col min="7942" max="7945" width="6.77734375" style="712" customWidth="1"/>
    <col min="7946" max="7950" width="0" style="712" hidden="1" customWidth="1"/>
    <col min="7951" max="7951" width="4.21875" style="712" customWidth="1"/>
    <col min="7952" max="8191" width="7.6640625" style="712" customWidth="1"/>
    <col min="8192" max="8192" width="4.88671875" style="712"/>
    <col min="8193" max="8193" width="4.109375" style="712" customWidth="1"/>
    <col min="8194" max="8194" width="26" style="712" customWidth="1"/>
    <col min="8195" max="8195" width="3.21875" style="712" customWidth="1"/>
    <col min="8196" max="8196" width="2.44140625" style="712" customWidth="1"/>
    <col min="8197" max="8197" width="4.109375" style="712" customWidth="1"/>
    <col min="8198" max="8201" width="6.77734375" style="712" customWidth="1"/>
    <col min="8202" max="8206" width="0" style="712" hidden="1" customWidth="1"/>
    <col min="8207" max="8207" width="4.21875" style="712" customWidth="1"/>
    <col min="8208" max="8447" width="7.6640625" style="712" customWidth="1"/>
    <col min="8448" max="8448" width="4.88671875" style="712"/>
    <col min="8449" max="8449" width="4.109375" style="712" customWidth="1"/>
    <col min="8450" max="8450" width="26" style="712" customWidth="1"/>
    <col min="8451" max="8451" width="3.21875" style="712" customWidth="1"/>
    <col min="8452" max="8452" width="2.44140625" style="712" customWidth="1"/>
    <col min="8453" max="8453" width="4.109375" style="712" customWidth="1"/>
    <col min="8454" max="8457" width="6.77734375" style="712" customWidth="1"/>
    <col min="8458" max="8462" width="0" style="712" hidden="1" customWidth="1"/>
    <col min="8463" max="8463" width="4.21875" style="712" customWidth="1"/>
    <col min="8464" max="8703" width="7.6640625" style="712" customWidth="1"/>
    <col min="8704" max="8704" width="4.88671875" style="712"/>
    <col min="8705" max="8705" width="4.109375" style="712" customWidth="1"/>
    <col min="8706" max="8706" width="26" style="712" customWidth="1"/>
    <col min="8707" max="8707" width="3.21875" style="712" customWidth="1"/>
    <col min="8708" max="8708" width="2.44140625" style="712" customWidth="1"/>
    <col min="8709" max="8709" width="4.109375" style="712" customWidth="1"/>
    <col min="8710" max="8713" width="6.77734375" style="712" customWidth="1"/>
    <col min="8714" max="8718" width="0" style="712" hidden="1" customWidth="1"/>
    <col min="8719" max="8719" width="4.21875" style="712" customWidth="1"/>
    <col min="8720" max="8959" width="7.6640625" style="712" customWidth="1"/>
    <col min="8960" max="8960" width="4.88671875" style="712"/>
    <col min="8961" max="8961" width="4.109375" style="712" customWidth="1"/>
    <col min="8962" max="8962" width="26" style="712" customWidth="1"/>
    <col min="8963" max="8963" width="3.21875" style="712" customWidth="1"/>
    <col min="8964" max="8964" width="2.44140625" style="712" customWidth="1"/>
    <col min="8965" max="8965" width="4.109375" style="712" customWidth="1"/>
    <col min="8966" max="8969" width="6.77734375" style="712" customWidth="1"/>
    <col min="8970" max="8974" width="0" style="712" hidden="1" customWidth="1"/>
    <col min="8975" max="8975" width="4.21875" style="712" customWidth="1"/>
    <col min="8976" max="9215" width="7.6640625" style="712" customWidth="1"/>
    <col min="9216" max="9216" width="4.88671875" style="712"/>
    <col min="9217" max="9217" width="4.109375" style="712" customWidth="1"/>
    <col min="9218" max="9218" width="26" style="712" customWidth="1"/>
    <col min="9219" max="9219" width="3.21875" style="712" customWidth="1"/>
    <col min="9220" max="9220" width="2.44140625" style="712" customWidth="1"/>
    <col min="9221" max="9221" width="4.109375" style="712" customWidth="1"/>
    <col min="9222" max="9225" width="6.77734375" style="712" customWidth="1"/>
    <col min="9226" max="9230" width="0" style="712" hidden="1" customWidth="1"/>
    <col min="9231" max="9231" width="4.21875" style="712" customWidth="1"/>
    <col min="9232" max="9471" width="7.6640625" style="712" customWidth="1"/>
    <col min="9472" max="9472" width="4.88671875" style="712"/>
    <col min="9473" max="9473" width="4.109375" style="712" customWidth="1"/>
    <col min="9474" max="9474" width="26" style="712" customWidth="1"/>
    <col min="9475" max="9475" width="3.21875" style="712" customWidth="1"/>
    <col min="9476" max="9476" width="2.44140625" style="712" customWidth="1"/>
    <col min="9477" max="9477" width="4.109375" style="712" customWidth="1"/>
    <col min="9478" max="9481" width="6.77734375" style="712" customWidth="1"/>
    <col min="9482" max="9486" width="0" style="712" hidden="1" customWidth="1"/>
    <col min="9487" max="9487" width="4.21875" style="712" customWidth="1"/>
    <col min="9488" max="9727" width="7.6640625" style="712" customWidth="1"/>
    <col min="9728" max="9728" width="4.88671875" style="712"/>
    <col min="9729" max="9729" width="4.109375" style="712" customWidth="1"/>
    <col min="9730" max="9730" width="26" style="712" customWidth="1"/>
    <col min="9731" max="9731" width="3.21875" style="712" customWidth="1"/>
    <col min="9732" max="9732" width="2.44140625" style="712" customWidth="1"/>
    <col min="9733" max="9733" width="4.109375" style="712" customWidth="1"/>
    <col min="9734" max="9737" width="6.77734375" style="712" customWidth="1"/>
    <col min="9738" max="9742" width="0" style="712" hidden="1" customWidth="1"/>
    <col min="9743" max="9743" width="4.21875" style="712" customWidth="1"/>
    <col min="9744" max="9983" width="7.6640625" style="712" customWidth="1"/>
    <col min="9984" max="9984" width="4.88671875" style="712"/>
    <col min="9985" max="9985" width="4.109375" style="712" customWidth="1"/>
    <col min="9986" max="9986" width="26" style="712" customWidth="1"/>
    <col min="9987" max="9987" width="3.21875" style="712" customWidth="1"/>
    <col min="9988" max="9988" width="2.44140625" style="712" customWidth="1"/>
    <col min="9989" max="9989" width="4.109375" style="712" customWidth="1"/>
    <col min="9990" max="9993" width="6.77734375" style="712" customWidth="1"/>
    <col min="9994" max="9998" width="0" style="712" hidden="1" customWidth="1"/>
    <col min="9999" max="9999" width="4.21875" style="712" customWidth="1"/>
    <col min="10000" max="10239" width="7.6640625" style="712" customWidth="1"/>
    <col min="10240" max="10240" width="4.88671875" style="712"/>
    <col min="10241" max="10241" width="4.109375" style="712" customWidth="1"/>
    <col min="10242" max="10242" width="26" style="712" customWidth="1"/>
    <col min="10243" max="10243" width="3.21875" style="712" customWidth="1"/>
    <col min="10244" max="10244" width="2.44140625" style="712" customWidth="1"/>
    <col min="10245" max="10245" width="4.109375" style="712" customWidth="1"/>
    <col min="10246" max="10249" width="6.77734375" style="712" customWidth="1"/>
    <col min="10250" max="10254" width="0" style="712" hidden="1" customWidth="1"/>
    <col min="10255" max="10255" width="4.21875" style="712" customWidth="1"/>
    <col min="10256" max="10495" width="7.6640625" style="712" customWidth="1"/>
    <col min="10496" max="10496" width="4.88671875" style="712"/>
    <col min="10497" max="10497" width="4.109375" style="712" customWidth="1"/>
    <col min="10498" max="10498" width="26" style="712" customWidth="1"/>
    <col min="10499" max="10499" width="3.21875" style="712" customWidth="1"/>
    <col min="10500" max="10500" width="2.44140625" style="712" customWidth="1"/>
    <col min="10501" max="10501" width="4.109375" style="712" customWidth="1"/>
    <col min="10502" max="10505" width="6.77734375" style="712" customWidth="1"/>
    <col min="10506" max="10510" width="0" style="712" hidden="1" customWidth="1"/>
    <col min="10511" max="10511" width="4.21875" style="712" customWidth="1"/>
    <col min="10512" max="10751" width="7.6640625" style="712" customWidth="1"/>
    <col min="10752" max="10752" width="4.88671875" style="712"/>
    <col min="10753" max="10753" width="4.109375" style="712" customWidth="1"/>
    <col min="10754" max="10754" width="26" style="712" customWidth="1"/>
    <col min="10755" max="10755" width="3.21875" style="712" customWidth="1"/>
    <col min="10756" max="10756" width="2.44140625" style="712" customWidth="1"/>
    <col min="10757" max="10757" width="4.109375" style="712" customWidth="1"/>
    <col min="10758" max="10761" width="6.77734375" style="712" customWidth="1"/>
    <col min="10762" max="10766" width="0" style="712" hidden="1" customWidth="1"/>
    <col min="10767" max="10767" width="4.21875" style="712" customWidth="1"/>
    <col min="10768" max="11007" width="7.6640625" style="712" customWidth="1"/>
    <col min="11008" max="11008" width="4.88671875" style="712"/>
    <col min="11009" max="11009" width="4.109375" style="712" customWidth="1"/>
    <col min="11010" max="11010" width="26" style="712" customWidth="1"/>
    <col min="11011" max="11011" width="3.21875" style="712" customWidth="1"/>
    <col min="11012" max="11012" width="2.44140625" style="712" customWidth="1"/>
    <col min="11013" max="11013" width="4.109375" style="712" customWidth="1"/>
    <col min="11014" max="11017" width="6.77734375" style="712" customWidth="1"/>
    <col min="11018" max="11022" width="0" style="712" hidden="1" customWidth="1"/>
    <col min="11023" max="11023" width="4.21875" style="712" customWidth="1"/>
    <col min="11024" max="11263" width="7.6640625" style="712" customWidth="1"/>
    <col min="11264" max="11264" width="4.88671875" style="712"/>
    <col min="11265" max="11265" width="4.109375" style="712" customWidth="1"/>
    <col min="11266" max="11266" width="26" style="712" customWidth="1"/>
    <col min="11267" max="11267" width="3.21875" style="712" customWidth="1"/>
    <col min="11268" max="11268" width="2.44140625" style="712" customWidth="1"/>
    <col min="11269" max="11269" width="4.109375" style="712" customWidth="1"/>
    <col min="11270" max="11273" width="6.77734375" style="712" customWidth="1"/>
    <col min="11274" max="11278" width="0" style="712" hidden="1" customWidth="1"/>
    <col min="11279" max="11279" width="4.21875" style="712" customWidth="1"/>
    <col min="11280" max="11519" width="7.6640625" style="712" customWidth="1"/>
    <col min="11520" max="11520" width="4.88671875" style="712"/>
    <col min="11521" max="11521" width="4.109375" style="712" customWidth="1"/>
    <col min="11522" max="11522" width="26" style="712" customWidth="1"/>
    <col min="11523" max="11523" width="3.21875" style="712" customWidth="1"/>
    <col min="11524" max="11524" width="2.44140625" style="712" customWidth="1"/>
    <col min="11525" max="11525" width="4.109375" style="712" customWidth="1"/>
    <col min="11526" max="11529" width="6.77734375" style="712" customWidth="1"/>
    <col min="11530" max="11534" width="0" style="712" hidden="1" customWidth="1"/>
    <col min="11535" max="11535" width="4.21875" style="712" customWidth="1"/>
    <col min="11536" max="11775" width="7.6640625" style="712" customWidth="1"/>
    <col min="11776" max="11776" width="4.88671875" style="712"/>
    <col min="11777" max="11777" width="4.109375" style="712" customWidth="1"/>
    <col min="11778" max="11778" width="26" style="712" customWidth="1"/>
    <col min="11779" max="11779" width="3.21875" style="712" customWidth="1"/>
    <col min="11780" max="11780" width="2.44140625" style="712" customWidth="1"/>
    <col min="11781" max="11781" width="4.109375" style="712" customWidth="1"/>
    <col min="11782" max="11785" width="6.77734375" style="712" customWidth="1"/>
    <col min="11786" max="11790" width="0" style="712" hidden="1" customWidth="1"/>
    <col min="11791" max="11791" width="4.21875" style="712" customWidth="1"/>
    <col min="11792" max="12031" width="7.6640625" style="712" customWidth="1"/>
    <col min="12032" max="12032" width="4.88671875" style="712"/>
    <col min="12033" max="12033" width="4.109375" style="712" customWidth="1"/>
    <col min="12034" max="12034" width="26" style="712" customWidth="1"/>
    <col min="12035" max="12035" width="3.21875" style="712" customWidth="1"/>
    <col min="12036" max="12036" width="2.44140625" style="712" customWidth="1"/>
    <col min="12037" max="12037" width="4.109375" style="712" customWidth="1"/>
    <col min="12038" max="12041" width="6.77734375" style="712" customWidth="1"/>
    <col min="12042" max="12046" width="0" style="712" hidden="1" customWidth="1"/>
    <col min="12047" max="12047" width="4.21875" style="712" customWidth="1"/>
    <col min="12048" max="12287" width="7.6640625" style="712" customWidth="1"/>
    <col min="12288" max="12288" width="4.88671875" style="712"/>
    <col min="12289" max="12289" width="4.109375" style="712" customWidth="1"/>
    <col min="12290" max="12290" width="26" style="712" customWidth="1"/>
    <col min="12291" max="12291" width="3.21875" style="712" customWidth="1"/>
    <col min="12292" max="12292" width="2.44140625" style="712" customWidth="1"/>
    <col min="12293" max="12293" width="4.109375" style="712" customWidth="1"/>
    <col min="12294" max="12297" width="6.77734375" style="712" customWidth="1"/>
    <col min="12298" max="12302" width="0" style="712" hidden="1" customWidth="1"/>
    <col min="12303" max="12303" width="4.21875" style="712" customWidth="1"/>
    <col min="12304" max="12543" width="7.6640625" style="712" customWidth="1"/>
    <col min="12544" max="12544" width="4.88671875" style="712"/>
    <col min="12545" max="12545" width="4.109375" style="712" customWidth="1"/>
    <col min="12546" max="12546" width="26" style="712" customWidth="1"/>
    <col min="12547" max="12547" width="3.21875" style="712" customWidth="1"/>
    <col min="12548" max="12548" width="2.44140625" style="712" customWidth="1"/>
    <col min="12549" max="12549" width="4.109375" style="712" customWidth="1"/>
    <col min="12550" max="12553" width="6.77734375" style="712" customWidth="1"/>
    <col min="12554" max="12558" width="0" style="712" hidden="1" customWidth="1"/>
    <col min="12559" max="12559" width="4.21875" style="712" customWidth="1"/>
    <col min="12560" max="12799" width="7.6640625" style="712" customWidth="1"/>
    <col min="12800" max="12800" width="4.88671875" style="712"/>
    <col min="12801" max="12801" width="4.109375" style="712" customWidth="1"/>
    <col min="12802" max="12802" width="26" style="712" customWidth="1"/>
    <col min="12803" max="12803" width="3.21875" style="712" customWidth="1"/>
    <col min="12804" max="12804" width="2.44140625" style="712" customWidth="1"/>
    <col min="12805" max="12805" width="4.109375" style="712" customWidth="1"/>
    <col min="12806" max="12809" width="6.77734375" style="712" customWidth="1"/>
    <col min="12810" max="12814" width="0" style="712" hidden="1" customWidth="1"/>
    <col min="12815" max="12815" width="4.21875" style="712" customWidth="1"/>
    <col min="12816" max="13055" width="7.6640625" style="712" customWidth="1"/>
    <col min="13056" max="13056" width="4.88671875" style="712"/>
    <col min="13057" max="13057" width="4.109375" style="712" customWidth="1"/>
    <col min="13058" max="13058" width="26" style="712" customWidth="1"/>
    <col min="13059" max="13059" width="3.21875" style="712" customWidth="1"/>
    <col min="13060" max="13060" width="2.44140625" style="712" customWidth="1"/>
    <col min="13061" max="13061" width="4.109375" style="712" customWidth="1"/>
    <col min="13062" max="13065" width="6.77734375" style="712" customWidth="1"/>
    <col min="13066" max="13070" width="0" style="712" hidden="1" customWidth="1"/>
    <col min="13071" max="13071" width="4.21875" style="712" customWidth="1"/>
    <col min="13072" max="13311" width="7.6640625" style="712" customWidth="1"/>
    <col min="13312" max="13312" width="4.88671875" style="712"/>
    <col min="13313" max="13313" width="4.109375" style="712" customWidth="1"/>
    <col min="13314" max="13314" width="26" style="712" customWidth="1"/>
    <col min="13315" max="13315" width="3.21875" style="712" customWidth="1"/>
    <col min="13316" max="13316" width="2.44140625" style="712" customWidth="1"/>
    <col min="13317" max="13317" width="4.109375" style="712" customWidth="1"/>
    <col min="13318" max="13321" width="6.77734375" style="712" customWidth="1"/>
    <col min="13322" max="13326" width="0" style="712" hidden="1" customWidth="1"/>
    <col min="13327" max="13327" width="4.21875" style="712" customWidth="1"/>
    <col min="13328" max="13567" width="7.6640625" style="712" customWidth="1"/>
    <col min="13568" max="13568" width="4.88671875" style="712"/>
    <col min="13569" max="13569" width="4.109375" style="712" customWidth="1"/>
    <col min="13570" max="13570" width="26" style="712" customWidth="1"/>
    <col min="13571" max="13571" width="3.21875" style="712" customWidth="1"/>
    <col min="13572" max="13572" width="2.44140625" style="712" customWidth="1"/>
    <col min="13573" max="13573" width="4.109375" style="712" customWidth="1"/>
    <col min="13574" max="13577" width="6.77734375" style="712" customWidth="1"/>
    <col min="13578" max="13582" width="0" style="712" hidden="1" customWidth="1"/>
    <col min="13583" max="13583" width="4.21875" style="712" customWidth="1"/>
    <col min="13584" max="13823" width="7.6640625" style="712" customWidth="1"/>
    <col min="13824" max="13824" width="4.88671875" style="712"/>
    <col min="13825" max="13825" width="4.109375" style="712" customWidth="1"/>
    <col min="13826" max="13826" width="26" style="712" customWidth="1"/>
    <col min="13827" max="13827" width="3.21875" style="712" customWidth="1"/>
    <col min="13828" max="13828" width="2.44140625" style="712" customWidth="1"/>
    <col min="13829" max="13829" width="4.109375" style="712" customWidth="1"/>
    <col min="13830" max="13833" width="6.77734375" style="712" customWidth="1"/>
    <col min="13834" max="13838" width="0" style="712" hidden="1" customWidth="1"/>
    <col min="13839" max="13839" width="4.21875" style="712" customWidth="1"/>
    <col min="13840" max="14079" width="7.6640625" style="712" customWidth="1"/>
    <col min="14080" max="14080" width="4.88671875" style="712"/>
    <col min="14081" max="14081" width="4.109375" style="712" customWidth="1"/>
    <col min="14082" max="14082" width="26" style="712" customWidth="1"/>
    <col min="14083" max="14083" width="3.21875" style="712" customWidth="1"/>
    <col min="14084" max="14084" width="2.44140625" style="712" customWidth="1"/>
    <col min="14085" max="14085" width="4.109375" style="712" customWidth="1"/>
    <col min="14086" max="14089" width="6.77734375" style="712" customWidth="1"/>
    <col min="14090" max="14094" width="0" style="712" hidden="1" customWidth="1"/>
    <col min="14095" max="14095" width="4.21875" style="712" customWidth="1"/>
    <col min="14096" max="14335" width="7.6640625" style="712" customWidth="1"/>
    <col min="14336" max="14336" width="4.88671875" style="712"/>
    <col min="14337" max="14337" width="4.109375" style="712" customWidth="1"/>
    <col min="14338" max="14338" width="26" style="712" customWidth="1"/>
    <col min="14339" max="14339" width="3.21875" style="712" customWidth="1"/>
    <col min="14340" max="14340" width="2.44140625" style="712" customWidth="1"/>
    <col min="14341" max="14341" width="4.109375" style="712" customWidth="1"/>
    <col min="14342" max="14345" width="6.77734375" style="712" customWidth="1"/>
    <col min="14346" max="14350" width="0" style="712" hidden="1" customWidth="1"/>
    <col min="14351" max="14351" width="4.21875" style="712" customWidth="1"/>
    <col min="14352" max="14591" width="7.6640625" style="712" customWidth="1"/>
    <col min="14592" max="14592" width="4.88671875" style="712"/>
    <col min="14593" max="14593" width="4.109375" style="712" customWidth="1"/>
    <col min="14594" max="14594" width="26" style="712" customWidth="1"/>
    <col min="14595" max="14595" width="3.21875" style="712" customWidth="1"/>
    <col min="14596" max="14596" width="2.44140625" style="712" customWidth="1"/>
    <col min="14597" max="14597" width="4.109375" style="712" customWidth="1"/>
    <col min="14598" max="14601" width="6.77734375" style="712" customWidth="1"/>
    <col min="14602" max="14606" width="0" style="712" hidden="1" customWidth="1"/>
    <col min="14607" max="14607" width="4.21875" style="712" customWidth="1"/>
    <col min="14608" max="14847" width="7.6640625" style="712" customWidth="1"/>
    <col min="14848" max="14848" width="4.88671875" style="712"/>
    <col min="14849" max="14849" width="4.109375" style="712" customWidth="1"/>
    <col min="14850" max="14850" width="26" style="712" customWidth="1"/>
    <col min="14851" max="14851" width="3.21875" style="712" customWidth="1"/>
    <col min="14852" max="14852" width="2.44140625" style="712" customWidth="1"/>
    <col min="14853" max="14853" width="4.109375" style="712" customWidth="1"/>
    <col min="14854" max="14857" width="6.77734375" style="712" customWidth="1"/>
    <col min="14858" max="14862" width="0" style="712" hidden="1" customWidth="1"/>
    <col min="14863" max="14863" width="4.21875" style="712" customWidth="1"/>
    <col min="14864" max="15103" width="7.6640625" style="712" customWidth="1"/>
    <col min="15104" max="15104" width="4.88671875" style="712"/>
    <col min="15105" max="15105" width="4.109375" style="712" customWidth="1"/>
    <col min="15106" max="15106" width="26" style="712" customWidth="1"/>
    <col min="15107" max="15107" width="3.21875" style="712" customWidth="1"/>
    <col min="15108" max="15108" width="2.44140625" style="712" customWidth="1"/>
    <col min="15109" max="15109" width="4.109375" style="712" customWidth="1"/>
    <col min="15110" max="15113" width="6.77734375" style="712" customWidth="1"/>
    <col min="15114" max="15118" width="0" style="712" hidden="1" customWidth="1"/>
    <col min="15119" max="15119" width="4.21875" style="712" customWidth="1"/>
    <col min="15120" max="15359" width="7.6640625" style="712" customWidth="1"/>
    <col min="15360" max="15360" width="4.88671875" style="712"/>
    <col min="15361" max="15361" width="4.109375" style="712" customWidth="1"/>
    <col min="15362" max="15362" width="26" style="712" customWidth="1"/>
    <col min="15363" max="15363" width="3.21875" style="712" customWidth="1"/>
    <col min="15364" max="15364" width="2.44140625" style="712" customWidth="1"/>
    <col min="15365" max="15365" width="4.109375" style="712" customWidth="1"/>
    <col min="15366" max="15369" width="6.77734375" style="712" customWidth="1"/>
    <col min="15370" max="15374" width="0" style="712" hidden="1" customWidth="1"/>
    <col min="15375" max="15375" width="4.21875" style="712" customWidth="1"/>
    <col min="15376" max="15615" width="7.6640625" style="712" customWidth="1"/>
    <col min="15616" max="15616" width="4.88671875" style="712"/>
    <col min="15617" max="15617" width="4.109375" style="712" customWidth="1"/>
    <col min="15618" max="15618" width="26" style="712" customWidth="1"/>
    <col min="15619" max="15619" width="3.21875" style="712" customWidth="1"/>
    <col min="15620" max="15620" width="2.44140625" style="712" customWidth="1"/>
    <col min="15621" max="15621" width="4.109375" style="712" customWidth="1"/>
    <col min="15622" max="15625" width="6.77734375" style="712" customWidth="1"/>
    <col min="15626" max="15630" width="0" style="712" hidden="1" customWidth="1"/>
    <col min="15631" max="15631" width="4.21875" style="712" customWidth="1"/>
    <col min="15632" max="15871" width="7.6640625" style="712" customWidth="1"/>
    <col min="15872" max="15872" width="4.88671875" style="712"/>
    <col min="15873" max="15873" width="4.109375" style="712" customWidth="1"/>
    <col min="15874" max="15874" width="26" style="712" customWidth="1"/>
    <col min="15875" max="15875" width="3.21875" style="712" customWidth="1"/>
    <col min="15876" max="15876" width="2.44140625" style="712" customWidth="1"/>
    <col min="15877" max="15877" width="4.109375" style="712" customWidth="1"/>
    <col min="15878" max="15881" width="6.77734375" style="712" customWidth="1"/>
    <col min="15882" max="15886" width="0" style="712" hidden="1" customWidth="1"/>
    <col min="15887" max="15887" width="4.21875" style="712" customWidth="1"/>
    <col min="15888" max="16127" width="7.6640625" style="712" customWidth="1"/>
    <col min="16128" max="16128" width="4.88671875" style="712"/>
    <col min="16129" max="16129" width="4.109375" style="712" customWidth="1"/>
    <col min="16130" max="16130" width="26" style="712" customWidth="1"/>
    <col min="16131" max="16131" width="3.21875" style="712" customWidth="1"/>
    <col min="16132" max="16132" width="2.44140625" style="712" customWidth="1"/>
    <col min="16133" max="16133" width="4.109375" style="712" customWidth="1"/>
    <col min="16134" max="16137" width="6.77734375" style="712" customWidth="1"/>
    <col min="16138" max="16142" width="0" style="712" hidden="1" customWidth="1"/>
    <col min="16143" max="16143" width="4.21875" style="712" customWidth="1"/>
    <col min="16144" max="16383" width="7.6640625" style="712" customWidth="1"/>
    <col min="16384" max="16384" width="4.88671875" style="712"/>
  </cols>
  <sheetData>
    <row r="1" spans="1:15" ht="19.899999999999999" customHeight="1">
      <c r="A1" s="1109" t="str">
        <f>'TW SHED'!A3:H3</f>
        <v>Name of work:  Construction of Urban Police Station Building at Nachiyarkoil in Thanjavur District under Announcement made by the Hon’ble Chief Minister for the year 2023 - 2024</v>
      </c>
      <c r="B1" s="1109"/>
      <c r="C1" s="1109"/>
      <c r="D1" s="1109"/>
      <c r="E1" s="1109"/>
      <c r="F1" s="1109"/>
      <c r="G1" s="1109"/>
      <c r="H1" s="1109"/>
      <c r="I1" s="1109"/>
      <c r="J1" s="1109"/>
      <c r="K1" s="1109"/>
      <c r="L1" s="1109"/>
      <c r="M1" s="1109"/>
      <c r="N1" s="1109"/>
      <c r="O1" s="1109"/>
    </row>
    <row r="2" spans="1:15" ht="19.899999999999999" customHeight="1">
      <c r="A2" s="1109"/>
      <c r="B2" s="1109"/>
      <c r="C2" s="1109"/>
      <c r="D2" s="1109"/>
      <c r="E2" s="1109"/>
      <c r="F2" s="1109"/>
      <c r="G2" s="1109"/>
      <c r="H2" s="1109"/>
      <c r="I2" s="1109"/>
      <c r="J2" s="1109"/>
      <c r="K2" s="1109"/>
      <c r="L2" s="1109"/>
      <c r="M2" s="1109"/>
      <c r="N2" s="1109"/>
      <c r="O2" s="1109"/>
    </row>
    <row r="3" spans="1:15" ht="10.15" customHeight="1">
      <c r="A3" s="713"/>
      <c r="B3" s="713"/>
      <c r="C3" s="713"/>
      <c r="D3" s="713"/>
      <c r="E3" s="713"/>
      <c r="F3" s="713"/>
      <c r="G3" s="713"/>
      <c r="H3" s="713"/>
      <c r="I3" s="713"/>
      <c r="J3" s="713"/>
      <c r="K3" s="713"/>
      <c r="L3" s="713"/>
      <c r="M3" s="713"/>
      <c r="N3" s="713"/>
      <c r="O3" s="713"/>
    </row>
    <row r="4" spans="1:15" ht="17.25">
      <c r="A4" s="1110" t="s">
        <v>4646</v>
      </c>
      <c r="B4" s="1110"/>
      <c r="C4" s="1110"/>
      <c r="D4" s="1110"/>
      <c r="E4" s="1110"/>
      <c r="F4" s="1110"/>
      <c r="G4" s="1110"/>
      <c r="H4" s="1110"/>
      <c r="I4" s="1110"/>
      <c r="J4" s="714"/>
      <c r="K4" s="714"/>
      <c r="L4" s="714"/>
      <c r="M4" s="714"/>
      <c r="N4" s="714"/>
      <c r="O4" s="715"/>
    </row>
    <row r="5" spans="1:15" ht="10.15" customHeight="1">
      <c r="A5" s="716"/>
      <c r="B5" s="716"/>
      <c r="C5" s="716"/>
      <c r="D5" s="716"/>
      <c r="E5" s="716"/>
      <c r="F5" s="716"/>
      <c r="G5" s="716"/>
      <c r="H5" s="716"/>
      <c r="I5" s="716"/>
      <c r="J5" s="714"/>
      <c r="K5" s="714"/>
      <c r="L5" s="714"/>
      <c r="M5" s="714"/>
      <c r="N5" s="714"/>
      <c r="O5" s="715"/>
    </row>
    <row r="6" spans="1:15" ht="30">
      <c r="A6" s="717" t="s">
        <v>4647</v>
      </c>
      <c r="B6" s="718" t="s">
        <v>1449</v>
      </c>
      <c r="C6" s="1111" t="s">
        <v>838</v>
      </c>
      <c r="D6" s="1111"/>
      <c r="E6" s="1111"/>
      <c r="F6" s="718" t="s">
        <v>3482</v>
      </c>
      <c r="G6" s="718" t="s">
        <v>1261</v>
      </c>
      <c r="H6" s="718" t="s">
        <v>3483</v>
      </c>
      <c r="I6" s="718" t="s">
        <v>3290</v>
      </c>
      <c r="J6" s="719"/>
      <c r="K6" s="719"/>
      <c r="L6" s="720" t="s">
        <v>4648</v>
      </c>
      <c r="M6" s="719"/>
      <c r="N6" s="719"/>
      <c r="O6" s="718" t="s">
        <v>181</v>
      </c>
    </row>
    <row r="7" spans="1:15">
      <c r="A7" s="718">
        <v>1</v>
      </c>
      <c r="B7" s="718">
        <v>2</v>
      </c>
      <c r="C7" s="1111">
        <v>3</v>
      </c>
      <c r="D7" s="1111"/>
      <c r="E7" s="1111"/>
      <c r="F7" s="718">
        <v>4</v>
      </c>
      <c r="G7" s="718">
        <v>5</v>
      </c>
      <c r="H7" s="718">
        <v>6</v>
      </c>
      <c r="I7" s="718">
        <v>7</v>
      </c>
      <c r="J7" s="719"/>
      <c r="K7" s="719"/>
      <c r="L7" s="719"/>
      <c r="M7" s="719"/>
      <c r="N7" s="719"/>
      <c r="O7" s="718">
        <v>8</v>
      </c>
    </row>
    <row r="8" spans="1:15" ht="49.9" customHeight="1">
      <c r="A8" s="721">
        <v>1</v>
      </c>
      <c r="B8" s="1112" t="s">
        <v>4649</v>
      </c>
      <c r="C8" s="1113"/>
      <c r="D8" s="1113"/>
      <c r="E8" s="1113"/>
      <c r="F8" s="1113"/>
      <c r="G8" s="1113"/>
      <c r="H8" s="1113"/>
      <c r="I8" s="1114"/>
      <c r="J8" s="722"/>
      <c r="K8" s="722"/>
      <c r="L8" s="722"/>
      <c r="M8" s="722">
        <f>(171.71/3)</f>
        <v>57.2366666666667</v>
      </c>
      <c r="N8" s="722"/>
      <c r="O8" s="723"/>
    </row>
    <row r="9" spans="1:15" ht="19.899999999999999" customHeight="1">
      <c r="A9" s="721"/>
      <c r="B9" s="724" t="s">
        <v>4650</v>
      </c>
      <c r="C9" s="721"/>
      <c r="D9" s="721"/>
      <c r="E9" s="721"/>
      <c r="F9" s="725"/>
      <c r="G9" s="725"/>
      <c r="H9" s="725"/>
      <c r="I9" s="725"/>
      <c r="J9" s="722"/>
      <c r="K9" s="722"/>
      <c r="L9" s="722"/>
      <c r="M9" s="722"/>
      <c r="N9" s="722"/>
      <c r="O9" s="723"/>
    </row>
    <row r="10" spans="1:15" ht="19.899999999999999" customHeight="1">
      <c r="A10" s="721"/>
      <c r="B10" s="726" t="s">
        <v>4651</v>
      </c>
      <c r="C10" s="721">
        <v>1</v>
      </c>
      <c r="D10" s="721" t="s">
        <v>4377</v>
      </c>
      <c r="E10" s="727">
        <v>7</v>
      </c>
      <c r="F10" s="728">
        <v>1.2</v>
      </c>
      <c r="G10" s="728">
        <v>1.2</v>
      </c>
      <c r="H10" s="728">
        <v>1.2</v>
      </c>
      <c r="I10" s="728">
        <f>PRODUCT(C10:H10)</f>
        <v>12.1</v>
      </c>
      <c r="J10" s="729"/>
      <c r="K10" s="729">
        <v>62</v>
      </c>
      <c r="L10" s="729" t="e">
        <f>K10+#REF!+#REF!+#REF!+#REF!</f>
        <v>#REF!</v>
      </c>
      <c r="M10" s="722"/>
      <c r="N10" s="722">
        <f>85</f>
        <v>85</v>
      </c>
      <c r="O10" s="730"/>
    </row>
    <row r="11" spans="1:15" ht="19.899999999999999" customHeight="1">
      <c r="A11" s="721"/>
      <c r="B11" s="731" t="s">
        <v>4652</v>
      </c>
      <c r="C11" s="721">
        <v>1</v>
      </c>
      <c r="D11" s="721" t="s">
        <v>4377</v>
      </c>
      <c r="E11" s="727">
        <v>2</v>
      </c>
      <c r="F11" s="728">
        <v>1.5</v>
      </c>
      <c r="G11" s="728">
        <v>1.5</v>
      </c>
      <c r="H11" s="728">
        <v>1.2</v>
      </c>
      <c r="I11" s="728">
        <f>PRODUCT(C11:H11)</f>
        <v>5.4</v>
      </c>
      <c r="J11" s="729"/>
      <c r="K11" s="729"/>
      <c r="L11" s="729"/>
      <c r="M11" s="722"/>
      <c r="N11" s="722"/>
      <c r="O11" s="730"/>
    </row>
    <row r="12" spans="1:15" ht="19.899999999999999" customHeight="1">
      <c r="A12" s="721"/>
      <c r="B12" s="731" t="s">
        <v>4653</v>
      </c>
      <c r="C12" s="721">
        <v>1</v>
      </c>
      <c r="D12" s="721" t="s">
        <v>4377</v>
      </c>
      <c r="E12" s="727">
        <v>1</v>
      </c>
      <c r="F12" s="728">
        <v>21</v>
      </c>
      <c r="G12" s="725">
        <v>0.38</v>
      </c>
      <c r="H12" s="728">
        <v>0.33</v>
      </c>
      <c r="I12" s="728">
        <f>PRODUCT(C12:H12)</f>
        <v>2.63</v>
      </c>
      <c r="J12" s="729"/>
      <c r="K12" s="729"/>
      <c r="L12" s="729"/>
      <c r="M12" s="722"/>
      <c r="N12" s="722"/>
      <c r="O12" s="730"/>
    </row>
    <row r="13" spans="1:15" ht="19.899999999999999" customHeight="1">
      <c r="A13" s="721"/>
      <c r="B13" s="732" t="s">
        <v>4654</v>
      </c>
      <c r="C13" s="721"/>
      <c r="D13" s="721"/>
      <c r="E13" s="727"/>
      <c r="F13" s="728"/>
      <c r="G13" s="725"/>
      <c r="H13" s="728"/>
      <c r="I13" s="728"/>
      <c r="J13" s="729"/>
      <c r="K13" s="729"/>
      <c r="L13" s="729"/>
      <c r="M13" s="722"/>
      <c r="N13" s="722"/>
      <c r="O13" s="730"/>
    </row>
    <row r="14" spans="1:15" ht="19.899999999999999" customHeight="1">
      <c r="A14" s="721"/>
      <c r="B14" s="733" t="s">
        <v>4651</v>
      </c>
      <c r="C14" s="721">
        <v>1</v>
      </c>
      <c r="D14" s="721" t="s">
        <v>4377</v>
      </c>
      <c r="E14" s="727">
        <v>33</v>
      </c>
      <c r="F14" s="728">
        <v>1.2</v>
      </c>
      <c r="G14" s="728">
        <v>1.2</v>
      </c>
      <c r="H14" s="728">
        <v>1.2</v>
      </c>
      <c r="I14" s="728">
        <f>PRODUCT(C14:H14)</f>
        <v>57.02</v>
      </c>
      <c r="J14" s="729"/>
      <c r="K14" s="729">
        <v>62</v>
      </c>
      <c r="L14" s="729" t="e">
        <f>K14+#REF!+#REF!+#REF!+#REF!</f>
        <v>#REF!</v>
      </c>
      <c r="M14" s="722"/>
      <c r="N14" s="722">
        <f>85</f>
        <v>85</v>
      </c>
      <c r="O14" s="734"/>
    </row>
    <row r="15" spans="1:15" ht="19.899999999999999" customHeight="1">
      <c r="A15" s="721"/>
      <c r="B15" s="731" t="s">
        <v>4655</v>
      </c>
      <c r="C15" s="721">
        <v>1</v>
      </c>
      <c r="D15" s="721" t="s">
        <v>4377</v>
      </c>
      <c r="E15" s="727">
        <v>1</v>
      </c>
      <c r="F15" s="728">
        <v>75</v>
      </c>
      <c r="G15" s="725">
        <v>0.38</v>
      </c>
      <c r="H15" s="728">
        <v>0.33</v>
      </c>
      <c r="I15" s="728">
        <f>PRODUCT(C15:H15)</f>
        <v>9.41</v>
      </c>
      <c r="J15" s="729"/>
      <c r="K15" s="729"/>
      <c r="L15" s="729"/>
      <c r="M15" s="722"/>
      <c r="N15" s="722"/>
      <c r="O15" s="734"/>
    </row>
    <row r="16" spans="1:15" ht="19.899999999999999" customHeight="1">
      <c r="A16" s="721"/>
      <c r="B16" s="731"/>
      <c r="C16" s="721"/>
      <c r="D16" s="721"/>
      <c r="E16" s="727"/>
      <c r="F16" s="728"/>
      <c r="G16" s="725"/>
      <c r="H16" s="728"/>
      <c r="I16" s="728">
        <v>0.04</v>
      </c>
      <c r="J16" s="729"/>
      <c r="K16" s="729"/>
      <c r="L16" s="729"/>
      <c r="M16" s="722"/>
      <c r="N16" s="722"/>
      <c r="O16" s="734"/>
    </row>
    <row r="17" spans="1:15" ht="19.899999999999999" customHeight="1">
      <c r="A17" s="721"/>
      <c r="B17" s="726"/>
      <c r="C17" s="721"/>
      <c r="D17" s="721"/>
      <c r="E17" s="735"/>
      <c r="F17" s="728"/>
      <c r="G17" s="728"/>
      <c r="H17" s="736" t="s">
        <v>1827</v>
      </c>
      <c r="I17" s="737">
        <f>ROUND(SUM(I10:I16),2)</f>
        <v>86.6</v>
      </c>
      <c r="J17" s="722">
        <f>289-I17</f>
        <v>202.4</v>
      </c>
      <c r="K17" s="722"/>
      <c r="L17" s="722"/>
      <c r="M17" s="722"/>
      <c r="N17" s="722"/>
      <c r="O17" s="730" t="s">
        <v>1749</v>
      </c>
    </row>
    <row r="18" spans="1:15" ht="49.9" customHeight="1">
      <c r="A18" s="721">
        <v>2</v>
      </c>
      <c r="B18" s="1112" t="s">
        <v>4656</v>
      </c>
      <c r="C18" s="1113"/>
      <c r="D18" s="1113"/>
      <c r="E18" s="1113"/>
      <c r="F18" s="1113"/>
      <c r="G18" s="1113"/>
      <c r="H18" s="1113"/>
      <c r="I18" s="1114"/>
      <c r="J18" s="722"/>
      <c r="K18" s="722"/>
      <c r="L18" s="722"/>
      <c r="M18" s="722"/>
      <c r="N18" s="722"/>
      <c r="O18" s="723"/>
    </row>
    <row r="19" spans="1:15" ht="19.899999999999999" customHeight="1">
      <c r="A19" s="721"/>
      <c r="B19" s="724" t="s">
        <v>4650</v>
      </c>
      <c r="C19" s="721"/>
      <c r="D19" s="721"/>
      <c r="E19" s="721"/>
      <c r="F19" s="725"/>
      <c r="G19" s="725"/>
      <c r="H19" s="725"/>
      <c r="I19" s="725"/>
      <c r="J19" s="722"/>
      <c r="K19" s="722"/>
      <c r="L19" s="722"/>
      <c r="M19" s="722"/>
      <c r="N19" s="722"/>
      <c r="O19" s="723"/>
    </row>
    <row r="20" spans="1:15" ht="19.899999999999999" customHeight="1">
      <c r="A20" s="721"/>
      <c r="B20" s="726" t="s">
        <v>4651</v>
      </c>
      <c r="C20" s="721">
        <v>1</v>
      </c>
      <c r="D20" s="721" t="s">
        <v>4377</v>
      </c>
      <c r="E20" s="727">
        <v>7</v>
      </c>
      <c r="F20" s="728">
        <v>1.2</v>
      </c>
      <c r="G20" s="728">
        <v>1.2</v>
      </c>
      <c r="H20" s="728">
        <v>0.1</v>
      </c>
      <c r="I20" s="728">
        <f>PRODUCT(C20:H20)</f>
        <v>1.01</v>
      </c>
      <c r="J20" s="722"/>
      <c r="K20" s="722"/>
      <c r="L20" s="722"/>
      <c r="M20" s="722"/>
      <c r="N20" s="722"/>
      <c r="O20" s="730"/>
    </row>
    <row r="21" spans="1:15" ht="19.899999999999999" customHeight="1">
      <c r="A21" s="721"/>
      <c r="B21" s="731" t="s">
        <v>4652</v>
      </c>
      <c r="C21" s="721">
        <v>1</v>
      </c>
      <c r="D21" s="721" t="s">
        <v>4377</v>
      </c>
      <c r="E21" s="727">
        <v>2</v>
      </c>
      <c r="F21" s="728">
        <v>1.5</v>
      </c>
      <c r="G21" s="728">
        <v>1.5</v>
      </c>
      <c r="H21" s="728">
        <v>0.1</v>
      </c>
      <c r="I21" s="728">
        <f>PRODUCT(C21:H21)</f>
        <v>0.45</v>
      </c>
      <c r="J21" s="729"/>
      <c r="K21" s="729"/>
      <c r="L21" s="729"/>
      <c r="M21" s="722"/>
      <c r="N21" s="722"/>
      <c r="O21" s="730"/>
    </row>
    <row r="22" spans="1:15" ht="19.899999999999999" customHeight="1">
      <c r="A22" s="721"/>
      <c r="B22" s="731" t="s">
        <v>4653</v>
      </c>
      <c r="C22" s="721">
        <v>1</v>
      </c>
      <c r="D22" s="721" t="s">
        <v>4377</v>
      </c>
      <c r="E22" s="727">
        <v>1</v>
      </c>
      <c r="F22" s="728">
        <v>21</v>
      </c>
      <c r="G22" s="725">
        <v>0.38</v>
      </c>
      <c r="H22" s="728">
        <v>0.1</v>
      </c>
      <c r="I22" s="728">
        <f>PRODUCT(C22:H22)</f>
        <v>0.8</v>
      </c>
      <c r="J22" s="729"/>
      <c r="K22" s="729"/>
      <c r="L22" s="729"/>
      <c r="M22" s="722"/>
      <c r="N22" s="722"/>
      <c r="O22" s="730"/>
    </row>
    <row r="23" spans="1:15" ht="19.899999999999999" customHeight="1">
      <c r="A23" s="721"/>
      <c r="B23" s="732" t="s">
        <v>4654</v>
      </c>
      <c r="C23" s="721"/>
      <c r="D23" s="721"/>
      <c r="E23" s="727"/>
      <c r="F23" s="728"/>
      <c r="G23" s="725"/>
      <c r="H23" s="728"/>
      <c r="I23" s="728"/>
      <c r="J23" s="722"/>
      <c r="K23" s="722"/>
      <c r="L23" s="722"/>
      <c r="M23" s="722"/>
      <c r="N23" s="722"/>
      <c r="O23" s="730"/>
    </row>
    <row r="24" spans="1:15" ht="19.899999999999999" customHeight="1">
      <c r="A24" s="721"/>
      <c r="B24" s="733" t="s">
        <v>4651</v>
      </c>
      <c r="C24" s="721">
        <v>1</v>
      </c>
      <c r="D24" s="721" t="s">
        <v>4377</v>
      </c>
      <c r="E24" s="727">
        <v>33</v>
      </c>
      <c r="F24" s="728">
        <v>1.2</v>
      </c>
      <c r="G24" s="728">
        <v>1.2</v>
      </c>
      <c r="H24" s="728">
        <v>0.1</v>
      </c>
      <c r="I24" s="728">
        <f>PRODUCT(C24:H24)</f>
        <v>4.75</v>
      </c>
      <c r="J24" s="722"/>
      <c r="K24" s="722"/>
      <c r="L24" s="722"/>
      <c r="M24" s="722"/>
      <c r="N24" s="722"/>
      <c r="O24" s="734"/>
    </row>
    <row r="25" spans="1:15" ht="19.899999999999999" customHeight="1">
      <c r="A25" s="721"/>
      <c r="B25" s="731" t="s">
        <v>4655</v>
      </c>
      <c r="C25" s="721">
        <v>1</v>
      </c>
      <c r="D25" s="721" t="s">
        <v>4377</v>
      </c>
      <c r="E25" s="727">
        <v>1</v>
      </c>
      <c r="F25" s="728">
        <v>75</v>
      </c>
      <c r="G25" s="725">
        <v>0.38</v>
      </c>
      <c r="H25" s="728">
        <v>0.1</v>
      </c>
      <c r="I25" s="728">
        <f>PRODUCT(C25:H25)</f>
        <v>2.85</v>
      </c>
      <c r="J25" s="729"/>
      <c r="K25" s="729"/>
      <c r="L25" s="729"/>
      <c r="M25" s="722"/>
      <c r="N25" s="722"/>
      <c r="O25" s="734"/>
    </row>
    <row r="26" spans="1:15" ht="19.899999999999999" customHeight="1">
      <c r="A26" s="721"/>
      <c r="B26" s="731"/>
      <c r="C26" s="721"/>
      <c r="D26" s="721"/>
      <c r="E26" s="727"/>
      <c r="F26" s="728"/>
      <c r="G26" s="725"/>
      <c r="H26" s="728"/>
      <c r="I26" s="728">
        <v>0.04</v>
      </c>
      <c r="J26" s="722"/>
      <c r="K26" s="722"/>
      <c r="L26" s="722"/>
      <c r="M26" s="722"/>
      <c r="N26" s="722"/>
      <c r="O26" s="730"/>
    </row>
    <row r="27" spans="1:15" ht="19.899999999999999" customHeight="1">
      <c r="A27" s="721"/>
      <c r="B27" s="726"/>
      <c r="C27" s="721"/>
      <c r="D27" s="721"/>
      <c r="E27" s="735"/>
      <c r="F27" s="725"/>
      <c r="G27" s="725"/>
      <c r="H27" s="736" t="s">
        <v>1827</v>
      </c>
      <c r="I27" s="737">
        <f>ROUND(SUM(I20:I26),2)</f>
        <v>9.9</v>
      </c>
      <c r="J27" s="722">
        <f>72-I27</f>
        <v>62.1</v>
      </c>
      <c r="K27" s="722"/>
      <c r="L27" s="722"/>
      <c r="M27" s="722"/>
      <c r="N27" s="722"/>
      <c r="O27" s="730" t="s">
        <v>1749</v>
      </c>
    </row>
    <row r="28" spans="1:15" ht="33" customHeight="1">
      <c r="A28" s="721">
        <v>3</v>
      </c>
      <c r="B28" s="1112" t="s">
        <v>4657</v>
      </c>
      <c r="C28" s="1113"/>
      <c r="D28" s="1113"/>
      <c r="E28" s="1113"/>
      <c r="F28" s="1113"/>
      <c r="G28" s="1113"/>
      <c r="H28" s="1113"/>
      <c r="I28" s="1114"/>
      <c r="J28" s="722"/>
      <c r="K28" s="722"/>
      <c r="L28" s="722"/>
      <c r="M28" s="722"/>
      <c r="N28" s="722"/>
      <c r="O28" s="723"/>
    </row>
    <row r="29" spans="1:15" ht="19.899999999999999" customHeight="1">
      <c r="A29" s="721"/>
      <c r="B29" s="738" t="s">
        <v>4381</v>
      </c>
      <c r="C29" s="721"/>
      <c r="D29" s="721"/>
      <c r="E29" s="735"/>
      <c r="F29" s="725"/>
      <c r="G29" s="725"/>
      <c r="H29" s="725"/>
      <c r="I29" s="725"/>
      <c r="J29" s="722"/>
      <c r="K29" s="722"/>
      <c r="L29" s="722"/>
      <c r="M29" s="722"/>
      <c r="N29" s="722"/>
      <c r="O29" s="723"/>
    </row>
    <row r="30" spans="1:15" ht="19.899999999999999" customHeight="1">
      <c r="A30" s="721"/>
      <c r="B30" s="724" t="s">
        <v>4650</v>
      </c>
      <c r="C30" s="721"/>
      <c r="D30" s="721"/>
      <c r="E30" s="735"/>
      <c r="F30" s="725"/>
      <c r="G30" s="725"/>
      <c r="H30" s="725"/>
      <c r="I30" s="725"/>
      <c r="J30" s="722"/>
      <c r="K30" s="722"/>
      <c r="L30" s="722"/>
      <c r="M30" s="722"/>
      <c r="N30" s="722"/>
      <c r="O30" s="723"/>
    </row>
    <row r="31" spans="1:15" ht="19.899999999999999" customHeight="1">
      <c r="A31" s="721"/>
      <c r="B31" s="739" t="s">
        <v>4658</v>
      </c>
      <c r="C31" s="721">
        <v>1</v>
      </c>
      <c r="D31" s="721" t="s">
        <v>4377</v>
      </c>
      <c r="E31" s="727">
        <v>7</v>
      </c>
      <c r="F31" s="728">
        <v>1</v>
      </c>
      <c r="G31" s="728">
        <v>1</v>
      </c>
      <c r="H31" s="740">
        <v>0.3</v>
      </c>
      <c r="I31" s="728">
        <f t="shared" ref="I31:I36" si="0">PRODUCT(C31:H31)</f>
        <v>2.1</v>
      </c>
      <c r="J31" s="722"/>
      <c r="K31" s="722"/>
      <c r="L31" s="722"/>
      <c r="M31" s="722"/>
      <c r="N31" s="722"/>
      <c r="O31" s="730"/>
    </row>
    <row r="32" spans="1:15" ht="19.899999999999999" customHeight="1">
      <c r="A32" s="721"/>
      <c r="B32" s="726" t="s">
        <v>4659</v>
      </c>
      <c r="C32" s="721">
        <v>1</v>
      </c>
      <c r="D32" s="721" t="s">
        <v>4377</v>
      </c>
      <c r="E32" s="727">
        <v>7</v>
      </c>
      <c r="F32" s="728">
        <v>0.23</v>
      </c>
      <c r="G32" s="728">
        <v>0.23</v>
      </c>
      <c r="H32" s="740">
        <v>1.02</v>
      </c>
      <c r="I32" s="728">
        <f t="shared" si="0"/>
        <v>0.38</v>
      </c>
      <c r="J32" s="722"/>
      <c r="K32" s="722"/>
      <c r="L32" s="722"/>
      <c r="M32" s="722"/>
      <c r="N32" s="722"/>
      <c r="O32" s="730"/>
    </row>
    <row r="33" spans="1:15" ht="19.899999999999999" customHeight="1">
      <c r="A33" s="721"/>
      <c r="B33" s="731" t="s">
        <v>4660</v>
      </c>
      <c r="C33" s="721">
        <v>1</v>
      </c>
      <c r="D33" s="721" t="s">
        <v>4377</v>
      </c>
      <c r="E33" s="727">
        <v>2</v>
      </c>
      <c r="F33" s="728">
        <v>1.2</v>
      </c>
      <c r="G33" s="728">
        <v>1.2</v>
      </c>
      <c r="H33" s="728">
        <v>0.3</v>
      </c>
      <c r="I33" s="728">
        <f t="shared" si="0"/>
        <v>0.86</v>
      </c>
      <c r="J33" s="722"/>
      <c r="K33" s="722"/>
      <c r="L33" s="722"/>
      <c r="M33" s="722"/>
      <c r="N33" s="722"/>
      <c r="O33" s="730"/>
    </row>
    <row r="34" spans="1:15" ht="19.899999999999999" customHeight="1">
      <c r="A34" s="721"/>
      <c r="B34" s="731" t="s">
        <v>4661</v>
      </c>
      <c r="C34" s="721">
        <v>1</v>
      </c>
      <c r="D34" s="721" t="s">
        <v>4377</v>
      </c>
      <c r="E34" s="727">
        <v>2</v>
      </c>
      <c r="F34" s="728">
        <v>0.3</v>
      </c>
      <c r="G34" s="728">
        <v>0.3</v>
      </c>
      <c r="H34" s="728">
        <v>1.02</v>
      </c>
      <c r="I34" s="728">
        <f t="shared" si="0"/>
        <v>0.18</v>
      </c>
      <c r="J34" s="722"/>
      <c r="K34" s="722"/>
      <c r="L34" s="722"/>
      <c r="M34" s="722"/>
      <c r="N34" s="722"/>
      <c r="O34" s="730"/>
    </row>
    <row r="35" spans="1:15" ht="19.899999999999999" customHeight="1">
      <c r="A35" s="721"/>
      <c r="B35" s="731" t="s">
        <v>4653</v>
      </c>
      <c r="C35" s="721">
        <v>1</v>
      </c>
      <c r="D35" s="721" t="s">
        <v>4377</v>
      </c>
      <c r="E35" s="727">
        <v>1</v>
      </c>
      <c r="F35" s="728">
        <v>21</v>
      </c>
      <c r="G35" s="725">
        <v>0.23</v>
      </c>
      <c r="H35" s="740">
        <v>0.3</v>
      </c>
      <c r="I35" s="728">
        <f t="shared" si="0"/>
        <v>1.45</v>
      </c>
      <c r="J35" s="722"/>
      <c r="K35" s="722"/>
      <c r="L35" s="722"/>
      <c r="M35" s="722"/>
      <c r="N35" s="722"/>
      <c r="O35" s="730"/>
    </row>
    <row r="36" spans="1:15" ht="19.899999999999999" customHeight="1">
      <c r="A36" s="721"/>
      <c r="B36" s="731" t="s">
        <v>4661</v>
      </c>
      <c r="C36" s="721">
        <v>1</v>
      </c>
      <c r="D36" s="721" t="s">
        <v>4377</v>
      </c>
      <c r="E36" s="727">
        <v>2</v>
      </c>
      <c r="F36" s="728">
        <v>0.3</v>
      </c>
      <c r="G36" s="728">
        <v>0.3</v>
      </c>
      <c r="H36" s="728">
        <v>1.8</v>
      </c>
      <c r="I36" s="728">
        <f t="shared" si="0"/>
        <v>0.32</v>
      </c>
      <c r="J36" s="729"/>
      <c r="K36" s="729"/>
      <c r="L36" s="729"/>
      <c r="M36" s="722"/>
      <c r="N36" s="722"/>
      <c r="O36" s="730"/>
    </row>
    <row r="37" spans="1:15" ht="19.899999999999999" customHeight="1">
      <c r="A37" s="721"/>
      <c r="B37" s="732" t="s">
        <v>4654</v>
      </c>
      <c r="C37" s="721"/>
      <c r="D37" s="721"/>
      <c r="E37" s="727"/>
      <c r="F37" s="728"/>
      <c r="G37" s="725"/>
      <c r="H37" s="728"/>
      <c r="I37" s="728"/>
      <c r="J37" s="722"/>
      <c r="K37" s="722"/>
      <c r="L37" s="722"/>
      <c r="M37" s="722"/>
      <c r="N37" s="722"/>
      <c r="O37" s="730"/>
    </row>
    <row r="38" spans="1:15" ht="19.899999999999999" customHeight="1">
      <c r="A38" s="721"/>
      <c r="B38" s="739" t="s">
        <v>4658</v>
      </c>
      <c r="C38" s="721">
        <v>1</v>
      </c>
      <c r="D38" s="721" t="s">
        <v>4377</v>
      </c>
      <c r="E38" s="727">
        <v>33</v>
      </c>
      <c r="F38" s="728">
        <v>1</v>
      </c>
      <c r="G38" s="728">
        <v>1</v>
      </c>
      <c r="H38" s="740">
        <v>0.3</v>
      </c>
      <c r="I38" s="728">
        <f>PRODUCT(C38:H38)</f>
        <v>9.9</v>
      </c>
      <c r="J38" s="722"/>
      <c r="K38" s="722"/>
      <c r="L38" s="722"/>
      <c r="M38" s="722"/>
      <c r="N38" s="722"/>
      <c r="O38" s="734"/>
    </row>
    <row r="39" spans="1:15" ht="19.899999999999999" customHeight="1">
      <c r="A39" s="721"/>
      <c r="B39" s="726" t="s">
        <v>4659</v>
      </c>
      <c r="C39" s="721">
        <v>1</v>
      </c>
      <c r="D39" s="721" t="s">
        <v>4377</v>
      </c>
      <c r="E39" s="727">
        <v>38</v>
      </c>
      <c r="F39" s="728">
        <v>0.23</v>
      </c>
      <c r="G39" s="728">
        <v>0.23</v>
      </c>
      <c r="H39" s="728">
        <v>1.02</v>
      </c>
      <c r="I39" s="728">
        <f>PRODUCT(C39:H39)</f>
        <v>2.0499999999999998</v>
      </c>
      <c r="J39" s="722"/>
      <c r="K39" s="722"/>
      <c r="L39" s="722"/>
      <c r="M39" s="722"/>
      <c r="N39" s="722"/>
      <c r="O39" s="734"/>
    </row>
    <row r="40" spans="1:15" ht="19.899999999999999" customHeight="1">
      <c r="A40" s="721"/>
      <c r="B40" s="731" t="s">
        <v>3523</v>
      </c>
      <c r="C40" s="721">
        <v>1</v>
      </c>
      <c r="D40" s="721" t="s">
        <v>4377</v>
      </c>
      <c r="E40" s="727">
        <v>1</v>
      </c>
      <c r="F40" s="728">
        <v>75</v>
      </c>
      <c r="G40" s="725">
        <v>0.23</v>
      </c>
      <c r="H40" s="740">
        <v>0.3</v>
      </c>
      <c r="I40" s="728">
        <f>PRODUCT(C40:H40)</f>
        <v>5.18</v>
      </c>
      <c r="J40" s="729"/>
      <c r="K40" s="729"/>
      <c r="L40" s="729"/>
      <c r="M40" s="722"/>
      <c r="N40" s="722"/>
      <c r="O40" s="734"/>
    </row>
    <row r="41" spans="1:15" ht="19.899999999999999" customHeight="1">
      <c r="A41" s="721"/>
      <c r="B41" s="732" t="s">
        <v>4662</v>
      </c>
      <c r="C41" s="721"/>
      <c r="D41" s="721"/>
      <c r="E41" s="727"/>
      <c r="F41" s="728"/>
      <c r="G41" s="725"/>
      <c r="H41" s="728"/>
      <c r="I41" s="728">
        <f>PRODUCT(C41:H41)</f>
        <v>0</v>
      </c>
      <c r="J41" s="729"/>
      <c r="K41" s="729"/>
      <c r="L41" s="729"/>
      <c r="M41" s="722"/>
      <c r="N41" s="722"/>
      <c r="O41" s="734"/>
    </row>
    <row r="42" spans="1:15" ht="19.899999999999999" customHeight="1">
      <c r="A42" s="721"/>
      <c r="B42" s="731" t="s">
        <v>4663</v>
      </c>
      <c r="C42" s="721">
        <v>1</v>
      </c>
      <c r="D42" s="721" t="s">
        <v>4377</v>
      </c>
      <c r="E42" s="727">
        <v>1</v>
      </c>
      <c r="F42" s="728">
        <v>43</v>
      </c>
      <c r="G42" s="725">
        <v>0.45</v>
      </c>
      <c r="H42" s="740">
        <v>0.15</v>
      </c>
      <c r="I42" s="728">
        <f>PRODUCT(C42:H42)</f>
        <v>2.9</v>
      </c>
      <c r="J42" s="729"/>
      <c r="K42" s="729"/>
      <c r="L42" s="729"/>
      <c r="M42" s="722"/>
      <c r="N42" s="722"/>
      <c r="O42" s="734"/>
    </row>
    <row r="43" spans="1:15" ht="19.899999999999999" customHeight="1">
      <c r="A43" s="721"/>
      <c r="B43" s="731" t="s">
        <v>1850</v>
      </c>
      <c r="C43" s="721"/>
      <c r="D43" s="721"/>
      <c r="E43" s="735"/>
      <c r="F43" s="728"/>
      <c r="G43" s="725"/>
      <c r="H43" s="728"/>
      <c r="I43" s="728">
        <v>0.08</v>
      </c>
      <c r="J43" s="729"/>
      <c r="K43" s="729"/>
      <c r="L43" s="729"/>
      <c r="M43" s="722"/>
      <c r="N43" s="722"/>
      <c r="O43" s="734"/>
    </row>
    <row r="44" spans="1:15" ht="19.899999999999999" customHeight="1">
      <c r="A44" s="721"/>
      <c r="B44" s="726"/>
      <c r="C44" s="721"/>
      <c r="D44" s="721"/>
      <c r="E44" s="735"/>
      <c r="F44" s="725"/>
      <c r="G44" s="725"/>
      <c r="H44" s="736" t="s">
        <v>1827</v>
      </c>
      <c r="I44" s="737">
        <f>ROUND(SUM(I31:I43),2)</f>
        <v>25.4</v>
      </c>
      <c r="J44" s="722">
        <f>I44-98</f>
        <v>-72.599999999999994</v>
      </c>
      <c r="K44" s="722"/>
      <c r="L44" s="722"/>
      <c r="M44" s="722"/>
      <c r="N44" s="722"/>
      <c r="O44" s="730" t="s">
        <v>1749</v>
      </c>
    </row>
    <row r="45" spans="1:15" ht="19.899999999999999" customHeight="1">
      <c r="A45" s="721"/>
      <c r="B45" s="724" t="s">
        <v>4664</v>
      </c>
      <c r="C45" s="721"/>
      <c r="D45" s="721"/>
      <c r="E45" s="727"/>
      <c r="F45" s="725"/>
      <c r="G45" s="725"/>
      <c r="H45" s="736"/>
      <c r="I45" s="737"/>
      <c r="J45" s="722"/>
      <c r="K45" s="722"/>
      <c r="L45" s="722"/>
      <c r="M45" s="722"/>
      <c r="N45" s="722"/>
      <c r="O45" s="730"/>
    </row>
    <row r="46" spans="1:15" ht="19.899999999999999" customHeight="1">
      <c r="A46" s="721"/>
      <c r="B46" s="724" t="s">
        <v>4665</v>
      </c>
      <c r="C46" s="721"/>
      <c r="D46" s="721"/>
      <c r="E46" s="735"/>
      <c r="F46" s="725"/>
      <c r="G46" s="725"/>
      <c r="H46" s="736"/>
      <c r="I46" s="737"/>
      <c r="J46" s="722"/>
      <c r="K46" s="722"/>
      <c r="L46" s="722"/>
      <c r="M46" s="722"/>
      <c r="N46" s="722"/>
      <c r="O46" s="730"/>
    </row>
    <row r="47" spans="1:15" ht="19.899999999999999" customHeight="1">
      <c r="A47" s="721"/>
      <c r="B47" s="731" t="s">
        <v>4661</v>
      </c>
      <c r="C47" s="721">
        <v>1</v>
      </c>
      <c r="D47" s="721" t="s">
        <v>4377</v>
      </c>
      <c r="E47" s="727">
        <v>2</v>
      </c>
      <c r="F47" s="728">
        <v>0.3</v>
      </c>
      <c r="G47" s="728">
        <v>0.3</v>
      </c>
      <c r="H47" s="728">
        <v>1.8</v>
      </c>
      <c r="I47" s="728">
        <f>PRODUCT(C47:H47)</f>
        <v>0.32</v>
      </c>
      <c r="J47" s="729"/>
      <c r="K47" s="729"/>
      <c r="L47" s="729"/>
      <c r="M47" s="722"/>
      <c r="N47" s="722"/>
      <c r="O47" s="730"/>
    </row>
    <row r="48" spans="1:15" ht="19.899999999999999" customHeight="1">
      <c r="A48" s="721"/>
      <c r="B48" s="731" t="s">
        <v>1850</v>
      </c>
      <c r="C48" s="721"/>
      <c r="D48" s="721"/>
      <c r="E48" s="735"/>
      <c r="F48" s="728"/>
      <c r="G48" s="725"/>
      <c r="H48" s="728"/>
      <c r="I48" s="728">
        <v>0.08</v>
      </c>
      <c r="J48" s="729"/>
      <c r="K48" s="729"/>
      <c r="L48" s="729"/>
      <c r="M48" s="722"/>
      <c r="N48" s="722"/>
      <c r="O48" s="734"/>
    </row>
    <row r="49" spans="1:15" ht="19.899999999999999" customHeight="1">
      <c r="A49" s="721"/>
      <c r="B49" s="726"/>
      <c r="C49" s="721"/>
      <c r="D49" s="721"/>
      <c r="E49" s="727"/>
      <c r="F49" s="725"/>
      <c r="G49" s="725"/>
      <c r="H49" s="736" t="s">
        <v>1827</v>
      </c>
      <c r="I49" s="737">
        <f>ROUND(SUM(I47:I48),2)</f>
        <v>0.4</v>
      </c>
      <c r="J49" s="722"/>
      <c r="K49" s="722"/>
      <c r="L49" s="722"/>
      <c r="M49" s="722"/>
      <c r="N49" s="722"/>
      <c r="O49" s="730" t="s">
        <v>1749</v>
      </c>
    </row>
    <row r="50" spans="1:15" ht="33" customHeight="1">
      <c r="A50" s="721">
        <v>4</v>
      </c>
      <c r="B50" s="1048" t="s">
        <v>4666</v>
      </c>
      <c r="C50" s="1049"/>
      <c r="D50" s="1049"/>
      <c r="E50" s="1049"/>
      <c r="F50" s="1049"/>
      <c r="G50" s="1049"/>
      <c r="H50" s="1049"/>
      <c r="I50" s="1050"/>
      <c r="J50" s="722"/>
      <c r="K50" s="722"/>
      <c r="L50" s="722"/>
      <c r="M50" s="722"/>
      <c r="N50" s="722"/>
      <c r="O50" s="730"/>
    </row>
    <row r="51" spans="1:15" ht="19.899999999999999" customHeight="1">
      <c r="A51" s="721"/>
      <c r="B51" s="724" t="s">
        <v>4650</v>
      </c>
      <c r="C51" s="721"/>
      <c r="D51" s="721"/>
      <c r="E51" s="735"/>
      <c r="F51" s="725"/>
      <c r="G51" s="725"/>
      <c r="H51" s="736"/>
      <c r="I51" s="737"/>
      <c r="J51" s="722"/>
      <c r="K51" s="722"/>
      <c r="L51" s="722"/>
      <c r="M51" s="722"/>
      <c r="N51" s="722"/>
      <c r="O51" s="730"/>
    </row>
    <row r="52" spans="1:15" ht="19.899999999999999" customHeight="1">
      <c r="A52" s="721"/>
      <c r="B52" s="731" t="s">
        <v>4667</v>
      </c>
      <c r="C52" s="721">
        <v>1</v>
      </c>
      <c r="D52" s="721" t="s">
        <v>4377</v>
      </c>
      <c r="E52" s="727">
        <v>1</v>
      </c>
      <c r="F52" s="728">
        <f>F12</f>
        <v>21</v>
      </c>
      <c r="G52" s="725">
        <v>0.23</v>
      </c>
      <c r="H52" s="728">
        <v>0.45</v>
      </c>
      <c r="I52" s="728">
        <f>PRODUCT(C52:H52)</f>
        <v>2.17</v>
      </c>
      <c r="J52" s="722"/>
      <c r="K52" s="722"/>
      <c r="L52" s="722"/>
      <c r="M52" s="722"/>
      <c r="N52" s="722"/>
      <c r="O52" s="730"/>
    </row>
    <row r="53" spans="1:15" ht="19.899999999999999" customHeight="1">
      <c r="A53" s="721"/>
      <c r="B53" s="731" t="s">
        <v>4668</v>
      </c>
      <c r="C53" s="721">
        <v>1</v>
      </c>
      <c r="D53" s="721" t="s">
        <v>4377</v>
      </c>
      <c r="E53" s="727">
        <v>-7</v>
      </c>
      <c r="F53" s="728">
        <v>0.23</v>
      </c>
      <c r="G53" s="725">
        <v>0.23</v>
      </c>
      <c r="H53" s="728">
        <v>0.45</v>
      </c>
      <c r="I53" s="728">
        <f>PRODUCT(C53:H53)</f>
        <v>-0.17</v>
      </c>
      <c r="J53" s="722"/>
      <c r="K53" s="722"/>
      <c r="L53" s="722"/>
      <c r="M53" s="722"/>
      <c r="N53" s="722"/>
      <c r="O53" s="730"/>
    </row>
    <row r="54" spans="1:15" ht="19.899999999999999" customHeight="1">
      <c r="A54" s="721"/>
      <c r="B54" s="731" t="s">
        <v>4669</v>
      </c>
      <c r="C54" s="721">
        <v>-1</v>
      </c>
      <c r="D54" s="721" t="s">
        <v>4377</v>
      </c>
      <c r="E54" s="727">
        <v>1</v>
      </c>
      <c r="F54" s="728">
        <v>7.8</v>
      </c>
      <c r="G54" s="725">
        <v>0.23</v>
      </c>
      <c r="H54" s="728">
        <v>0.45</v>
      </c>
      <c r="I54" s="728">
        <f>PRODUCT(C54:H54)</f>
        <v>-0.81</v>
      </c>
      <c r="J54" s="722"/>
      <c r="K54" s="722"/>
      <c r="L54" s="722"/>
      <c r="M54" s="722"/>
      <c r="N54" s="722"/>
      <c r="O54" s="730"/>
    </row>
    <row r="55" spans="1:15" ht="19.899999999999999" customHeight="1">
      <c r="A55" s="721"/>
      <c r="B55" s="732" t="s">
        <v>4654</v>
      </c>
      <c r="C55" s="721"/>
      <c r="D55" s="721"/>
      <c r="E55" s="727"/>
      <c r="F55" s="728"/>
      <c r="G55" s="725"/>
      <c r="H55" s="728"/>
      <c r="I55" s="728"/>
      <c r="J55" s="722"/>
      <c r="K55" s="722"/>
      <c r="L55" s="722"/>
      <c r="M55" s="722"/>
      <c r="N55" s="722"/>
      <c r="O55" s="730"/>
    </row>
    <row r="56" spans="1:15" ht="19.899999999999999" customHeight="1">
      <c r="A56" s="721"/>
      <c r="B56" s="731" t="s">
        <v>4670</v>
      </c>
      <c r="C56" s="721">
        <v>1</v>
      </c>
      <c r="D56" s="721" t="s">
        <v>4377</v>
      </c>
      <c r="E56" s="727">
        <v>1</v>
      </c>
      <c r="F56" s="728">
        <v>75</v>
      </c>
      <c r="G56" s="725">
        <v>0.23</v>
      </c>
      <c r="H56" s="728">
        <v>0.45</v>
      </c>
      <c r="I56" s="728">
        <f>PRODUCT(C56:H56)</f>
        <v>7.76</v>
      </c>
      <c r="J56" s="729"/>
      <c r="K56" s="729"/>
      <c r="L56" s="729"/>
      <c r="M56" s="722"/>
      <c r="N56" s="722"/>
      <c r="O56" s="734"/>
    </row>
    <row r="57" spans="1:15" ht="19.899999999999999" customHeight="1">
      <c r="A57" s="721"/>
      <c r="B57" s="731" t="s">
        <v>4668</v>
      </c>
      <c r="C57" s="721">
        <v>1</v>
      </c>
      <c r="D57" s="721" t="s">
        <v>4377</v>
      </c>
      <c r="E57" s="727">
        <v>-38</v>
      </c>
      <c r="F57" s="728">
        <v>0.23</v>
      </c>
      <c r="G57" s="725">
        <v>0.23</v>
      </c>
      <c r="H57" s="728">
        <f>H56</f>
        <v>0.45</v>
      </c>
      <c r="I57" s="728">
        <f>PRODUCT(C57:H57)</f>
        <v>-0.9</v>
      </c>
      <c r="J57" s="722"/>
      <c r="K57" s="722"/>
      <c r="L57" s="722"/>
      <c r="M57" s="722"/>
      <c r="N57" s="722"/>
      <c r="O57" s="734"/>
    </row>
    <row r="58" spans="1:15" ht="19.899999999999999" customHeight="1">
      <c r="A58" s="721"/>
      <c r="B58" s="371" t="s">
        <v>1850</v>
      </c>
      <c r="C58" s="721"/>
      <c r="D58" s="721"/>
      <c r="E58" s="735"/>
      <c r="F58" s="728"/>
      <c r="G58" s="725"/>
      <c r="H58" s="725"/>
      <c r="I58" s="728">
        <v>0.05</v>
      </c>
      <c r="J58" s="722"/>
      <c r="K58" s="722"/>
      <c r="L58" s="722"/>
      <c r="M58" s="722"/>
      <c r="N58" s="722"/>
      <c r="O58" s="730"/>
    </row>
    <row r="59" spans="1:15" ht="19.899999999999999" customHeight="1">
      <c r="A59" s="721"/>
      <c r="B59" s="726"/>
      <c r="C59" s="721"/>
      <c r="D59" s="721"/>
      <c r="E59" s="735"/>
      <c r="F59" s="725"/>
      <c r="G59" s="725"/>
      <c r="H59" s="736" t="s">
        <v>1827</v>
      </c>
      <c r="I59" s="737">
        <f>ROUND(SUM(I52:I58),2)</f>
        <v>8.1</v>
      </c>
      <c r="J59" s="722"/>
      <c r="K59" s="722"/>
      <c r="L59" s="722"/>
      <c r="M59" s="722"/>
      <c r="N59" s="722"/>
      <c r="O59" s="730" t="s">
        <v>1749</v>
      </c>
    </row>
    <row r="60" spans="1:15" ht="33" customHeight="1">
      <c r="A60" s="721">
        <v>5</v>
      </c>
      <c r="B60" s="1112" t="s">
        <v>4671</v>
      </c>
      <c r="C60" s="1113"/>
      <c r="D60" s="1113"/>
      <c r="E60" s="1113"/>
      <c r="F60" s="1113"/>
      <c r="G60" s="1113"/>
      <c r="H60" s="1113"/>
      <c r="I60" s="1114"/>
      <c r="J60" s="722"/>
      <c r="K60" s="722"/>
      <c r="L60" s="722"/>
      <c r="M60" s="722"/>
      <c r="N60" s="722" t="s">
        <v>4672</v>
      </c>
      <c r="O60" s="730"/>
    </row>
    <row r="61" spans="1:15" ht="19.899999999999999" customHeight="1">
      <c r="A61" s="721"/>
      <c r="B61" s="724" t="s">
        <v>3971</v>
      </c>
      <c r="C61" s="721"/>
      <c r="D61" s="721"/>
      <c r="E61" s="735"/>
      <c r="F61" s="725"/>
      <c r="G61" s="725"/>
      <c r="H61" s="725"/>
      <c r="I61" s="728"/>
      <c r="J61" s="722"/>
      <c r="K61" s="722"/>
      <c r="L61" s="722"/>
      <c r="M61" s="722"/>
      <c r="N61" s="722"/>
      <c r="O61" s="730"/>
    </row>
    <row r="62" spans="1:15" ht="19.899999999999999" customHeight="1">
      <c r="A62" s="721"/>
      <c r="B62" s="724" t="s">
        <v>4650</v>
      </c>
      <c r="C62" s="721"/>
      <c r="D62" s="721"/>
      <c r="E62" s="735"/>
      <c r="F62" s="725"/>
      <c r="G62" s="725"/>
      <c r="H62" s="725"/>
      <c r="I62" s="725"/>
      <c r="J62" s="722"/>
      <c r="K62" s="722"/>
      <c r="L62" s="722" t="e">
        <f>#REF!+#REF!</f>
        <v>#REF!</v>
      </c>
      <c r="M62" s="722"/>
      <c r="N62" s="722"/>
      <c r="O62" s="723"/>
    </row>
    <row r="63" spans="1:15" ht="19.899999999999999" customHeight="1">
      <c r="A63" s="721"/>
      <c r="B63" s="726" t="s">
        <v>4673</v>
      </c>
      <c r="C63" s="721">
        <v>1</v>
      </c>
      <c r="D63" s="721" t="s">
        <v>4377</v>
      </c>
      <c r="E63" s="735">
        <v>7</v>
      </c>
      <c r="F63" s="728">
        <v>0.8</v>
      </c>
      <c r="G63" s="725">
        <v>0.23</v>
      </c>
      <c r="H63" s="728">
        <v>1.4</v>
      </c>
      <c r="I63" s="728">
        <f>PRODUCT(C63:H63)</f>
        <v>1.8</v>
      </c>
      <c r="J63" s="722"/>
      <c r="K63" s="722"/>
      <c r="L63" s="722"/>
      <c r="M63" s="722"/>
      <c r="N63" s="722"/>
      <c r="O63" s="723"/>
    </row>
    <row r="64" spans="1:15" ht="19.899999999999999" customHeight="1">
      <c r="A64" s="721"/>
      <c r="B64" s="726" t="s">
        <v>4674</v>
      </c>
      <c r="C64" s="721">
        <v>1</v>
      </c>
      <c r="D64" s="721" t="s">
        <v>4377</v>
      </c>
      <c r="E64" s="735">
        <v>-7</v>
      </c>
      <c r="F64" s="725">
        <v>0.34</v>
      </c>
      <c r="G64" s="725">
        <v>0.12</v>
      </c>
      <c r="H64" s="725">
        <v>0.84</v>
      </c>
      <c r="I64" s="728">
        <f>PRODUCT(C64:H64)</f>
        <v>-0.24</v>
      </c>
      <c r="J64" s="722"/>
      <c r="K64" s="722"/>
      <c r="L64" s="722"/>
      <c r="M64" s="722"/>
      <c r="N64" s="722"/>
      <c r="O64" s="723"/>
    </row>
    <row r="65" spans="1:15" ht="19.899999999999999" customHeight="1">
      <c r="A65" s="721"/>
      <c r="B65" s="726" t="s">
        <v>4675</v>
      </c>
      <c r="C65" s="721">
        <v>1</v>
      </c>
      <c r="D65" s="721" t="s">
        <v>4377</v>
      </c>
      <c r="E65" s="735">
        <f>E64</f>
        <v>-7</v>
      </c>
      <c r="F65" s="741">
        <v>0.34</v>
      </c>
      <c r="G65" s="1115" t="s">
        <v>4676</v>
      </c>
      <c r="H65" s="1115"/>
      <c r="I65" s="728">
        <f>K65</f>
        <v>-0.3</v>
      </c>
      <c r="J65" s="722"/>
      <c r="K65" s="722">
        <f>C65*E65*F65*0.34*0.12*3.14</f>
        <v>-0.30490655999999999</v>
      </c>
      <c r="L65" s="722"/>
      <c r="M65" s="722"/>
      <c r="N65" s="722"/>
      <c r="O65" s="723"/>
    </row>
    <row r="66" spans="1:15" ht="19.899999999999999" customHeight="1">
      <c r="A66" s="721"/>
      <c r="B66" s="732" t="s">
        <v>4654</v>
      </c>
      <c r="C66" s="721"/>
      <c r="D66" s="721"/>
      <c r="E66" s="735"/>
      <c r="F66" s="741"/>
      <c r="G66" s="725"/>
      <c r="H66" s="725"/>
      <c r="I66" s="728"/>
      <c r="J66" s="722"/>
      <c r="K66" s="722"/>
      <c r="L66" s="722"/>
      <c r="M66" s="722"/>
      <c r="N66" s="722"/>
      <c r="O66" s="730"/>
    </row>
    <row r="67" spans="1:15" ht="19.899999999999999" customHeight="1">
      <c r="A67" s="742"/>
      <c r="B67" s="743" t="s">
        <v>4677</v>
      </c>
      <c r="C67" s="742">
        <v>1</v>
      </c>
      <c r="D67" s="742" t="s">
        <v>4377</v>
      </c>
      <c r="E67" s="727">
        <v>38</v>
      </c>
      <c r="F67" s="744">
        <v>0.23</v>
      </c>
      <c r="G67" s="744">
        <v>0.23</v>
      </c>
      <c r="H67" s="745">
        <v>1.4</v>
      </c>
      <c r="I67" s="728">
        <f>PRODUCT(C67:H67)</f>
        <v>2.81</v>
      </c>
      <c r="J67" s="722">
        <f>80-46</f>
        <v>34</v>
      </c>
      <c r="K67" s="722"/>
      <c r="L67" s="722"/>
      <c r="M67" s="722"/>
      <c r="N67" s="722"/>
      <c r="O67" s="734"/>
    </row>
    <row r="68" spans="1:15" ht="19.899999999999999" customHeight="1">
      <c r="A68" s="721"/>
      <c r="B68" s="732" t="s">
        <v>4678</v>
      </c>
      <c r="C68" s="721"/>
      <c r="D68" s="721"/>
      <c r="E68" s="735"/>
      <c r="F68" s="741"/>
      <c r="G68" s="725"/>
      <c r="H68" s="728"/>
      <c r="I68" s="728"/>
      <c r="J68" s="722"/>
      <c r="K68" s="722"/>
      <c r="L68" s="722"/>
      <c r="M68" s="722"/>
      <c r="N68" s="722"/>
      <c r="O68" s="734"/>
    </row>
    <row r="69" spans="1:15" ht="19.899999999999999" customHeight="1">
      <c r="A69" s="721"/>
      <c r="B69" s="743" t="s">
        <v>4677</v>
      </c>
      <c r="C69" s="742">
        <v>1</v>
      </c>
      <c r="D69" s="742" t="s">
        <v>4377</v>
      </c>
      <c r="E69" s="727">
        <v>18</v>
      </c>
      <c r="F69" s="744">
        <v>0.23</v>
      </c>
      <c r="G69" s="744">
        <v>0.23</v>
      </c>
      <c r="H69" s="745">
        <v>0.9</v>
      </c>
      <c r="I69" s="728">
        <f>PRODUCT(C69:H69)</f>
        <v>0.86</v>
      </c>
      <c r="J69" s="722"/>
      <c r="K69" s="722"/>
      <c r="L69" s="722"/>
      <c r="M69" s="722"/>
      <c r="N69" s="722"/>
      <c r="O69" s="734"/>
    </row>
    <row r="70" spans="1:15" ht="19.899999999999999" customHeight="1">
      <c r="A70" s="721"/>
      <c r="B70" s="726" t="s">
        <v>1850</v>
      </c>
      <c r="C70" s="721"/>
      <c r="D70" s="721"/>
      <c r="E70" s="735"/>
      <c r="F70" s="725"/>
      <c r="G70" s="725"/>
      <c r="H70" s="725"/>
      <c r="I70" s="728">
        <v>7.0000000000000007E-2</v>
      </c>
      <c r="J70" s="722"/>
      <c r="K70" s="722"/>
      <c r="L70" s="722"/>
      <c r="M70" s="722"/>
      <c r="N70" s="722"/>
      <c r="O70" s="730"/>
    </row>
    <row r="71" spans="1:15" ht="19.899999999999999" customHeight="1">
      <c r="A71" s="721"/>
      <c r="B71" s="726"/>
      <c r="C71" s="721"/>
      <c r="D71" s="721"/>
      <c r="E71" s="735"/>
      <c r="F71" s="725"/>
      <c r="G71" s="725"/>
      <c r="H71" s="736" t="s">
        <v>1827</v>
      </c>
      <c r="I71" s="737">
        <f>ROUND(SUM(I63:I70),2)</f>
        <v>5</v>
      </c>
      <c r="J71" s="722">
        <f>28-I71</f>
        <v>23</v>
      </c>
      <c r="K71" s="722"/>
      <c r="L71" s="722"/>
      <c r="M71" s="722"/>
      <c r="N71" s="722"/>
      <c r="O71" s="730" t="s">
        <v>1749</v>
      </c>
    </row>
    <row r="72" spans="1:15" ht="33" customHeight="1">
      <c r="A72" s="721">
        <v>6</v>
      </c>
      <c r="B72" s="1112" t="s">
        <v>4679</v>
      </c>
      <c r="C72" s="1113"/>
      <c r="D72" s="1113"/>
      <c r="E72" s="1113"/>
      <c r="F72" s="1113"/>
      <c r="G72" s="1113"/>
      <c r="H72" s="1113"/>
      <c r="I72" s="1114"/>
      <c r="J72" s="722"/>
      <c r="K72" s="722"/>
      <c r="L72" s="722"/>
      <c r="M72" s="722"/>
      <c r="N72" s="722"/>
      <c r="O72" s="723"/>
    </row>
    <row r="73" spans="1:15" ht="19.899999999999999" customHeight="1">
      <c r="A73" s="721"/>
      <c r="B73" s="724" t="s">
        <v>4650</v>
      </c>
      <c r="C73" s="721"/>
      <c r="D73" s="721"/>
      <c r="E73" s="735"/>
      <c r="F73" s="725"/>
      <c r="G73" s="725"/>
      <c r="H73" s="725"/>
      <c r="I73" s="725"/>
      <c r="J73" s="722"/>
      <c r="K73" s="722"/>
      <c r="L73" s="722"/>
      <c r="M73" s="722"/>
      <c r="N73" s="722"/>
      <c r="O73" s="723"/>
    </row>
    <row r="74" spans="1:15" ht="19.899999999999999" customHeight="1">
      <c r="A74" s="721"/>
      <c r="B74" s="726" t="s">
        <v>4680</v>
      </c>
      <c r="C74" s="721">
        <v>1</v>
      </c>
      <c r="D74" s="721" t="s">
        <v>4377</v>
      </c>
      <c r="E74" s="735">
        <v>1</v>
      </c>
      <c r="F74" s="728">
        <v>21</v>
      </c>
      <c r="G74" s="728"/>
      <c r="H74" s="728">
        <v>1.1200000000000001</v>
      </c>
      <c r="I74" s="728">
        <f>PRODUCT(C74:H74)</f>
        <v>23.52</v>
      </c>
      <c r="J74" s="722"/>
      <c r="K74" s="722"/>
      <c r="L74" s="722"/>
      <c r="M74" s="722"/>
      <c r="N74" s="722"/>
      <c r="O74" s="723"/>
    </row>
    <row r="75" spans="1:15" ht="19.899999999999999" customHeight="1">
      <c r="A75" s="721"/>
      <c r="B75" s="731" t="s">
        <v>4681</v>
      </c>
      <c r="C75" s="721">
        <v>1</v>
      </c>
      <c r="D75" s="721" t="s">
        <v>4377</v>
      </c>
      <c r="E75" s="727">
        <v>1</v>
      </c>
      <c r="F75" s="728">
        <v>7.8</v>
      </c>
      <c r="G75" s="725"/>
      <c r="H75" s="728">
        <v>1.1200000000000001</v>
      </c>
      <c r="I75" s="728">
        <f>PRODUCT(C75:H75)</f>
        <v>8.74</v>
      </c>
      <c r="J75" s="722"/>
      <c r="K75" s="722"/>
      <c r="L75" s="722"/>
      <c r="M75" s="722"/>
      <c r="N75" s="722"/>
      <c r="O75" s="723"/>
    </row>
    <row r="76" spans="1:15" ht="19.899999999999999" customHeight="1">
      <c r="A76" s="721"/>
      <c r="B76" s="726" t="s">
        <v>4682</v>
      </c>
      <c r="C76" s="721">
        <v>1</v>
      </c>
      <c r="D76" s="721" t="s">
        <v>4377</v>
      </c>
      <c r="E76" s="735">
        <v>-7</v>
      </c>
      <c r="F76" s="728">
        <v>0.34</v>
      </c>
      <c r="G76" s="725"/>
      <c r="H76" s="728">
        <v>0.84</v>
      </c>
      <c r="I76" s="728">
        <f>PRODUCT(C76:H76)</f>
        <v>-2</v>
      </c>
      <c r="J76" s="722"/>
      <c r="K76" s="722"/>
      <c r="L76" s="722"/>
      <c r="M76" s="722"/>
      <c r="N76" s="722"/>
      <c r="O76" s="723"/>
    </row>
    <row r="77" spans="1:15" ht="19.899999999999999" customHeight="1">
      <c r="A77" s="721"/>
      <c r="B77" s="726" t="s">
        <v>4683</v>
      </c>
      <c r="C77" s="721">
        <v>1</v>
      </c>
      <c r="D77" s="721" t="s">
        <v>4377</v>
      </c>
      <c r="E77" s="735">
        <f>E76</f>
        <v>-7</v>
      </c>
      <c r="F77" s="728">
        <v>0.34</v>
      </c>
      <c r="G77" s="725"/>
      <c r="H77" s="728">
        <v>0.22</v>
      </c>
      <c r="I77" s="728">
        <f>PRODUCT(C77:H77)</f>
        <v>-0.52</v>
      </c>
      <c r="J77" s="722"/>
      <c r="K77" s="722"/>
      <c r="L77" s="722"/>
      <c r="M77" s="722"/>
      <c r="N77" s="722"/>
      <c r="O77" s="723"/>
    </row>
    <row r="78" spans="1:15" ht="19.899999999999999" customHeight="1">
      <c r="A78" s="721"/>
      <c r="B78" s="732" t="s">
        <v>4654</v>
      </c>
      <c r="C78" s="721"/>
      <c r="D78" s="721"/>
      <c r="E78" s="735"/>
      <c r="F78" s="741"/>
      <c r="G78" s="725"/>
      <c r="H78" s="728"/>
      <c r="I78" s="728"/>
      <c r="J78" s="722"/>
      <c r="K78" s="722"/>
      <c r="L78" s="722"/>
      <c r="M78" s="722"/>
      <c r="N78" s="722"/>
      <c r="O78" s="730"/>
    </row>
    <row r="79" spans="1:15" ht="19.899999999999999" customHeight="1">
      <c r="A79" s="721"/>
      <c r="B79" s="726" t="s">
        <v>4684</v>
      </c>
      <c r="C79" s="721">
        <v>1</v>
      </c>
      <c r="D79" s="721" t="s">
        <v>4377</v>
      </c>
      <c r="E79" s="735">
        <v>1</v>
      </c>
      <c r="F79" s="728">
        <v>75</v>
      </c>
      <c r="G79" s="728"/>
      <c r="H79" s="728">
        <v>1.4</v>
      </c>
      <c r="I79" s="728">
        <f>PRODUCT(C79:H79)</f>
        <v>105</v>
      </c>
      <c r="J79" s="722" t="e">
        <f>#REF!-H79</f>
        <v>#REF!</v>
      </c>
      <c r="K79" s="722"/>
      <c r="L79" s="722"/>
      <c r="M79" s="722"/>
      <c r="N79" s="722"/>
      <c r="O79" s="730"/>
    </row>
    <row r="80" spans="1:15" ht="19.899999999999999" customHeight="1">
      <c r="A80" s="721"/>
      <c r="B80" s="726" t="s">
        <v>4668</v>
      </c>
      <c r="C80" s="721">
        <v>1</v>
      </c>
      <c r="D80" s="721" t="s">
        <v>4377</v>
      </c>
      <c r="E80" s="735">
        <v>-38</v>
      </c>
      <c r="F80" s="728">
        <v>0.23</v>
      </c>
      <c r="G80" s="725"/>
      <c r="H80" s="728">
        <v>1.4</v>
      </c>
      <c r="I80" s="728">
        <f>PRODUCT(C80:H80)</f>
        <v>-12.24</v>
      </c>
      <c r="J80" s="722"/>
      <c r="K80" s="722"/>
      <c r="L80" s="722"/>
      <c r="M80" s="722"/>
      <c r="N80" s="722"/>
      <c r="O80" s="730"/>
    </row>
    <row r="81" spans="1:15" ht="19.899999999999999" customHeight="1">
      <c r="A81" s="721"/>
      <c r="B81" s="732" t="s">
        <v>4678</v>
      </c>
      <c r="C81" s="721"/>
      <c r="D81" s="721"/>
      <c r="E81" s="735"/>
      <c r="F81" s="741"/>
      <c r="G81" s="725"/>
      <c r="H81" s="728"/>
      <c r="I81" s="728"/>
      <c r="J81" s="722"/>
      <c r="K81" s="722"/>
      <c r="L81" s="722"/>
      <c r="M81" s="722"/>
      <c r="N81" s="722"/>
      <c r="O81" s="730"/>
    </row>
    <row r="82" spans="1:15" ht="19.899999999999999" customHeight="1">
      <c r="A82" s="721"/>
      <c r="B82" s="726" t="s">
        <v>4685</v>
      </c>
      <c r="C82" s="721">
        <v>1</v>
      </c>
      <c r="D82" s="721" t="s">
        <v>4377</v>
      </c>
      <c r="E82" s="735">
        <v>1</v>
      </c>
      <c r="F82" s="728">
        <v>43</v>
      </c>
      <c r="G82" s="728"/>
      <c r="H82" s="728">
        <v>0.9</v>
      </c>
      <c r="I82" s="728">
        <f>PRODUCT(C82:H82)</f>
        <v>38.700000000000003</v>
      </c>
      <c r="J82" s="722"/>
      <c r="K82" s="722"/>
      <c r="L82" s="722"/>
      <c r="M82" s="722"/>
      <c r="N82" s="722"/>
      <c r="O82" s="730"/>
    </row>
    <row r="83" spans="1:15" ht="19.899999999999999" customHeight="1">
      <c r="A83" s="721"/>
      <c r="B83" s="726" t="s">
        <v>4668</v>
      </c>
      <c r="C83" s="721">
        <v>1</v>
      </c>
      <c r="D83" s="721" t="s">
        <v>4377</v>
      </c>
      <c r="E83" s="735">
        <v>-18</v>
      </c>
      <c r="F83" s="728">
        <v>0.23</v>
      </c>
      <c r="G83" s="725"/>
      <c r="H83" s="728">
        <v>0.9</v>
      </c>
      <c r="I83" s="728">
        <f>PRODUCT(C83:H83)</f>
        <v>-3.73</v>
      </c>
      <c r="J83" s="722"/>
      <c r="K83" s="722"/>
      <c r="L83" s="722"/>
      <c r="M83" s="722"/>
      <c r="N83" s="722"/>
      <c r="O83" s="730"/>
    </row>
    <row r="84" spans="1:15" ht="19.899999999999999" customHeight="1">
      <c r="A84" s="721"/>
      <c r="B84" s="726" t="s">
        <v>1850</v>
      </c>
      <c r="C84" s="721"/>
      <c r="D84" s="721"/>
      <c r="E84" s="735"/>
      <c r="F84" s="741"/>
      <c r="G84" s="725"/>
      <c r="H84" s="728"/>
      <c r="I84" s="728">
        <v>0.03</v>
      </c>
      <c r="J84" s="722"/>
      <c r="K84" s="722"/>
      <c r="L84" s="722"/>
      <c r="M84" s="722"/>
      <c r="N84" s="722"/>
      <c r="O84" s="730"/>
    </row>
    <row r="85" spans="1:15" ht="19.899999999999999" customHeight="1">
      <c r="A85" s="721"/>
      <c r="B85" s="726"/>
      <c r="C85" s="721"/>
      <c r="D85" s="721"/>
      <c r="E85" s="735"/>
      <c r="F85" s="725"/>
      <c r="G85" s="725"/>
      <c r="H85" s="736" t="s">
        <v>1827</v>
      </c>
      <c r="I85" s="737">
        <f>ROUND(SUM(I74:I84),2)</f>
        <v>157.5</v>
      </c>
      <c r="J85" s="722">
        <f>I85-77.5</f>
        <v>80</v>
      </c>
      <c r="K85" s="722"/>
      <c r="L85" s="722"/>
      <c r="M85" s="722"/>
      <c r="N85" s="722"/>
      <c r="O85" s="730" t="s">
        <v>1861</v>
      </c>
    </row>
    <row r="86" spans="1:15" ht="33" customHeight="1">
      <c r="A86" s="721">
        <v>7</v>
      </c>
      <c r="B86" s="1106" t="s">
        <v>4686</v>
      </c>
      <c r="C86" s="1107"/>
      <c r="D86" s="1107"/>
      <c r="E86" s="1107"/>
      <c r="F86" s="1107"/>
      <c r="G86" s="1107"/>
      <c r="H86" s="1107"/>
      <c r="I86" s="1108"/>
      <c r="J86" s="722"/>
      <c r="K86" s="722"/>
      <c r="L86" s="722"/>
      <c r="M86" s="722"/>
      <c r="N86" s="722"/>
      <c r="O86" s="723"/>
    </row>
    <row r="87" spans="1:15" s="754" customFormat="1" ht="19.899999999999999" customHeight="1">
      <c r="A87" s="746"/>
      <c r="B87" s="747" t="s">
        <v>4264</v>
      </c>
      <c r="C87" s="746"/>
      <c r="D87" s="746"/>
      <c r="E87" s="748"/>
      <c r="F87" s="749"/>
      <c r="G87" s="750"/>
      <c r="H87" s="751"/>
      <c r="I87" s="750">
        <v>2040.45</v>
      </c>
      <c r="J87" s="752"/>
      <c r="K87" s="752"/>
      <c r="L87" s="752"/>
      <c r="M87" s="752"/>
      <c r="N87" s="752"/>
      <c r="O87" s="753" t="s">
        <v>211</v>
      </c>
    </row>
    <row r="88" spans="1:15" ht="19.899999999999999" customHeight="1">
      <c r="A88" s="755"/>
      <c r="B88" s="756"/>
      <c r="C88" s="755"/>
      <c r="D88" s="755"/>
      <c r="E88" s="727"/>
      <c r="F88" s="757"/>
      <c r="G88" s="736"/>
      <c r="H88" s="736" t="s">
        <v>1827</v>
      </c>
      <c r="I88" s="758">
        <f>I87/1000</f>
        <v>2.04</v>
      </c>
      <c r="J88" s="722"/>
      <c r="K88" s="722"/>
      <c r="L88" s="722"/>
      <c r="M88" s="722"/>
      <c r="N88" s="722"/>
      <c r="O88" s="734" t="s">
        <v>427</v>
      </c>
    </row>
    <row r="89" spans="1:15" ht="33" customHeight="1">
      <c r="A89" s="727">
        <v>8</v>
      </c>
      <c r="B89" s="1097" t="s">
        <v>4687</v>
      </c>
      <c r="C89" s="1098"/>
      <c r="D89" s="1098"/>
      <c r="E89" s="1098"/>
      <c r="F89" s="1098"/>
      <c r="G89" s="1098"/>
      <c r="H89" s="1098"/>
      <c r="I89" s="1099"/>
      <c r="J89" s="722"/>
      <c r="K89" s="722"/>
      <c r="L89" s="722"/>
      <c r="M89" s="722"/>
      <c r="N89" s="722"/>
      <c r="O89" s="734"/>
    </row>
    <row r="90" spans="1:15" ht="19.899999999999999" customHeight="1">
      <c r="A90" s="755"/>
      <c r="B90" s="1100" t="s">
        <v>4688</v>
      </c>
      <c r="C90" s="1101"/>
      <c r="D90" s="1101"/>
      <c r="E90" s="1101"/>
      <c r="F90" s="1101"/>
      <c r="G90" s="1101"/>
      <c r="H90" s="1101"/>
      <c r="I90" s="1102"/>
      <c r="J90" s="722"/>
      <c r="K90" s="722"/>
      <c r="L90" s="722"/>
      <c r="M90" s="722"/>
      <c r="N90" s="722"/>
      <c r="O90" s="734"/>
    </row>
    <row r="91" spans="1:15" ht="19.899999999999999" customHeight="1">
      <c r="A91" s="755"/>
      <c r="B91" s="724" t="s">
        <v>4650</v>
      </c>
      <c r="C91" s="755"/>
      <c r="D91" s="755"/>
      <c r="E91" s="727"/>
      <c r="F91" s="757"/>
      <c r="G91" s="736"/>
      <c r="H91" s="759"/>
      <c r="I91" s="759"/>
      <c r="J91" s="722"/>
      <c r="K91" s="722"/>
      <c r="L91" s="722"/>
      <c r="M91" s="722"/>
      <c r="N91" s="722"/>
      <c r="O91" s="734"/>
    </row>
    <row r="92" spans="1:15" ht="19.899999999999999" customHeight="1">
      <c r="A92" s="755"/>
      <c r="B92" s="756" t="s">
        <v>4689</v>
      </c>
      <c r="C92" s="755">
        <v>1</v>
      </c>
      <c r="D92" s="721" t="s">
        <v>4377</v>
      </c>
      <c r="E92" s="727">
        <v>2</v>
      </c>
      <c r="F92" s="760">
        <v>4.8</v>
      </c>
      <c r="G92" s="761"/>
      <c r="H92" s="760">
        <v>0.3</v>
      </c>
      <c r="I92" s="728">
        <f>PRODUCT(C92:H92)</f>
        <v>2.88</v>
      </c>
      <c r="J92" s="722"/>
      <c r="K92" s="722"/>
      <c r="L92" s="722"/>
      <c r="M92" s="722"/>
      <c r="N92" s="722"/>
      <c r="O92" s="734"/>
    </row>
    <row r="93" spans="1:15" ht="19.899999999999999" customHeight="1">
      <c r="A93" s="755"/>
      <c r="B93" s="756" t="s">
        <v>4690</v>
      </c>
      <c r="C93" s="755">
        <v>1</v>
      </c>
      <c r="D93" s="721" t="s">
        <v>4377</v>
      </c>
      <c r="E93" s="727">
        <v>7</v>
      </c>
      <c r="F93" s="760">
        <v>0.92</v>
      </c>
      <c r="G93" s="761"/>
      <c r="H93" s="760">
        <v>0.87</v>
      </c>
      <c r="I93" s="728">
        <f>PRODUCT(C93:H93)</f>
        <v>5.6</v>
      </c>
      <c r="J93" s="722"/>
      <c r="K93" s="722"/>
      <c r="L93" s="722"/>
      <c r="M93" s="722"/>
      <c r="N93" s="722"/>
      <c r="O93" s="734"/>
    </row>
    <row r="94" spans="1:15" ht="19.899999999999999" customHeight="1">
      <c r="A94" s="755"/>
      <c r="B94" s="731" t="s">
        <v>4691</v>
      </c>
      <c r="C94" s="721">
        <v>1</v>
      </c>
      <c r="D94" s="721" t="s">
        <v>4377</v>
      </c>
      <c r="E94" s="727">
        <v>2</v>
      </c>
      <c r="F94" s="761">
        <v>1.2</v>
      </c>
      <c r="G94" s="761"/>
      <c r="H94" s="761">
        <v>2.82</v>
      </c>
      <c r="I94" s="728">
        <f>PRODUCT(C94:H94)</f>
        <v>6.77</v>
      </c>
      <c r="J94" s="722"/>
      <c r="K94" s="722"/>
      <c r="L94" s="722"/>
      <c r="M94" s="722"/>
      <c r="N94" s="722"/>
      <c r="O94" s="734"/>
    </row>
    <row r="95" spans="1:15" ht="19.899999999999999" customHeight="1">
      <c r="A95" s="755"/>
      <c r="B95" s="732" t="s">
        <v>4654</v>
      </c>
      <c r="C95" s="721"/>
      <c r="D95" s="721"/>
      <c r="E95" s="727"/>
      <c r="F95" s="761"/>
      <c r="G95" s="761"/>
      <c r="H95" s="761"/>
      <c r="I95" s="728"/>
      <c r="J95" s="722"/>
      <c r="K95" s="722"/>
      <c r="L95" s="722"/>
      <c r="M95" s="722"/>
      <c r="N95" s="722"/>
      <c r="O95" s="734"/>
    </row>
    <row r="96" spans="1:15" ht="19.899999999999999" customHeight="1">
      <c r="A96" s="755"/>
      <c r="B96" s="756" t="s">
        <v>4690</v>
      </c>
      <c r="C96" s="755">
        <v>1</v>
      </c>
      <c r="D96" s="721" t="s">
        <v>4377</v>
      </c>
      <c r="E96" s="727">
        <v>38</v>
      </c>
      <c r="F96" s="760">
        <v>0.92</v>
      </c>
      <c r="G96" s="761"/>
      <c r="H96" s="760">
        <v>0.87</v>
      </c>
      <c r="I96" s="728">
        <f>PRODUCT(C96:H96)</f>
        <v>30.42</v>
      </c>
      <c r="J96" s="722"/>
      <c r="K96" s="722"/>
      <c r="L96" s="722"/>
      <c r="M96" s="722"/>
      <c r="N96" s="722"/>
      <c r="O96" s="734"/>
    </row>
    <row r="97" spans="1:15" ht="19.899999999999999" customHeight="1">
      <c r="A97" s="755"/>
      <c r="B97" s="756" t="s">
        <v>3531</v>
      </c>
      <c r="C97" s="755">
        <v>1</v>
      </c>
      <c r="D97" s="721" t="s">
        <v>4377</v>
      </c>
      <c r="E97" s="727">
        <v>33</v>
      </c>
      <c r="F97" s="760">
        <v>4</v>
      </c>
      <c r="G97" s="761"/>
      <c r="H97" s="760">
        <v>0.3</v>
      </c>
      <c r="I97" s="728">
        <f>PRODUCT(C97:H97)</f>
        <v>39.6</v>
      </c>
      <c r="J97" s="722"/>
      <c r="K97" s="722"/>
      <c r="L97" s="722"/>
      <c r="M97" s="722"/>
      <c r="N97" s="722"/>
      <c r="O97" s="734"/>
    </row>
    <row r="98" spans="1:15" ht="19.899999999999999" customHeight="1">
      <c r="A98" s="755"/>
      <c r="B98" s="756" t="s">
        <v>1850</v>
      </c>
      <c r="C98" s="721"/>
      <c r="D98" s="721"/>
      <c r="E98" s="727"/>
      <c r="F98" s="761"/>
      <c r="G98" s="761"/>
      <c r="H98" s="761"/>
      <c r="I98" s="757">
        <v>0.03</v>
      </c>
      <c r="J98" s="722"/>
      <c r="K98" s="722"/>
      <c r="L98" s="722"/>
      <c r="M98" s="722"/>
      <c r="N98" s="722"/>
      <c r="O98" s="734"/>
    </row>
    <row r="99" spans="1:15" ht="19.899999999999999" customHeight="1">
      <c r="A99" s="755"/>
      <c r="B99" s="731"/>
      <c r="C99" s="721"/>
      <c r="D99" s="721"/>
      <c r="E99" s="727"/>
      <c r="F99" s="761"/>
      <c r="G99" s="761"/>
      <c r="H99" s="736" t="s">
        <v>1827</v>
      </c>
      <c r="I99" s="762">
        <f>ROUND(SUM(I92:I98),2)</f>
        <v>85.3</v>
      </c>
      <c r="J99" s="722"/>
      <c r="K99" s="722"/>
      <c r="L99" s="722"/>
      <c r="M99" s="722"/>
      <c r="N99" s="722"/>
      <c r="O99" s="734" t="s">
        <v>1861</v>
      </c>
    </row>
    <row r="100" spans="1:15" ht="19.899999999999999" customHeight="1">
      <c r="A100" s="755"/>
      <c r="B100" s="1103" t="s">
        <v>4692</v>
      </c>
      <c r="C100" s="1104"/>
      <c r="D100" s="1104"/>
      <c r="E100" s="1104"/>
      <c r="F100" s="1104"/>
      <c r="G100" s="1104"/>
      <c r="H100" s="1104"/>
      <c r="I100" s="1105"/>
      <c r="J100" s="722"/>
      <c r="K100" s="722"/>
      <c r="L100" s="722"/>
      <c r="M100" s="722"/>
      <c r="N100" s="722"/>
      <c r="O100" s="734"/>
    </row>
    <row r="101" spans="1:15" ht="19.899999999999999" customHeight="1">
      <c r="A101" s="755"/>
      <c r="B101" s="724" t="s">
        <v>4650</v>
      </c>
      <c r="C101" s="721"/>
      <c r="D101" s="721"/>
      <c r="E101" s="727"/>
      <c r="F101" s="761"/>
      <c r="G101" s="761"/>
      <c r="H101" s="736"/>
      <c r="I101" s="759"/>
      <c r="J101" s="722"/>
      <c r="K101" s="722"/>
      <c r="L101" s="722"/>
      <c r="M101" s="722"/>
      <c r="N101" s="722"/>
      <c r="O101" s="734"/>
    </row>
    <row r="102" spans="1:15" ht="19.899999999999999" customHeight="1">
      <c r="A102" s="755"/>
      <c r="B102" s="731" t="s">
        <v>4693</v>
      </c>
      <c r="C102" s="721">
        <v>1</v>
      </c>
      <c r="D102" s="721" t="s">
        <v>4377</v>
      </c>
      <c r="E102" s="727">
        <v>2</v>
      </c>
      <c r="F102" s="761">
        <v>21</v>
      </c>
      <c r="G102" s="761"/>
      <c r="H102" s="763">
        <v>0.3</v>
      </c>
      <c r="I102" s="728">
        <f>PRODUCT(C102:H102)</f>
        <v>12.6</v>
      </c>
      <c r="J102" s="722"/>
      <c r="K102" s="722"/>
      <c r="L102" s="722"/>
      <c r="M102" s="722"/>
      <c r="N102" s="722"/>
      <c r="O102" s="734"/>
    </row>
    <row r="103" spans="1:15" ht="19.899999999999999" customHeight="1">
      <c r="A103" s="755"/>
      <c r="B103" s="732" t="s">
        <v>4654</v>
      </c>
      <c r="C103" s="721"/>
      <c r="D103" s="721"/>
      <c r="E103" s="727"/>
      <c r="F103" s="761"/>
      <c r="G103" s="761"/>
      <c r="H103" s="761"/>
      <c r="I103" s="728"/>
      <c r="J103" s="722"/>
      <c r="K103" s="722"/>
      <c r="L103" s="722"/>
      <c r="M103" s="722"/>
      <c r="N103" s="722"/>
      <c r="O103" s="734"/>
    </row>
    <row r="104" spans="1:15" ht="19.899999999999999" customHeight="1">
      <c r="A104" s="755"/>
      <c r="B104" s="731" t="s">
        <v>4694</v>
      </c>
      <c r="C104" s="721">
        <v>1</v>
      </c>
      <c r="D104" s="721" t="s">
        <v>4377</v>
      </c>
      <c r="E104" s="727">
        <v>2</v>
      </c>
      <c r="F104" s="728">
        <v>75</v>
      </c>
      <c r="G104" s="761"/>
      <c r="H104" s="763">
        <v>0.3</v>
      </c>
      <c r="I104" s="728">
        <f>PRODUCT(C104:H104)</f>
        <v>45</v>
      </c>
      <c r="J104" s="722"/>
      <c r="K104" s="722"/>
      <c r="L104" s="722"/>
      <c r="M104" s="722"/>
      <c r="N104" s="722"/>
      <c r="O104" s="730"/>
    </row>
    <row r="105" spans="1:15" ht="19.899999999999999" customHeight="1">
      <c r="A105" s="755"/>
      <c r="B105" s="732" t="s">
        <v>4678</v>
      </c>
      <c r="C105" s="755"/>
      <c r="D105" s="755"/>
      <c r="E105" s="727"/>
      <c r="F105" s="757"/>
      <c r="G105" s="725"/>
      <c r="H105" s="757"/>
      <c r="I105" s="757"/>
      <c r="J105" s="722"/>
      <c r="K105" s="722"/>
      <c r="L105" s="722"/>
      <c r="M105" s="722"/>
      <c r="N105" s="722"/>
      <c r="O105" s="734"/>
    </row>
    <row r="106" spans="1:15" ht="19.899999999999999" customHeight="1">
      <c r="A106" s="755"/>
      <c r="B106" s="731" t="s">
        <v>4695</v>
      </c>
      <c r="C106" s="721">
        <v>1</v>
      </c>
      <c r="D106" s="721" t="s">
        <v>4377</v>
      </c>
      <c r="E106" s="727">
        <v>2</v>
      </c>
      <c r="F106" s="728">
        <v>43</v>
      </c>
      <c r="G106" s="761"/>
      <c r="H106" s="763">
        <v>0.15</v>
      </c>
      <c r="I106" s="728">
        <f>PRODUCT(C106:H106)</f>
        <v>12.9</v>
      </c>
      <c r="J106" s="722"/>
      <c r="K106" s="722"/>
      <c r="L106" s="722"/>
      <c r="M106" s="722"/>
      <c r="N106" s="722"/>
      <c r="O106" s="734"/>
    </row>
    <row r="107" spans="1:15" ht="19.899999999999999" customHeight="1">
      <c r="A107" s="755"/>
      <c r="B107" s="756"/>
      <c r="C107" s="755"/>
      <c r="D107" s="755"/>
      <c r="E107" s="727"/>
      <c r="F107" s="757"/>
      <c r="G107" s="757"/>
      <c r="H107" s="736" t="s">
        <v>1827</v>
      </c>
      <c r="I107" s="762">
        <f>ROUND(SUM(I102:N106),2)</f>
        <v>70.5</v>
      </c>
      <c r="J107" s="722"/>
      <c r="K107" s="722"/>
      <c r="L107" s="722"/>
      <c r="M107" s="722"/>
      <c r="N107" s="722"/>
      <c r="O107" s="734" t="s">
        <v>1861</v>
      </c>
    </row>
    <row r="108" spans="1:15" ht="33" customHeight="1">
      <c r="A108" s="727">
        <v>9</v>
      </c>
      <c r="B108" s="1048" t="s">
        <v>4696</v>
      </c>
      <c r="C108" s="1049"/>
      <c r="D108" s="1049"/>
      <c r="E108" s="1049"/>
      <c r="F108" s="1049"/>
      <c r="G108" s="1049"/>
      <c r="H108" s="1049"/>
      <c r="I108" s="1050"/>
      <c r="J108" s="722"/>
      <c r="K108" s="722"/>
      <c r="L108" s="722"/>
      <c r="M108" s="722"/>
      <c r="N108" s="722"/>
      <c r="O108" s="734"/>
    </row>
    <row r="109" spans="1:15" ht="19.899999999999999" customHeight="1">
      <c r="A109" s="727"/>
      <c r="B109" s="724" t="s">
        <v>4650</v>
      </c>
      <c r="C109" s="755"/>
      <c r="D109" s="755"/>
      <c r="E109" s="727"/>
      <c r="F109" s="757"/>
      <c r="G109" s="757"/>
      <c r="H109" s="757"/>
      <c r="I109" s="757"/>
      <c r="J109" s="722"/>
      <c r="K109" s="722"/>
      <c r="L109" s="722"/>
      <c r="M109" s="722"/>
      <c r="N109" s="722"/>
      <c r="O109" s="734"/>
    </row>
    <row r="110" spans="1:15" ht="19.899999999999999" customHeight="1">
      <c r="A110" s="727"/>
      <c r="B110" s="731" t="s">
        <v>4697</v>
      </c>
      <c r="C110" s="721">
        <v>1</v>
      </c>
      <c r="D110" s="721" t="s">
        <v>4377</v>
      </c>
      <c r="E110" s="735">
        <v>2</v>
      </c>
      <c r="F110" s="728">
        <v>21</v>
      </c>
      <c r="G110" s="728"/>
      <c r="H110" s="728">
        <v>1.1200000000000001</v>
      </c>
      <c r="I110" s="728">
        <f t="shared" ref="I110:I116" si="1">PRODUCT(C110:H110)</f>
        <v>47.04</v>
      </c>
      <c r="J110" s="722"/>
      <c r="K110" s="722"/>
      <c r="L110" s="722"/>
      <c r="M110" s="722"/>
      <c r="N110" s="722"/>
      <c r="O110" s="734"/>
    </row>
    <row r="111" spans="1:15" ht="19.899999999999999" customHeight="1">
      <c r="A111" s="727"/>
      <c r="B111" s="764" t="s">
        <v>4698</v>
      </c>
      <c r="C111" s="727">
        <v>1</v>
      </c>
      <c r="D111" s="721" t="s">
        <v>4377</v>
      </c>
      <c r="E111" s="727">
        <v>7</v>
      </c>
      <c r="F111" s="745">
        <v>2.06</v>
      </c>
      <c r="G111" s="757"/>
      <c r="H111" s="757">
        <v>0.28000000000000003</v>
      </c>
      <c r="I111" s="728">
        <f t="shared" si="1"/>
        <v>4.04</v>
      </c>
      <c r="J111" s="722"/>
      <c r="K111" s="722"/>
      <c r="L111" s="722"/>
      <c r="M111" s="722"/>
      <c r="N111" s="722"/>
      <c r="O111" s="734"/>
    </row>
    <row r="112" spans="1:15" ht="19.899999999999999" customHeight="1">
      <c r="A112" s="727"/>
      <c r="B112" s="764" t="s">
        <v>4699</v>
      </c>
      <c r="C112" s="727">
        <v>1</v>
      </c>
      <c r="D112" s="721" t="s">
        <v>4377</v>
      </c>
      <c r="E112" s="727">
        <v>1</v>
      </c>
      <c r="F112" s="745">
        <v>21</v>
      </c>
      <c r="G112" s="757">
        <v>0.23</v>
      </c>
      <c r="H112" s="757"/>
      <c r="I112" s="728">
        <f t="shared" si="1"/>
        <v>4.83</v>
      </c>
      <c r="J112" s="722"/>
      <c r="K112" s="722"/>
      <c r="L112" s="722"/>
      <c r="M112" s="722"/>
      <c r="N112" s="722"/>
      <c r="O112" s="734"/>
    </row>
    <row r="113" spans="1:15" ht="19.899999999999999" customHeight="1">
      <c r="A113" s="727"/>
      <c r="B113" s="764" t="s">
        <v>4700</v>
      </c>
      <c r="C113" s="727">
        <v>1</v>
      </c>
      <c r="D113" s="721" t="s">
        <v>4377</v>
      </c>
      <c r="E113" s="727">
        <v>2</v>
      </c>
      <c r="F113" s="745">
        <v>21</v>
      </c>
      <c r="G113" s="757"/>
      <c r="H113" s="745">
        <v>1.45</v>
      </c>
      <c r="I113" s="728">
        <f t="shared" si="1"/>
        <v>60.9</v>
      </c>
      <c r="J113" s="722"/>
      <c r="K113" s="722"/>
      <c r="L113" s="722"/>
      <c r="M113" s="722"/>
      <c r="N113" s="722"/>
      <c r="O113" s="734"/>
    </row>
    <row r="114" spans="1:15" ht="19.899999999999999" customHeight="1">
      <c r="A114" s="727"/>
      <c r="B114" s="756" t="s">
        <v>4701</v>
      </c>
      <c r="C114" s="727">
        <v>1</v>
      </c>
      <c r="D114" s="721" t="s">
        <v>4377</v>
      </c>
      <c r="E114" s="727">
        <v>7</v>
      </c>
      <c r="F114" s="765">
        <v>0.115</v>
      </c>
      <c r="G114" s="757"/>
      <c r="H114" s="757">
        <v>1.1200000000000001</v>
      </c>
      <c r="I114" s="728">
        <f t="shared" si="1"/>
        <v>0.9</v>
      </c>
      <c r="J114" s="722"/>
      <c r="K114" s="722"/>
      <c r="L114" s="722"/>
      <c r="M114" s="722"/>
      <c r="N114" s="722"/>
      <c r="O114" s="734"/>
    </row>
    <row r="115" spans="1:15" ht="19.899999999999999" customHeight="1">
      <c r="A115" s="727"/>
      <c r="B115" s="756" t="s">
        <v>4702</v>
      </c>
      <c r="C115" s="727">
        <v>1</v>
      </c>
      <c r="D115" s="721" t="s">
        <v>4377</v>
      </c>
      <c r="E115" s="727">
        <v>7</v>
      </c>
      <c r="F115" s="765">
        <v>0.115</v>
      </c>
      <c r="G115" s="757"/>
      <c r="H115" s="757">
        <v>1.1200000000000001</v>
      </c>
      <c r="I115" s="728">
        <f t="shared" si="1"/>
        <v>0.9</v>
      </c>
      <c r="J115" s="722"/>
      <c r="K115" s="722"/>
      <c r="L115" s="722"/>
      <c r="M115" s="722"/>
      <c r="N115" s="722"/>
      <c r="O115" s="734"/>
    </row>
    <row r="116" spans="1:15" ht="19.899999999999999" customHeight="1">
      <c r="A116" s="721"/>
      <c r="B116" s="726" t="s">
        <v>4681</v>
      </c>
      <c r="C116" s="721">
        <v>1</v>
      </c>
      <c r="D116" s="721" t="s">
        <v>4377</v>
      </c>
      <c r="E116" s="735">
        <v>-1</v>
      </c>
      <c r="F116" s="728">
        <v>7.2</v>
      </c>
      <c r="G116" s="725"/>
      <c r="H116" s="728">
        <v>1.1200000000000001</v>
      </c>
      <c r="I116" s="728">
        <f t="shared" si="1"/>
        <v>-8.06</v>
      </c>
      <c r="J116" s="722"/>
      <c r="K116" s="722"/>
      <c r="L116" s="722"/>
      <c r="M116" s="722"/>
      <c r="N116" s="722"/>
      <c r="O116" s="734"/>
    </row>
    <row r="117" spans="1:15" ht="19.899999999999999" customHeight="1">
      <c r="A117" s="755"/>
      <c r="B117" s="734" t="s">
        <v>4654</v>
      </c>
      <c r="C117" s="727"/>
      <c r="D117" s="721"/>
      <c r="E117" s="727"/>
      <c r="F117" s="766"/>
      <c r="G117" s="757"/>
      <c r="H117" s="757"/>
      <c r="I117" s="728"/>
      <c r="J117" s="722"/>
      <c r="K117" s="722"/>
      <c r="L117" s="722"/>
      <c r="M117" s="722"/>
      <c r="N117" s="722"/>
      <c r="O117" s="730"/>
    </row>
    <row r="118" spans="1:15" ht="19.899999999999999" customHeight="1">
      <c r="A118" s="755"/>
      <c r="B118" s="731" t="s">
        <v>4703</v>
      </c>
      <c r="C118" s="721">
        <v>1</v>
      </c>
      <c r="D118" s="721" t="s">
        <v>4377</v>
      </c>
      <c r="E118" s="735">
        <v>2</v>
      </c>
      <c r="F118" s="728">
        <v>75</v>
      </c>
      <c r="G118" s="728"/>
      <c r="H118" s="728">
        <v>1.4</v>
      </c>
      <c r="I118" s="728">
        <f t="shared" ref="I118:I126" si="2">PRODUCT(C118:H118)</f>
        <v>210</v>
      </c>
      <c r="J118" s="722"/>
      <c r="K118" s="722"/>
      <c r="L118" s="722"/>
      <c r="M118" s="722"/>
      <c r="N118" s="722"/>
      <c r="O118" s="734"/>
    </row>
    <row r="119" spans="1:15" ht="19.899999999999999" customHeight="1">
      <c r="A119" s="755"/>
      <c r="B119" s="764" t="s">
        <v>4704</v>
      </c>
      <c r="C119" s="727">
        <v>2</v>
      </c>
      <c r="D119" s="721" t="s">
        <v>4377</v>
      </c>
      <c r="E119" s="727">
        <v>38</v>
      </c>
      <c r="F119" s="757">
        <v>0.115</v>
      </c>
      <c r="G119" s="757"/>
      <c r="H119" s="745">
        <v>1.4</v>
      </c>
      <c r="I119" s="728">
        <f t="shared" si="2"/>
        <v>12.24</v>
      </c>
      <c r="J119" s="722"/>
      <c r="K119" s="722"/>
      <c r="L119" s="722"/>
      <c r="M119" s="722"/>
      <c r="N119" s="722"/>
      <c r="O119" s="734"/>
    </row>
    <row r="120" spans="1:15" ht="33" customHeight="1">
      <c r="A120" s="755"/>
      <c r="B120" s="764" t="s">
        <v>4705</v>
      </c>
      <c r="C120" s="727">
        <v>1</v>
      </c>
      <c r="D120" s="721" t="s">
        <v>4377</v>
      </c>
      <c r="E120" s="727">
        <v>1</v>
      </c>
      <c r="F120" s="728">
        <v>75</v>
      </c>
      <c r="G120" s="757">
        <v>0.23</v>
      </c>
      <c r="H120" s="757"/>
      <c r="I120" s="728">
        <f t="shared" si="2"/>
        <v>17.25</v>
      </c>
      <c r="J120" s="722"/>
      <c r="K120" s="722"/>
      <c r="L120" s="722"/>
      <c r="M120" s="722"/>
      <c r="N120" s="722"/>
      <c r="O120" s="734"/>
    </row>
    <row r="121" spans="1:15" ht="19.899999999999999" customHeight="1">
      <c r="A121" s="755"/>
      <c r="B121" s="764" t="s">
        <v>4706</v>
      </c>
      <c r="C121" s="727">
        <v>1</v>
      </c>
      <c r="D121" s="721" t="s">
        <v>4377</v>
      </c>
      <c r="E121" s="727">
        <v>2</v>
      </c>
      <c r="F121" s="728">
        <v>75</v>
      </c>
      <c r="G121" s="757"/>
      <c r="H121" s="745">
        <v>0.45</v>
      </c>
      <c r="I121" s="728">
        <f t="shared" si="2"/>
        <v>67.5</v>
      </c>
      <c r="J121" s="722"/>
      <c r="K121" s="722"/>
      <c r="L121" s="722"/>
      <c r="M121" s="722"/>
      <c r="N121" s="722"/>
      <c r="O121" s="734"/>
    </row>
    <row r="122" spans="1:15" ht="19.899999999999999" customHeight="1">
      <c r="A122" s="755"/>
      <c r="B122" s="734" t="s">
        <v>4662</v>
      </c>
      <c r="C122" s="727"/>
      <c r="D122" s="721"/>
      <c r="E122" s="727"/>
      <c r="F122" s="766"/>
      <c r="G122" s="757"/>
      <c r="H122" s="757"/>
      <c r="I122" s="728"/>
      <c r="J122" s="722"/>
      <c r="K122" s="722"/>
      <c r="L122" s="722"/>
      <c r="M122" s="722"/>
      <c r="N122" s="722"/>
      <c r="O122" s="734"/>
    </row>
    <row r="123" spans="1:15" ht="19.899999999999999" customHeight="1">
      <c r="A123" s="755"/>
      <c r="B123" s="731" t="s">
        <v>4697</v>
      </c>
      <c r="C123" s="721">
        <v>1</v>
      </c>
      <c r="D123" s="721" t="s">
        <v>4377</v>
      </c>
      <c r="E123" s="735">
        <v>2</v>
      </c>
      <c r="F123" s="728">
        <v>43</v>
      </c>
      <c r="G123" s="728"/>
      <c r="H123" s="728">
        <v>1.4</v>
      </c>
      <c r="I123" s="728">
        <f t="shared" si="2"/>
        <v>120.4</v>
      </c>
      <c r="J123" s="722"/>
      <c r="K123" s="722"/>
      <c r="L123" s="722"/>
      <c r="M123" s="722"/>
      <c r="N123" s="722"/>
      <c r="O123" s="734"/>
    </row>
    <row r="124" spans="1:15" ht="19.899999999999999" customHeight="1">
      <c r="A124" s="755"/>
      <c r="B124" s="764" t="s">
        <v>4704</v>
      </c>
      <c r="C124" s="727">
        <v>2</v>
      </c>
      <c r="D124" s="721" t="s">
        <v>4377</v>
      </c>
      <c r="E124" s="727">
        <v>18</v>
      </c>
      <c r="F124" s="757">
        <v>0.115</v>
      </c>
      <c r="G124" s="757"/>
      <c r="H124" s="745">
        <v>1.4</v>
      </c>
      <c r="I124" s="728">
        <f t="shared" si="2"/>
        <v>5.8</v>
      </c>
      <c r="J124" s="722"/>
      <c r="K124" s="722"/>
      <c r="L124" s="722"/>
      <c r="M124" s="722"/>
      <c r="N124" s="722"/>
      <c r="O124" s="734"/>
    </row>
    <row r="125" spans="1:15" ht="19.899999999999999" customHeight="1">
      <c r="A125" s="755"/>
      <c r="B125" s="764" t="s">
        <v>4707</v>
      </c>
      <c r="C125" s="727">
        <v>1</v>
      </c>
      <c r="D125" s="721" t="s">
        <v>4377</v>
      </c>
      <c r="E125" s="727">
        <v>1</v>
      </c>
      <c r="F125" s="728">
        <f>F123</f>
        <v>43</v>
      </c>
      <c r="G125" s="757">
        <v>0.23</v>
      </c>
      <c r="H125" s="757"/>
      <c r="I125" s="728">
        <f t="shared" si="2"/>
        <v>9.89</v>
      </c>
      <c r="J125" s="722"/>
      <c r="K125" s="722"/>
      <c r="L125" s="722"/>
      <c r="M125" s="722"/>
      <c r="N125" s="722"/>
      <c r="O125" s="734"/>
    </row>
    <row r="126" spans="1:15" ht="19.899999999999999" customHeight="1">
      <c r="A126" s="755"/>
      <c r="B126" s="764" t="s">
        <v>4708</v>
      </c>
      <c r="C126" s="727">
        <v>1</v>
      </c>
      <c r="D126" s="721" t="s">
        <v>4377</v>
      </c>
      <c r="E126" s="727">
        <v>2</v>
      </c>
      <c r="F126" s="728">
        <f>F123</f>
        <v>43</v>
      </c>
      <c r="G126" s="757"/>
      <c r="H126" s="745">
        <f>H121</f>
        <v>0.45</v>
      </c>
      <c r="I126" s="728">
        <f t="shared" si="2"/>
        <v>38.700000000000003</v>
      </c>
      <c r="J126" s="722"/>
      <c r="K126" s="722"/>
      <c r="L126" s="722"/>
      <c r="M126" s="722"/>
      <c r="N126" s="722"/>
      <c r="O126" s="734"/>
    </row>
    <row r="127" spans="1:15" ht="19.899999999999999" customHeight="1">
      <c r="A127" s="755"/>
      <c r="B127" s="756" t="s">
        <v>1850</v>
      </c>
      <c r="C127" s="727"/>
      <c r="D127" s="727"/>
      <c r="E127" s="727"/>
      <c r="F127" s="757"/>
      <c r="G127" s="757"/>
      <c r="H127" s="757"/>
      <c r="I127" s="757">
        <v>7.0000000000000007E-2</v>
      </c>
      <c r="J127" s="722"/>
      <c r="K127" s="722"/>
      <c r="L127" s="722"/>
      <c r="M127" s="722"/>
      <c r="N127" s="722"/>
      <c r="O127" s="734"/>
    </row>
    <row r="128" spans="1:15" ht="19.899999999999999" customHeight="1">
      <c r="A128" s="755"/>
      <c r="B128" s="756"/>
      <c r="C128" s="755"/>
      <c r="D128" s="755"/>
      <c r="E128" s="727"/>
      <c r="F128" s="757"/>
      <c r="G128" s="757"/>
      <c r="H128" s="759" t="s">
        <v>1827</v>
      </c>
      <c r="I128" s="762">
        <f>ROUND(SUM(I110:I127),2)</f>
        <v>592.4</v>
      </c>
      <c r="J128" s="722">
        <f>2633-I128</f>
        <v>2040.6</v>
      </c>
      <c r="K128" s="722"/>
      <c r="L128" s="722"/>
      <c r="M128" s="722"/>
      <c r="N128" s="722"/>
      <c r="O128" s="767" t="s">
        <v>1861</v>
      </c>
    </row>
    <row r="129" spans="1:15" ht="33" customHeight="1">
      <c r="A129" s="727">
        <v>10</v>
      </c>
      <c r="B129" s="1048" t="s">
        <v>4709</v>
      </c>
      <c r="C129" s="1049"/>
      <c r="D129" s="1049"/>
      <c r="E129" s="1049"/>
      <c r="F129" s="1049"/>
      <c r="G129" s="1049"/>
      <c r="H129" s="1049"/>
      <c r="I129" s="1050"/>
      <c r="J129" s="722"/>
      <c r="K129" s="722"/>
      <c r="L129" s="722"/>
      <c r="M129" s="722"/>
      <c r="N129" s="722"/>
      <c r="O129" s="734"/>
    </row>
    <row r="130" spans="1:15" ht="19.899999999999999" customHeight="1">
      <c r="A130" s="755"/>
      <c r="B130" s="522" t="s">
        <v>4710</v>
      </c>
      <c r="C130" s="755"/>
      <c r="D130" s="755"/>
      <c r="E130" s="727"/>
      <c r="F130" s="757"/>
      <c r="G130" s="757"/>
      <c r="H130" s="757"/>
      <c r="I130" s="757"/>
      <c r="J130" s="722"/>
      <c r="K130" s="722">
        <f>185.27/56</f>
        <v>3.3083928571428598</v>
      </c>
      <c r="L130" s="722"/>
      <c r="M130" s="722"/>
      <c r="N130" s="722"/>
      <c r="O130" s="734"/>
    </row>
    <row r="131" spans="1:15" ht="19.899999999999999" customHeight="1">
      <c r="A131" s="755"/>
      <c r="B131" s="724" t="s">
        <v>4650</v>
      </c>
      <c r="C131" s="755"/>
      <c r="D131" s="755"/>
      <c r="E131" s="727"/>
      <c r="F131" s="757"/>
      <c r="G131" s="757"/>
      <c r="H131" s="757"/>
      <c r="I131" s="757"/>
      <c r="J131" s="722"/>
      <c r="K131" s="722"/>
      <c r="L131" s="722"/>
      <c r="M131" s="722"/>
      <c r="N131" s="722"/>
      <c r="O131" s="734"/>
    </row>
    <row r="132" spans="1:15" ht="19.899999999999999" customHeight="1">
      <c r="A132" s="721"/>
      <c r="B132" s="726" t="s">
        <v>4711</v>
      </c>
      <c r="C132" s="721">
        <v>1</v>
      </c>
      <c r="D132" s="721" t="s">
        <v>4377</v>
      </c>
      <c r="E132" s="735">
        <v>1</v>
      </c>
      <c r="F132" s="728">
        <v>21</v>
      </c>
      <c r="G132" s="728"/>
      <c r="H132" s="728"/>
      <c r="I132" s="728">
        <f>PRODUCT(C132:H132)</f>
        <v>21</v>
      </c>
      <c r="J132" s="722"/>
      <c r="K132" s="722"/>
      <c r="L132" s="722"/>
      <c r="M132" s="722"/>
      <c r="N132" s="722"/>
      <c r="O132" s="730"/>
    </row>
    <row r="133" spans="1:15" ht="19.899999999999999" customHeight="1">
      <c r="A133" s="721"/>
      <c r="B133" s="731" t="s">
        <v>4712</v>
      </c>
      <c r="C133" s="721">
        <v>2</v>
      </c>
      <c r="D133" s="721" t="s">
        <v>4377</v>
      </c>
      <c r="E133" s="727">
        <v>7</v>
      </c>
      <c r="F133" s="728">
        <v>0.23</v>
      </c>
      <c r="G133" s="725"/>
      <c r="H133" s="728"/>
      <c r="I133" s="728">
        <f>PRODUCT(C133:H133)</f>
        <v>3.22</v>
      </c>
      <c r="J133" s="722"/>
      <c r="K133" s="722"/>
      <c r="L133" s="722"/>
      <c r="M133" s="722"/>
      <c r="N133" s="722"/>
      <c r="O133" s="730"/>
    </row>
    <row r="134" spans="1:15" ht="19.899999999999999" customHeight="1">
      <c r="A134" s="721"/>
      <c r="B134" s="726" t="s">
        <v>4681</v>
      </c>
      <c r="C134" s="721">
        <v>1</v>
      </c>
      <c r="D134" s="721" t="s">
        <v>4377</v>
      </c>
      <c r="E134" s="735">
        <v>-1</v>
      </c>
      <c r="F134" s="728">
        <v>7.8</v>
      </c>
      <c r="G134" s="725"/>
      <c r="H134" s="728"/>
      <c r="I134" s="728">
        <f>PRODUCT(C134:H134)</f>
        <v>-7.8</v>
      </c>
      <c r="J134" s="722"/>
      <c r="K134" s="722"/>
      <c r="L134" s="722"/>
      <c r="M134" s="722"/>
      <c r="N134" s="722"/>
      <c r="O134" s="730"/>
    </row>
    <row r="135" spans="1:15" ht="19.899999999999999" customHeight="1">
      <c r="A135" s="721"/>
      <c r="B135" s="732" t="s">
        <v>4713</v>
      </c>
      <c r="C135" s="721"/>
      <c r="D135" s="721"/>
      <c r="E135" s="727"/>
      <c r="F135" s="728"/>
      <c r="G135" s="725"/>
      <c r="H135" s="728"/>
      <c r="I135" s="728"/>
      <c r="J135" s="722"/>
      <c r="K135" s="722"/>
      <c r="L135" s="722"/>
      <c r="M135" s="722"/>
      <c r="N135" s="722"/>
      <c r="O135" s="730"/>
    </row>
    <row r="136" spans="1:15" ht="19.899999999999999" customHeight="1">
      <c r="A136" s="721"/>
      <c r="B136" s="726" t="s">
        <v>4714</v>
      </c>
      <c r="C136" s="721">
        <v>1</v>
      </c>
      <c r="D136" s="721" t="s">
        <v>4377</v>
      </c>
      <c r="E136" s="735">
        <v>1</v>
      </c>
      <c r="F136" s="728">
        <v>75</v>
      </c>
      <c r="G136" s="728"/>
      <c r="H136" s="728"/>
      <c r="I136" s="728">
        <f>PRODUCT(C136:H136)</f>
        <v>75</v>
      </c>
      <c r="J136" s="722"/>
      <c r="K136" s="722"/>
      <c r="L136" s="722"/>
      <c r="M136" s="722"/>
      <c r="N136" s="722"/>
      <c r="O136" s="734"/>
    </row>
    <row r="137" spans="1:15" ht="19.899999999999999" customHeight="1">
      <c r="A137" s="721"/>
      <c r="B137" s="731" t="s">
        <v>4712</v>
      </c>
      <c r="C137" s="721">
        <v>2</v>
      </c>
      <c r="D137" s="721" t="s">
        <v>4377</v>
      </c>
      <c r="E137" s="727">
        <v>38</v>
      </c>
      <c r="F137" s="728">
        <v>0.23</v>
      </c>
      <c r="G137" s="725"/>
      <c r="H137" s="728"/>
      <c r="I137" s="728">
        <f>PRODUCT(C137:H137)</f>
        <v>17.48</v>
      </c>
      <c r="J137" s="722"/>
      <c r="K137" s="722"/>
      <c r="L137" s="722"/>
      <c r="M137" s="722"/>
      <c r="N137" s="722"/>
      <c r="O137" s="734"/>
    </row>
    <row r="138" spans="1:15" ht="19.899999999999999" customHeight="1">
      <c r="A138" s="721"/>
      <c r="B138" s="732" t="s">
        <v>4662</v>
      </c>
      <c r="C138" s="721"/>
      <c r="D138" s="721"/>
      <c r="E138" s="727"/>
      <c r="F138" s="728"/>
      <c r="G138" s="725"/>
      <c r="H138" s="728"/>
      <c r="I138" s="728"/>
      <c r="J138" s="722"/>
      <c r="K138" s="722"/>
      <c r="L138" s="722"/>
      <c r="M138" s="722"/>
      <c r="N138" s="722"/>
      <c r="O138" s="734"/>
    </row>
    <row r="139" spans="1:15" ht="19.899999999999999" customHeight="1">
      <c r="A139" s="721"/>
      <c r="B139" s="726" t="s">
        <v>4715</v>
      </c>
      <c r="C139" s="721">
        <v>1</v>
      </c>
      <c r="D139" s="721" t="s">
        <v>4377</v>
      </c>
      <c r="E139" s="735">
        <v>1</v>
      </c>
      <c r="F139" s="728">
        <v>43</v>
      </c>
      <c r="G139" s="728"/>
      <c r="H139" s="728"/>
      <c r="I139" s="728">
        <f>PRODUCT(C139:H139)</f>
        <v>43</v>
      </c>
      <c r="J139" s="722"/>
      <c r="K139" s="722"/>
      <c r="L139" s="722"/>
      <c r="M139" s="722"/>
      <c r="N139" s="722"/>
      <c r="O139" s="734"/>
    </row>
    <row r="140" spans="1:15" ht="19.899999999999999" customHeight="1">
      <c r="A140" s="721"/>
      <c r="B140" s="731" t="s">
        <v>4712</v>
      </c>
      <c r="C140" s="721">
        <v>2</v>
      </c>
      <c r="D140" s="721" t="s">
        <v>4377</v>
      </c>
      <c r="E140" s="727">
        <v>18</v>
      </c>
      <c r="F140" s="728">
        <v>0.23</v>
      </c>
      <c r="G140" s="725"/>
      <c r="H140" s="728"/>
      <c r="I140" s="728">
        <f>PRODUCT(C140:H140)</f>
        <v>8.2799999999999994</v>
      </c>
      <c r="J140" s="722"/>
      <c r="K140" s="722"/>
      <c r="L140" s="722"/>
      <c r="M140" s="722"/>
      <c r="N140" s="722"/>
      <c r="O140" s="734"/>
    </row>
    <row r="141" spans="1:15" ht="19.899999999999999" customHeight="1">
      <c r="A141" s="721"/>
      <c r="B141" s="731"/>
      <c r="C141" s="721"/>
      <c r="D141" s="721"/>
      <c r="E141" s="727"/>
      <c r="F141" s="728"/>
      <c r="G141" s="725"/>
      <c r="H141" s="728"/>
      <c r="I141" s="728">
        <v>0.02</v>
      </c>
      <c r="J141" s="722"/>
      <c r="K141" s="722"/>
      <c r="L141" s="722"/>
      <c r="M141" s="722"/>
      <c r="N141" s="722"/>
      <c r="O141" s="734"/>
    </row>
    <row r="142" spans="1:15" ht="19.899999999999999" customHeight="1">
      <c r="A142" s="721"/>
      <c r="B142" s="731"/>
      <c r="C142" s="721"/>
      <c r="D142" s="721"/>
      <c r="E142" s="727"/>
      <c r="F142" s="728"/>
      <c r="G142" s="725"/>
      <c r="H142" s="759" t="s">
        <v>1827</v>
      </c>
      <c r="I142" s="737">
        <f>ROUND(SUM(I132:N141),2)</f>
        <v>160.19999999999999</v>
      </c>
      <c r="J142" s="722"/>
      <c r="K142" s="722"/>
      <c r="L142" s="722"/>
      <c r="M142" s="722"/>
      <c r="N142" s="722"/>
      <c r="O142" s="730" t="s">
        <v>669</v>
      </c>
    </row>
    <row r="143" spans="1:15" ht="19.899999999999999" customHeight="1">
      <c r="A143" s="721"/>
      <c r="B143" s="732" t="s">
        <v>4716</v>
      </c>
      <c r="C143" s="721"/>
      <c r="D143" s="721"/>
      <c r="E143" s="727"/>
      <c r="F143" s="728"/>
      <c r="G143" s="725"/>
      <c r="H143" s="728"/>
      <c r="I143" s="728"/>
      <c r="J143" s="722"/>
      <c r="K143" s="722"/>
      <c r="L143" s="722"/>
      <c r="M143" s="722"/>
      <c r="N143" s="722"/>
      <c r="O143" s="730"/>
    </row>
    <row r="144" spans="1:15" ht="19.899999999999999" customHeight="1">
      <c r="A144" s="721"/>
      <c r="B144" s="724" t="s">
        <v>4650</v>
      </c>
      <c r="C144" s="755"/>
      <c r="D144" s="755"/>
      <c r="E144" s="727"/>
      <c r="F144" s="757"/>
      <c r="G144" s="757"/>
      <c r="H144" s="757"/>
      <c r="I144" s="757"/>
      <c r="J144" s="722"/>
      <c r="K144" s="722"/>
      <c r="L144" s="722"/>
      <c r="M144" s="722"/>
      <c r="N144" s="722"/>
      <c r="O144" s="730"/>
    </row>
    <row r="145" spans="1:256" ht="19.899999999999999" customHeight="1">
      <c r="A145" s="721"/>
      <c r="B145" s="726" t="s">
        <v>4711</v>
      </c>
      <c r="C145" s="721">
        <v>1</v>
      </c>
      <c r="D145" s="721" t="s">
        <v>4377</v>
      </c>
      <c r="E145" s="735">
        <v>1</v>
      </c>
      <c r="F145" s="728">
        <v>21</v>
      </c>
      <c r="G145" s="728"/>
      <c r="H145" s="728"/>
      <c r="I145" s="728">
        <f>PRODUCT(C145:H145)</f>
        <v>21</v>
      </c>
      <c r="J145" s="722"/>
      <c r="K145" s="722"/>
      <c r="L145" s="722"/>
      <c r="M145" s="722"/>
      <c r="N145" s="722"/>
      <c r="O145" s="730"/>
    </row>
    <row r="146" spans="1:256" ht="19.899999999999999" customHeight="1">
      <c r="A146" s="721"/>
      <c r="B146" s="731" t="s">
        <v>4712</v>
      </c>
      <c r="C146" s="721">
        <v>2</v>
      </c>
      <c r="D146" s="721" t="s">
        <v>4377</v>
      </c>
      <c r="E146" s="727">
        <v>7</v>
      </c>
      <c r="F146" s="728">
        <v>0.23</v>
      </c>
      <c r="G146" s="725"/>
      <c r="H146" s="728"/>
      <c r="I146" s="728">
        <f>PRODUCT(C146:H146)</f>
        <v>3.22</v>
      </c>
      <c r="J146" s="722"/>
      <c r="K146" s="722"/>
      <c r="L146" s="722"/>
      <c r="M146" s="722"/>
      <c r="N146" s="722"/>
      <c r="O146" s="730"/>
    </row>
    <row r="147" spans="1:256" ht="19.899999999999999" customHeight="1">
      <c r="A147" s="721"/>
      <c r="B147" s="726" t="s">
        <v>4681</v>
      </c>
      <c r="C147" s="721">
        <v>1</v>
      </c>
      <c r="D147" s="721" t="s">
        <v>4377</v>
      </c>
      <c r="E147" s="735">
        <v>-1</v>
      </c>
      <c r="F147" s="728">
        <v>7.8</v>
      </c>
      <c r="G147" s="725"/>
      <c r="H147" s="728"/>
      <c r="I147" s="728">
        <f>PRODUCT(C147:H147)</f>
        <v>-7.8</v>
      </c>
      <c r="J147" s="722"/>
      <c r="K147" s="722"/>
      <c r="L147" s="722"/>
      <c r="M147" s="722"/>
      <c r="N147" s="722"/>
      <c r="O147" s="730"/>
    </row>
    <row r="148" spans="1:256" ht="19.899999999999999" customHeight="1">
      <c r="A148" s="721"/>
      <c r="B148" s="732" t="s">
        <v>4713</v>
      </c>
      <c r="C148" s="721"/>
      <c r="D148" s="721"/>
      <c r="E148" s="727"/>
      <c r="F148" s="728"/>
      <c r="G148" s="725"/>
      <c r="H148" s="728"/>
      <c r="I148" s="728"/>
      <c r="J148" s="722"/>
      <c r="K148" s="722"/>
      <c r="L148" s="722"/>
      <c r="M148" s="722"/>
      <c r="N148" s="722"/>
      <c r="O148" s="730"/>
    </row>
    <row r="149" spans="1:256" ht="19.899999999999999" customHeight="1">
      <c r="A149" s="721"/>
      <c r="B149" s="726" t="s">
        <v>4714</v>
      </c>
      <c r="C149" s="721">
        <v>1</v>
      </c>
      <c r="D149" s="721" t="s">
        <v>4377</v>
      </c>
      <c r="E149" s="735">
        <v>1</v>
      </c>
      <c r="F149" s="728">
        <v>75</v>
      </c>
      <c r="G149" s="728"/>
      <c r="H149" s="728"/>
      <c r="I149" s="728">
        <f>PRODUCT(C149:H149)</f>
        <v>75</v>
      </c>
      <c r="J149" s="722"/>
      <c r="K149" s="722"/>
      <c r="L149" s="722"/>
      <c r="M149" s="722"/>
      <c r="N149" s="722"/>
      <c r="O149" s="730"/>
    </row>
    <row r="150" spans="1:256" ht="19.899999999999999" customHeight="1">
      <c r="A150" s="721"/>
      <c r="B150" s="731" t="s">
        <v>4712</v>
      </c>
      <c r="C150" s="721">
        <v>2</v>
      </c>
      <c r="D150" s="721" t="s">
        <v>4377</v>
      </c>
      <c r="E150" s="727">
        <v>38</v>
      </c>
      <c r="F150" s="728">
        <v>0.23</v>
      </c>
      <c r="G150" s="725"/>
      <c r="H150" s="728"/>
      <c r="I150" s="728">
        <f>PRODUCT(C150:H150)</f>
        <v>17.48</v>
      </c>
      <c r="J150" s="722"/>
      <c r="K150" s="722"/>
      <c r="L150" s="722"/>
      <c r="M150" s="722"/>
      <c r="N150" s="722"/>
      <c r="O150" s="730"/>
    </row>
    <row r="151" spans="1:256" ht="19.899999999999999" customHeight="1">
      <c r="A151" s="721"/>
      <c r="B151" s="732" t="s">
        <v>4662</v>
      </c>
      <c r="C151" s="721"/>
      <c r="D151" s="721"/>
      <c r="E151" s="727"/>
      <c r="F151" s="728"/>
      <c r="G151" s="725"/>
      <c r="H151" s="728"/>
      <c r="I151" s="728"/>
      <c r="J151" s="722"/>
      <c r="K151" s="722"/>
      <c r="L151" s="722"/>
      <c r="M151" s="722"/>
      <c r="N151" s="722"/>
      <c r="O151" s="730"/>
    </row>
    <row r="152" spans="1:256" ht="19.899999999999999" customHeight="1">
      <c r="A152" s="721"/>
      <c r="B152" s="726" t="s">
        <v>4715</v>
      </c>
      <c r="C152" s="721">
        <v>1</v>
      </c>
      <c r="D152" s="721" t="s">
        <v>4377</v>
      </c>
      <c r="E152" s="735">
        <v>1</v>
      </c>
      <c r="F152" s="728">
        <v>43</v>
      </c>
      <c r="G152" s="728"/>
      <c r="H152" s="728"/>
      <c r="I152" s="728">
        <f>PRODUCT(C152:H152)</f>
        <v>43</v>
      </c>
      <c r="J152" s="722"/>
      <c r="K152" s="722"/>
      <c r="L152" s="722"/>
      <c r="M152" s="722"/>
      <c r="N152" s="722"/>
      <c r="O152" s="730"/>
    </row>
    <row r="153" spans="1:256" ht="19.899999999999999" customHeight="1">
      <c r="A153" s="721"/>
      <c r="B153" s="731" t="s">
        <v>4712</v>
      </c>
      <c r="C153" s="721">
        <v>2</v>
      </c>
      <c r="D153" s="721" t="s">
        <v>4377</v>
      </c>
      <c r="E153" s="727">
        <v>18</v>
      </c>
      <c r="F153" s="728">
        <v>0.23</v>
      </c>
      <c r="G153" s="725"/>
      <c r="H153" s="728"/>
      <c r="I153" s="728">
        <f>PRODUCT(C153:H153)</f>
        <v>8.2799999999999994</v>
      </c>
      <c r="J153" s="722"/>
      <c r="K153" s="722"/>
      <c r="L153" s="722"/>
      <c r="M153" s="722"/>
      <c r="N153" s="722"/>
      <c r="O153" s="730"/>
    </row>
    <row r="154" spans="1:256" ht="19.899999999999999" customHeight="1">
      <c r="A154" s="721"/>
      <c r="B154" s="732"/>
      <c r="C154" s="721"/>
      <c r="D154" s="721"/>
      <c r="E154" s="727"/>
      <c r="F154" s="728"/>
      <c r="G154" s="725"/>
      <c r="H154" s="728"/>
      <c r="I154" s="728">
        <v>0.02</v>
      </c>
      <c r="J154" s="722"/>
      <c r="K154" s="722"/>
      <c r="L154" s="722"/>
      <c r="M154" s="722"/>
      <c r="N154" s="722"/>
      <c r="O154" s="730"/>
    </row>
    <row r="155" spans="1:256" ht="19.899999999999999" customHeight="1">
      <c r="A155" s="755"/>
      <c r="B155" s="756"/>
      <c r="C155" s="755"/>
      <c r="D155" s="755"/>
      <c r="E155" s="727"/>
      <c r="F155" s="757"/>
      <c r="G155" s="757"/>
      <c r="H155" s="759" t="s">
        <v>1827</v>
      </c>
      <c r="I155" s="737">
        <f>ROUND(SUM(I144:I154),2)</f>
        <v>160.19999999999999</v>
      </c>
      <c r="J155" s="722"/>
      <c r="K155" s="722"/>
      <c r="L155" s="722"/>
      <c r="M155" s="722"/>
      <c r="N155" s="722"/>
      <c r="O155" s="730" t="s">
        <v>669</v>
      </c>
    </row>
    <row r="156" spans="1:256" ht="33" customHeight="1">
      <c r="A156" s="768">
        <v>11</v>
      </c>
      <c r="B156" s="1048" t="s">
        <v>4717</v>
      </c>
      <c r="C156" s="1049"/>
      <c r="D156" s="1049"/>
      <c r="E156" s="1049"/>
      <c r="F156" s="1049"/>
      <c r="G156" s="1049"/>
      <c r="H156" s="1049"/>
      <c r="I156" s="1050"/>
      <c r="J156" s="722">
        <f>121.3/40</f>
        <v>3.0325000000000002</v>
      </c>
      <c r="K156" s="722"/>
      <c r="L156" s="722"/>
      <c r="M156" s="722"/>
      <c r="N156" s="722"/>
      <c r="O156" s="734"/>
    </row>
    <row r="157" spans="1:256" ht="19.899999999999999" customHeight="1">
      <c r="A157" s="768"/>
      <c r="B157" s="764" t="s">
        <v>4718</v>
      </c>
      <c r="C157" s="755"/>
      <c r="D157" s="755"/>
      <c r="E157" s="727"/>
      <c r="F157" s="757"/>
      <c r="G157" s="757"/>
      <c r="H157" s="757"/>
      <c r="I157" s="745">
        <f>I128</f>
        <v>592.4</v>
      </c>
      <c r="J157" s="755"/>
      <c r="K157" s="755"/>
      <c r="L157" s="755"/>
      <c r="M157" s="755"/>
      <c r="N157" s="755"/>
      <c r="O157" s="734"/>
      <c r="P157" s="769"/>
      <c r="Q157" s="769"/>
      <c r="R157" s="769"/>
      <c r="S157" s="769"/>
      <c r="T157" s="769"/>
      <c r="U157" s="769"/>
      <c r="V157" s="769"/>
      <c r="W157" s="769"/>
      <c r="X157" s="769"/>
      <c r="Y157" s="769"/>
      <c r="Z157" s="769"/>
      <c r="AA157" s="769"/>
      <c r="AB157" s="769"/>
      <c r="AC157" s="769"/>
      <c r="AD157" s="769"/>
      <c r="AE157" s="769"/>
      <c r="AF157" s="769"/>
      <c r="AG157" s="769"/>
      <c r="AH157" s="769"/>
      <c r="AI157" s="769"/>
      <c r="AJ157" s="769"/>
      <c r="AK157" s="769"/>
      <c r="AL157" s="769"/>
      <c r="AM157" s="769"/>
      <c r="AN157" s="769"/>
      <c r="AO157" s="769"/>
      <c r="AP157" s="769"/>
      <c r="AQ157" s="769"/>
      <c r="AR157" s="769"/>
      <c r="AS157" s="769"/>
      <c r="AT157" s="769"/>
      <c r="AU157" s="769"/>
      <c r="AV157" s="769"/>
      <c r="AW157" s="769"/>
      <c r="AX157" s="769"/>
      <c r="AY157" s="769"/>
      <c r="AZ157" s="769"/>
      <c r="BA157" s="769"/>
      <c r="BB157" s="769"/>
      <c r="BC157" s="769"/>
      <c r="BD157" s="769"/>
      <c r="BE157" s="769"/>
      <c r="BF157" s="769"/>
      <c r="BG157" s="769"/>
      <c r="BH157" s="769"/>
      <c r="BI157" s="769"/>
      <c r="BJ157" s="769"/>
      <c r="BK157" s="769"/>
      <c r="BL157" s="769"/>
      <c r="BM157" s="769"/>
      <c r="BN157" s="769"/>
      <c r="BO157" s="769"/>
      <c r="BP157" s="769"/>
      <c r="BQ157" s="769"/>
      <c r="BR157" s="769"/>
      <c r="BS157" s="769"/>
      <c r="BT157" s="769"/>
      <c r="BU157" s="769"/>
      <c r="BV157" s="769"/>
      <c r="BW157" s="769"/>
      <c r="BX157" s="769"/>
      <c r="BY157" s="769"/>
      <c r="BZ157" s="769"/>
      <c r="CA157" s="769"/>
      <c r="CB157" s="769"/>
      <c r="CC157" s="769"/>
      <c r="CD157" s="769"/>
      <c r="CE157" s="769"/>
      <c r="CF157" s="769"/>
      <c r="CG157" s="769"/>
      <c r="CH157" s="769"/>
      <c r="CI157" s="769"/>
      <c r="CJ157" s="769"/>
      <c r="CK157" s="769"/>
      <c r="CL157" s="769"/>
      <c r="CM157" s="769"/>
      <c r="CN157" s="769"/>
      <c r="CO157" s="769"/>
      <c r="CP157" s="769"/>
      <c r="CQ157" s="769"/>
      <c r="CR157" s="769"/>
      <c r="CS157" s="769"/>
      <c r="CT157" s="769"/>
      <c r="CU157" s="769"/>
      <c r="CV157" s="769"/>
      <c r="CW157" s="769"/>
      <c r="CX157" s="769"/>
      <c r="CY157" s="769"/>
      <c r="CZ157" s="769"/>
      <c r="DA157" s="769"/>
      <c r="DB157" s="769"/>
      <c r="DC157" s="769"/>
      <c r="DD157" s="769"/>
      <c r="DE157" s="769"/>
      <c r="DF157" s="769"/>
      <c r="DG157" s="769"/>
      <c r="DH157" s="769"/>
      <c r="DI157" s="769"/>
      <c r="DJ157" s="769"/>
      <c r="DK157" s="769"/>
      <c r="DL157" s="769"/>
      <c r="DM157" s="769"/>
      <c r="DN157" s="769"/>
      <c r="DO157" s="769"/>
      <c r="DP157" s="769"/>
      <c r="DQ157" s="769"/>
      <c r="DR157" s="769"/>
      <c r="DS157" s="769"/>
      <c r="DT157" s="769"/>
      <c r="DU157" s="769"/>
      <c r="DV157" s="769"/>
      <c r="DW157" s="769"/>
      <c r="DX157" s="769"/>
      <c r="DY157" s="769"/>
      <c r="DZ157" s="769"/>
      <c r="EA157" s="769"/>
      <c r="EB157" s="769"/>
      <c r="EC157" s="769"/>
      <c r="ED157" s="769"/>
      <c r="EE157" s="769"/>
      <c r="EF157" s="769"/>
      <c r="EG157" s="769"/>
      <c r="EH157" s="769"/>
      <c r="EI157" s="769"/>
      <c r="EJ157" s="769"/>
      <c r="EK157" s="769"/>
      <c r="EL157" s="769"/>
      <c r="EM157" s="769"/>
      <c r="EN157" s="769"/>
      <c r="EO157" s="769"/>
      <c r="EP157" s="769"/>
      <c r="EQ157" s="769"/>
      <c r="ER157" s="769"/>
      <c r="ES157" s="769"/>
      <c r="ET157" s="769"/>
      <c r="EU157" s="769"/>
      <c r="EV157" s="769"/>
      <c r="EW157" s="769"/>
      <c r="EX157" s="769"/>
      <c r="EY157" s="769"/>
      <c r="EZ157" s="769"/>
      <c r="FA157" s="769"/>
      <c r="FB157" s="769"/>
      <c r="FC157" s="769"/>
      <c r="FD157" s="769"/>
      <c r="FE157" s="769"/>
      <c r="FF157" s="769"/>
      <c r="FG157" s="769"/>
      <c r="FH157" s="769"/>
      <c r="FI157" s="769"/>
      <c r="FJ157" s="769"/>
      <c r="FK157" s="769"/>
      <c r="FL157" s="769"/>
      <c r="FM157" s="769"/>
      <c r="FN157" s="769"/>
      <c r="FO157" s="769"/>
      <c r="FP157" s="769"/>
      <c r="FQ157" s="769"/>
      <c r="FR157" s="769"/>
      <c r="FS157" s="769"/>
      <c r="FT157" s="769"/>
      <c r="FU157" s="769"/>
      <c r="FV157" s="769"/>
      <c r="FW157" s="769"/>
      <c r="FX157" s="769"/>
      <c r="FY157" s="769"/>
      <c r="FZ157" s="769"/>
      <c r="GA157" s="769"/>
      <c r="GB157" s="769"/>
      <c r="GC157" s="769"/>
      <c r="GD157" s="769"/>
      <c r="GE157" s="769"/>
      <c r="GF157" s="769"/>
      <c r="GG157" s="769"/>
      <c r="GH157" s="769"/>
      <c r="GI157" s="769"/>
      <c r="GJ157" s="769"/>
      <c r="GK157" s="769"/>
      <c r="GL157" s="769"/>
      <c r="GM157" s="769"/>
      <c r="GN157" s="769"/>
      <c r="GO157" s="769"/>
      <c r="GP157" s="769"/>
      <c r="GQ157" s="769"/>
      <c r="GR157" s="769"/>
      <c r="GS157" s="769"/>
      <c r="GT157" s="769"/>
      <c r="GU157" s="769"/>
      <c r="GV157" s="769"/>
      <c r="GW157" s="769"/>
      <c r="GX157" s="769"/>
      <c r="GY157" s="769"/>
      <c r="GZ157" s="769"/>
      <c r="HA157" s="769"/>
      <c r="HB157" s="769"/>
      <c r="HC157" s="769"/>
      <c r="HD157" s="769"/>
      <c r="HE157" s="769"/>
      <c r="HF157" s="769"/>
      <c r="HG157" s="769"/>
      <c r="HH157" s="769"/>
      <c r="HI157" s="769"/>
      <c r="HJ157" s="769"/>
      <c r="HK157" s="769"/>
      <c r="HL157" s="769"/>
      <c r="HM157" s="769"/>
      <c r="HN157" s="769"/>
      <c r="HO157" s="769"/>
      <c r="HP157" s="769"/>
      <c r="HQ157" s="769"/>
      <c r="HR157" s="769"/>
      <c r="HS157" s="769"/>
      <c r="HT157" s="769"/>
      <c r="HU157" s="769"/>
      <c r="HV157" s="769"/>
      <c r="HW157" s="769"/>
      <c r="HX157" s="769"/>
      <c r="HY157" s="769"/>
      <c r="HZ157" s="769"/>
      <c r="IA157" s="769"/>
      <c r="IB157" s="769"/>
      <c r="IC157" s="769"/>
      <c r="ID157" s="769"/>
      <c r="IE157" s="769"/>
      <c r="IF157" s="769"/>
      <c r="IG157" s="769"/>
      <c r="IH157" s="769"/>
      <c r="II157" s="769"/>
      <c r="IJ157" s="769"/>
      <c r="IK157" s="769"/>
      <c r="IL157" s="769"/>
      <c r="IM157" s="769"/>
      <c r="IN157" s="769"/>
      <c r="IO157" s="769"/>
      <c r="IP157" s="769"/>
      <c r="IQ157" s="769"/>
      <c r="IR157" s="769"/>
      <c r="IS157" s="769"/>
      <c r="IT157" s="769"/>
      <c r="IU157" s="769"/>
      <c r="IV157" s="769"/>
    </row>
    <row r="158" spans="1:256" ht="19.899999999999999" customHeight="1">
      <c r="A158" s="722"/>
      <c r="B158" s="722"/>
      <c r="C158" s="727"/>
      <c r="D158" s="727"/>
      <c r="E158" s="727"/>
      <c r="F158" s="757"/>
      <c r="G158" s="757"/>
      <c r="H158" s="759" t="s">
        <v>1827</v>
      </c>
      <c r="I158" s="762">
        <f>ROUND(SUM(I157:N157),2)</f>
        <v>592.4</v>
      </c>
      <c r="J158" s="722"/>
      <c r="K158" s="722"/>
      <c r="L158" s="722"/>
      <c r="M158" s="722"/>
      <c r="N158" s="722"/>
      <c r="O158" s="734" t="s">
        <v>1861</v>
      </c>
    </row>
    <row r="159" spans="1:256" ht="33" customHeight="1">
      <c r="A159" s="770">
        <v>12</v>
      </c>
      <c r="B159" s="1097" t="s">
        <v>4719</v>
      </c>
      <c r="C159" s="1098"/>
      <c r="D159" s="1098"/>
      <c r="E159" s="1098"/>
      <c r="F159" s="1098"/>
      <c r="G159" s="1098"/>
      <c r="H159" s="1098"/>
      <c r="I159" s="1099"/>
      <c r="J159" s="722"/>
      <c r="K159" s="722"/>
      <c r="L159" s="722"/>
      <c r="M159" s="722"/>
      <c r="N159" s="722"/>
      <c r="O159" s="734"/>
    </row>
    <row r="160" spans="1:256" ht="19.899999999999999" customHeight="1">
      <c r="A160" s="770"/>
      <c r="B160" s="724" t="s">
        <v>4650</v>
      </c>
      <c r="C160" s="727"/>
      <c r="D160" s="735"/>
      <c r="E160" s="727"/>
      <c r="F160" s="757"/>
      <c r="G160" s="757"/>
      <c r="H160" s="757"/>
      <c r="I160" s="757"/>
      <c r="J160" s="722"/>
      <c r="K160" s="722"/>
      <c r="L160" s="722"/>
      <c r="M160" s="722"/>
      <c r="N160" s="722"/>
      <c r="O160" s="734"/>
    </row>
    <row r="161" spans="1:15" ht="19.899999999999999" customHeight="1">
      <c r="A161" s="770"/>
      <c r="B161" s="771" t="s">
        <v>4720</v>
      </c>
      <c r="C161" s="727">
        <v>1</v>
      </c>
      <c r="D161" s="735" t="s">
        <v>4377</v>
      </c>
      <c r="E161" s="727">
        <v>1</v>
      </c>
      <c r="F161" s="745">
        <v>7.2</v>
      </c>
      <c r="G161" s="757"/>
      <c r="H161" s="745">
        <v>1.8</v>
      </c>
      <c r="I161" s="728">
        <f>PRODUCT(C161:H161)</f>
        <v>12.96</v>
      </c>
      <c r="J161" s="722"/>
      <c r="K161" s="722"/>
      <c r="L161" s="722"/>
      <c r="M161" s="722"/>
      <c r="N161" s="722"/>
      <c r="O161" s="734"/>
    </row>
    <row r="162" spans="1:15" ht="19.899999999999999" customHeight="1">
      <c r="A162" s="770"/>
      <c r="B162" s="771"/>
      <c r="C162" s="727"/>
      <c r="D162" s="735"/>
      <c r="E162" s="727"/>
      <c r="F162" s="745"/>
      <c r="G162" s="757"/>
      <c r="H162" s="745"/>
      <c r="I162" s="728">
        <f>SUM(I161:I161)</f>
        <v>12.96</v>
      </c>
      <c r="J162" s="722"/>
      <c r="K162" s="722"/>
      <c r="L162" s="722"/>
      <c r="M162" s="722"/>
      <c r="N162" s="722"/>
      <c r="O162" s="734"/>
    </row>
    <row r="163" spans="1:15" ht="19.899999999999999" customHeight="1">
      <c r="A163" s="722"/>
      <c r="B163" s="722" t="s">
        <v>4721</v>
      </c>
      <c r="C163" s="755"/>
      <c r="D163" s="755"/>
      <c r="E163" s="727"/>
      <c r="F163" s="757"/>
      <c r="G163" s="757"/>
      <c r="H163" s="759" t="s">
        <v>1827</v>
      </c>
      <c r="I163" s="762">
        <f>I162*40</f>
        <v>518.4</v>
      </c>
      <c r="J163" s="722"/>
      <c r="K163" s="722"/>
      <c r="L163" s="722"/>
      <c r="M163" s="722"/>
      <c r="N163" s="722"/>
      <c r="O163" s="772" t="s">
        <v>1341</v>
      </c>
    </row>
    <row r="164" spans="1:15" ht="33" customHeight="1">
      <c r="A164" s="755">
        <v>13</v>
      </c>
      <c r="B164" s="1048" t="s">
        <v>4722</v>
      </c>
      <c r="C164" s="1049"/>
      <c r="D164" s="1049"/>
      <c r="E164" s="1049"/>
      <c r="F164" s="1049"/>
      <c r="G164" s="1049"/>
      <c r="H164" s="1049"/>
      <c r="I164" s="1050"/>
      <c r="J164" s="722"/>
      <c r="K164" s="722"/>
      <c r="L164" s="722"/>
      <c r="M164" s="722"/>
      <c r="N164" s="722"/>
      <c r="O164" s="734"/>
    </row>
    <row r="165" spans="1:15" ht="19.899999999999999" customHeight="1">
      <c r="A165" s="755"/>
      <c r="B165" s="724" t="s">
        <v>4650</v>
      </c>
      <c r="C165" s="755"/>
      <c r="D165" s="755"/>
      <c r="E165" s="727"/>
      <c r="F165" s="757"/>
      <c r="G165" s="757"/>
      <c r="H165" s="757"/>
      <c r="I165" s="759"/>
      <c r="J165" s="722"/>
      <c r="K165" s="722"/>
      <c r="L165" s="722"/>
      <c r="M165" s="722"/>
      <c r="N165" s="722"/>
      <c r="O165" s="734"/>
    </row>
    <row r="166" spans="1:15" ht="19.899999999999999" customHeight="1">
      <c r="A166" s="727"/>
      <c r="B166" s="771" t="s">
        <v>4723</v>
      </c>
      <c r="C166" s="727">
        <v>1</v>
      </c>
      <c r="D166" s="735" t="s">
        <v>4377</v>
      </c>
      <c r="E166" s="727">
        <v>1</v>
      </c>
      <c r="F166" s="745">
        <v>7.2</v>
      </c>
      <c r="G166" s="757"/>
      <c r="H166" s="745">
        <v>1.8</v>
      </c>
      <c r="I166" s="728">
        <f>PRODUCT(C166:H166)</f>
        <v>12.96</v>
      </c>
      <c r="J166" s="722"/>
      <c r="K166" s="722"/>
      <c r="L166" s="722"/>
      <c r="M166" s="722"/>
      <c r="N166" s="722"/>
      <c r="O166" s="734"/>
    </row>
    <row r="167" spans="1:15" ht="19.899999999999999" customHeight="1">
      <c r="A167" s="727"/>
      <c r="B167" s="771"/>
      <c r="C167" s="727"/>
      <c r="D167" s="735"/>
      <c r="E167" s="727"/>
      <c r="F167" s="745"/>
      <c r="G167" s="757"/>
      <c r="H167" s="745"/>
      <c r="I167" s="728">
        <v>0.04</v>
      </c>
      <c r="J167" s="722"/>
      <c r="K167" s="722"/>
      <c r="L167" s="722"/>
      <c r="M167" s="722"/>
      <c r="N167" s="722"/>
      <c r="O167" s="734"/>
    </row>
    <row r="168" spans="1:15" ht="19.899999999999999" customHeight="1">
      <c r="A168" s="722"/>
      <c r="B168" s="722"/>
      <c r="C168" s="755"/>
      <c r="D168" s="755"/>
      <c r="E168" s="755"/>
      <c r="F168" s="757"/>
      <c r="G168" s="757"/>
      <c r="H168" s="759" t="s">
        <v>1827</v>
      </c>
      <c r="I168" s="762">
        <f>ROUND(SUM(I166:N167),2)</f>
        <v>13</v>
      </c>
      <c r="J168" s="722"/>
      <c r="K168" s="722"/>
      <c r="L168" s="722"/>
      <c r="M168" s="722"/>
      <c r="N168" s="722"/>
      <c r="O168" s="767" t="s">
        <v>1861</v>
      </c>
    </row>
    <row r="169" spans="1:15" ht="19.899999999999999" customHeight="1">
      <c r="A169" s="722"/>
      <c r="B169" s="722"/>
      <c r="C169" s="755"/>
      <c r="D169" s="755"/>
      <c r="E169" s="755"/>
      <c r="F169" s="757"/>
      <c r="G169" s="757"/>
      <c r="H169" s="759"/>
      <c r="I169" s="762"/>
      <c r="J169" s="722"/>
      <c r="K169" s="722"/>
      <c r="L169" s="722"/>
      <c r="M169" s="722"/>
      <c r="N169" s="722"/>
      <c r="O169" s="767"/>
    </row>
  </sheetData>
  <mergeCells count="20">
    <mergeCell ref="B86:I86"/>
    <mergeCell ref="A1:O2"/>
    <mergeCell ref="A4:I4"/>
    <mergeCell ref="C6:E6"/>
    <mergeCell ref="C7:E7"/>
    <mergeCell ref="B8:I8"/>
    <mergeCell ref="B18:I18"/>
    <mergeCell ref="B28:I28"/>
    <mergeCell ref="B50:I50"/>
    <mergeCell ref="B60:I60"/>
    <mergeCell ref="G65:H65"/>
    <mergeCell ref="B72:I72"/>
    <mergeCell ref="B159:I159"/>
    <mergeCell ref="B164:I164"/>
    <mergeCell ref="B89:I89"/>
    <mergeCell ref="B90:I90"/>
    <mergeCell ref="B100:I100"/>
    <mergeCell ref="B108:I108"/>
    <mergeCell ref="B129:I129"/>
    <mergeCell ref="B156:I156"/>
  </mergeCells>
  <pageMargins left="0.7" right="0.7" top="0.7" bottom="0.5" header="0.3" footer="0.3"/>
  <pageSetup paperSize="9" orientation="portrait" r:id="rId1"/>
  <headerFooter>
    <oddHeader>Page &amp;P</oddHeader>
  </headerFooter>
</worksheet>
</file>

<file path=xl/worksheets/sheet13.xml><?xml version="1.0" encoding="utf-8"?>
<worksheet xmlns="http://schemas.openxmlformats.org/spreadsheetml/2006/main" xmlns:r="http://schemas.openxmlformats.org/officeDocument/2006/relationships">
  <dimension ref="A1:M129"/>
  <sheetViews>
    <sheetView view="pageBreakPreview" topLeftCell="A113" zoomScaleSheetLayoutView="100" workbookViewId="0">
      <selection activeCell="G72" sqref="G72"/>
    </sheetView>
  </sheetViews>
  <sheetFormatPr defaultColWidth="8.109375" defaultRowHeight="15.75"/>
  <cols>
    <col min="1" max="1" width="4.21875" style="837" customWidth="1"/>
    <col min="2" max="2" width="29.33203125" style="844" customWidth="1"/>
    <col min="3" max="5" width="2.77734375" style="837" customWidth="1"/>
    <col min="6" max="8" width="6.109375" style="845" customWidth="1"/>
    <col min="9" max="9" width="6.88671875" style="845" customWidth="1"/>
    <col min="10" max="10" width="4.21875" style="844" customWidth="1"/>
    <col min="11" max="251" width="8.109375" style="782"/>
    <col min="252" max="252" width="5.21875" style="782" customWidth="1"/>
    <col min="253" max="253" width="27.21875" style="782" customWidth="1"/>
    <col min="254" max="254" width="4.77734375" style="782" customWidth="1"/>
    <col min="255" max="255" width="3.21875" style="782" customWidth="1"/>
    <col min="256" max="256" width="6.44140625" style="782" customWidth="1"/>
    <col min="257" max="257" width="6.88671875" style="782" customWidth="1"/>
    <col min="258" max="258" width="4.77734375" style="782" customWidth="1"/>
    <col min="259" max="259" width="6.109375" style="782" customWidth="1"/>
    <col min="260" max="260" width="7.6640625" style="782" customWidth="1"/>
    <col min="261" max="507" width="8.109375" style="782"/>
    <col min="508" max="508" width="5.21875" style="782" customWidth="1"/>
    <col min="509" max="509" width="27.21875" style="782" customWidth="1"/>
    <col min="510" max="510" width="4.77734375" style="782" customWidth="1"/>
    <col min="511" max="511" width="3.21875" style="782" customWidth="1"/>
    <col min="512" max="512" width="6.44140625" style="782" customWidth="1"/>
    <col min="513" max="513" width="6.88671875" style="782" customWidth="1"/>
    <col min="514" max="514" width="4.77734375" style="782" customWidth="1"/>
    <col min="515" max="515" width="6.109375" style="782" customWidth="1"/>
    <col min="516" max="516" width="7.6640625" style="782" customWidth="1"/>
    <col min="517" max="763" width="8.109375" style="782"/>
    <col min="764" max="764" width="5.21875" style="782" customWidth="1"/>
    <col min="765" max="765" width="27.21875" style="782" customWidth="1"/>
    <col min="766" max="766" width="4.77734375" style="782" customWidth="1"/>
    <col min="767" max="767" width="3.21875" style="782" customWidth="1"/>
    <col min="768" max="768" width="6.44140625" style="782" customWidth="1"/>
    <col min="769" max="769" width="6.88671875" style="782" customWidth="1"/>
    <col min="770" max="770" width="4.77734375" style="782" customWidth="1"/>
    <col min="771" max="771" width="6.109375" style="782" customWidth="1"/>
    <col min="772" max="772" width="7.6640625" style="782" customWidth="1"/>
    <col min="773" max="1019" width="8.109375" style="782"/>
    <col min="1020" max="1020" width="5.21875" style="782" customWidth="1"/>
    <col min="1021" max="1021" width="27.21875" style="782" customWidth="1"/>
    <col min="1022" max="1022" width="4.77734375" style="782" customWidth="1"/>
    <col min="1023" max="1023" width="3.21875" style="782" customWidth="1"/>
    <col min="1024" max="1024" width="6.44140625" style="782" customWidth="1"/>
    <col min="1025" max="1025" width="6.88671875" style="782" customWidth="1"/>
    <col min="1026" max="1026" width="4.77734375" style="782" customWidth="1"/>
    <col min="1027" max="1027" width="6.109375" style="782" customWidth="1"/>
    <col min="1028" max="1028" width="7.6640625" style="782" customWidth="1"/>
    <col min="1029" max="1275" width="8.109375" style="782"/>
    <col min="1276" max="1276" width="5.21875" style="782" customWidth="1"/>
    <col min="1277" max="1277" width="27.21875" style="782" customWidth="1"/>
    <col min="1278" max="1278" width="4.77734375" style="782" customWidth="1"/>
    <col min="1279" max="1279" width="3.21875" style="782" customWidth="1"/>
    <col min="1280" max="1280" width="6.44140625" style="782" customWidth="1"/>
    <col min="1281" max="1281" width="6.88671875" style="782" customWidth="1"/>
    <col min="1282" max="1282" width="4.77734375" style="782" customWidth="1"/>
    <col min="1283" max="1283" width="6.109375" style="782" customWidth="1"/>
    <col min="1284" max="1284" width="7.6640625" style="782" customWidth="1"/>
    <col min="1285" max="1531" width="8.109375" style="782"/>
    <col min="1532" max="1532" width="5.21875" style="782" customWidth="1"/>
    <col min="1533" max="1533" width="27.21875" style="782" customWidth="1"/>
    <col min="1534" max="1534" width="4.77734375" style="782" customWidth="1"/>
    <col min="1535" max="1535" width="3.21875" style="782" customWidth="1"/>
    <col min="1536" max="1536" width="6.44140625" style="782" customWidth="1"/>
    <col min="1537" max="1537" width="6.88671875" style="782" customWidth="1"/>
    <col min="1538" max="1538" width="4.77734375" style="782" customWidth="1"/>
    <col min="1539" max="1539" width="6.109375" style="782" customWidth="1"/>
    <col min="1540" max="1540" width="7.6640625" style="782" customWidth="1"/>
    <col min="1541" max="1787" width="8.109375" style="782"/>
    <col min="1788" max="1788" width="5.21875" style="782" customWidth="1"/>
    <col min="1789" max="1789" width="27.21875" style="782" customWidth="1"/>
    <col min="1790" max="1790" width="4.77734375" style="782" customWidth="1"/>
    <col min="1791" max="1791" width="3.21875" style="782" customWidth="1"/>
    <col min="1792" max="1792" width="6.44140625" style="782" customWidth="1"/>
    <col min="1793" max="1793" width="6.88671875" style="782" customWidth="1"/>
    <col min="1794" max="1794" width="4.77734375" style="782" customWidth="1"/>
    <col min="1795" max="1795" width="6.109375" style="782" customWidth="1"/>
    <col min="1796" max="1796" width="7.6640625" style="782" customWidth="1"/>
    <col min="1797" max="2043" width="8.109375" style="782"/>
    <col min="2044" max="2044" width="5.21875" style="782" customWidth="1"/>
    <col min="2045" max="2045" width="27.21875" style="782" customWidth="1"/>
    <col min="2046" max="2046" width="4.77734375" style="782" customWidth="1"/>
    <col min="2047" max="2047" width="3.21875" style="782" customWidth="1"/>
    <col min="2048" max="2048" width="6.44140625" style="782" customWidth="1"/>
    <col min="2049" max="2049" width="6.88671875" style="782" customWidth="1"/>
    <col min="2050" max="2050" width="4.77734375" style="782" customWidth="1"/>
    <col min="2051" max="2051" width="6.109375" style="782" customWidth="1"/>
    <col min="2052" max="2052" width="7.6640625" style="782" customWidth="1"/>
    <col min="2053" max="2299" width="8.109375" style="782"/>
    <col min="2300" max="2300" width="5.21875" style="782" customWidth="1"/>
    <col min="2301" max="2301" width="27.21875" style="782" customWidth="1"/>
    <col min="2302" max="2302" width="4.77734375" style="782" customWidth="1"/>
    <col min="2303" max="2303" width="3.21875" style="782" customWidth="1"/>
    <col min="2304" max="2304" width="6.44140625" style="782" customWidth="1"/>
    <col min="2305" max="2305" width="6.88671875" style="782" customWidth="1"/>
    <col min="2306" max="2306" width="4.77734375" style="782" customWidth="1"/>
    <col min="2307" max="2307" width="6.109375" style="782" customWidth="1"/>
    <col min="2308" max="2308" width="7.6640625" style="782" customWidth="1"/>
    <col min="2309" max="2555" width="8.109375" style="782"/>
    <col min="2556" max="2556" width="5.21875" style="782" customWidth="1"/>
    <col min="2557" max="2557" width="27.21875" style="782" customWidth="1"/>
    <col min="2558" max="2558" width="4.77734375" style="782" customWidth="1"/>
    <col min="2559" max="2559" width="3.21875" style="782" customWidth="1"/>
    <col min="2560" max="2560" width="6.44140625" style="782" customWidth="1"/>
    <col min="2561" max="2561" width="6.88671875" style="782" customWidth="1"/>
    <col min="2562" max="2562" width="4.77734375" style="782" customWidth="1"/>
    <col min="2563" max="2563" width="6.109375" style="782" customWidth="1"/>
    <col min="2564" max="2564" width="7.6640625" style="782" customWidth="1"/>
    <col min="2565" max="2811" width="8.109375" style="782"/>
    <col min="2812" max="2812" width="5.21875" style="782" customWidth="1"/>
    <col min="2813" max="2813" width="27.21875" style="782" customWidth="1"/>
    <col min="2814" max="2814" width="4.77734375" style="782" customWidth="1"/>
    <col min="2815" max="2815" width="3.21875" style="782" customWidth="1"/>
    <col min="2816" max="2816" width="6.44140625" style="782" customWidth="1"/>
    <col min="2817" max="2817" width="6.88671875" style="782" customWidth="1"/>
    <col min="2818" max="2818" width="4.77734375" style="782" customWidth="1"/>
    <col min="2819" max="2819" width="6.109375" style="782" customWidth="1"/>
    <col min="2820" max="2820" width="7.6640625" style="782" customWidth="1"/>
    <col min="2821" max="3067" width="8.109375" style="782"/>
    <col min="3068" max="3068" width="5.21875" style="782" customWidth="1"/>
    <col min="3069" max="3069" width="27.21875" style="782" customWidth="1"/>
    <col min="3070" max="3070" width="4.77734375" style="782" customWidth="1"/>
    <col min="3071" max="3071" width="3.21875" style="782" customWidth="1"/>
    <col min="3072" max="3072" width="6.44140625" style="782" customWidth="1"/>
    <col min="3073" max="3073" width="6.88671875" style="782" customWidth="1"/>
    <col min="3074" max="3074" width="4.77734375" style="782" customWidth="1"/>
    <col min="3075" max="3075" width="6.109375" style="782" customWidth="1"/>
    <col min="3076" max="3076" width="7.6640625" style="782" customWidth="1"/>
    <col min="3077" max="3323" width="8.109375" style="782"/>
    <col min="3324" max="3324" width="5.21875" style="782" customWidth="1"/>
    <col min="3325" max="3325" width="27.21875" style="782" customWidth="1"/>
    <col min="3326" max="3326" width="4.77734375" style="782" customWidth="1"/>
    <col min="3327" max="3327" width="3.21875" style="782" customWidth="1"/>
    <col min="3328" max="3328" width="6.44140625" style="782" customWidth="1"/>
    <col min="3329" max="3329" width="6.88671875" style="782" customWidth="1"/>
    <col min="3330" max="3330" width="4.77734375" style="782" customWidth="1"/>
    <col min="3331" max="3331" width="6.109375" style="782" customWidth="1"/>
    <col min="3332" max="3332" width="7.6640625" style="782" customWidth="1"/>
    <col min="3333" max="3579" width="8.109375" style="782"/>
    <col min="3580" max="3580" width="5.21875" style="782" customWidth="1"/>
    <col min="3581" max="3581" width="27.21875" style="782" customWidth="1"/>
    <col min="3582" max="3582" width="4.77734375" style="782" customWidth="1"/>
    <col min="3583" max="3583" width="3.21875" style="782" customWidth="1"/>
    <col min="3584" max="3584" width="6.44140625" style="782" customWidth="1"/>
    <col min="3585" max="3585" width="6.88671875" style="782" customWidth="1"/>
    <col min="3586" max="3586" width="4.77734375" style="782" customWidth="1"/>
    <col min="3587" max="3587" width="6.109375" style="782" customWidth="1"/>
    <col min="3588" max="3588" width="7.6640625" style="782" customWidth="1"/>
    <col min="3589" max="3835" width="8.109375" style="782"/>
    <col min="3836" max="3836" width="5.21875" style="782" customWidth="1"/>
    <col min="3837" max="3837" width="27.21875" style="782" customWidth="1"/>
    <col min="3838" max="3838" width="4.77734375" style="782" customWidth="1"/>
    <col min="3839" max="3839" width="3.21875" style="782" customWidth="1"/>
    <col min="3840" max="3840" width="6.44140625" style="782" customWidth="1"/>
    <col min="3841" max="3841" width="6.88671875" style="782" customWidth="1"/>
    <col min="3842" max="3842" width="4.77734375" style="782" customWidth="1"/>
    <col min="3843" max="3843" width="6.109375" style="782" customWidth="1"/>
    <col min="3844" max="3844" width="7.6640625" style="782" customWidth="1"/>
    <col min="3845" max="4091" width="8.109375" style="782"/>
    <col min="4092" max="4092" width="5.21875" style="782" customWidth="1"/>
    <col min="4093" max="4093" width="27.21875" style="782" customWidth="1"/>
    <col min="4094" max="4094" width="4.77734375" style="782" customWidth="1"/>
    <col min="4095" max="4095" width="3.21875" style="782" customWidth="1"/>
    <col min="4096" max="4096" width="6.44140625" style="782" customWidth="1"/>
    <col min="4097" max="4097" width="6.88671875" style="782" customWidth="1"/>
    <col min="4098" max="4098" width="4.77734375" style="782" customWidth="1"/>
    <col min="4099" max="4099" width="6.109375" style="782" customWidth="1"/>
    <col min="4100" max="4100" width="7.6640625" style="782" customWidth="1"/>
    <col min="4101" max="4347" width="8.109375" style="782"/>
    <col min="4348" max="4348" width="5.21875" style="782" customWidth="1"/>
    <col min="4349" max="4349" width="27.21875" style="782" customWidth="1"/>
    <col min="4350" max="4350" width="4.77734375" style="782" customWidth="1"/>
    <col min="4351" max="4351" width="3.21875" style="782" customWidth="1"/>
    <col min="4352" max="4352" width="6.44140625" style="782" customWidth="1"/>
    <col min="4353" max="4353" width="6.88671875" style="782" customWidth="1"/>
    <col min="4354" max="4354" width="4.77734375" style="782" customWidth="1"/>
    <col min="4355" max="4355" width="6.109375" style="782" customWidth="1"/>
    <col min="4356" max="4356" width="7.6640625" style="782" customWidth="1"/>
    <col min="4357" max="4603" width="8.109375" style="782"/>
    <col min="4604" max="4604" width="5.21875" style="782" customWidth="1"/>
    <col min="4605" max="4605" width="27.21875" style="782" customWidth="1"/>
    <col min="4606" max="4606" width="4.77734375" style="782" customWidth="1"/>
    <col min="4607" max="4607" width="3.21875" style="782" customWidth="1"/>
    <col min="4608" max="4608" width="6.44140625" style="782" customWidth="1"/>
    <col min="4609" max="4609" width="6.88671875" style="782" customWidth="1"/>
    <col min="4610" max="4610" width="4.77734375" style="782" customWidth="1"/>
    <col min="4611" max="4611" width="6.109375" style="782" customWidth="1"/>
    <col min="4612" max="4612" width="7.6640625" style="782" customWidth="1"/>
    <col min="4613" max="4859" width="8.109375" style="782"/>
    <col min="4860" max="4860" width="5.21875" style="782" customWidth="1"/>
    <col min="4861" max="4861" width="27.21875" style="782" customWidth="1"/>
    <col min="4862" max="4862" width="4.77734375" style="782" customWidth="1"/>
    <col min="4863" max="4863" width="3.21875" style="782" customWidth="1"/>
    <col min="4864" max="4864" width="6.44140625" style="782" customWidth="1"/>
    <col min="4865" max="4865" width="6.88671875" style="782" customWidth="1"/>
    <col min="4866" max="4866" width="4.77734375" style="782" customWidth="1"/>
    <col min="4867" max="4867" width="6.109375" style="782" customWidth="1"/>
    <col min="4868" max="4868" width="7.6640625" style="782" customWidth="1"/>
    <col min="4869" max="5115" width="8.109375" style="782"/>
    <col min="5116" max="5116" width="5.21875" style="782" customWidth="1"/>
    <col min="5117" max="5117" width="27.21875" style="782" customWidth="1"/>
    <col min="5118" max="5118" width="4.77734375" style="782" customWidth="1"/>
    <col min="5119" max="5119" width="3.21875" style="782" customWidth="1"/>
    <col min="5120" max="5120" width="6.44140625" style="782" customWidth="1"/>
    <col min="5121" max="5121" width="6.88671875" style="782" customWidth="1"/>
    <col min="5122" max="5122" width="4.77734375" style="782" customWidth="1"/>
    <col min="5123" max="5123" width="6.109375" style="782" customWidth="1"/>
    <col min="5124" max="5124" width="7.6640625" style="782" customWidth="1"/>
    <col min="5125" max="5371" width="8.109375" style="782"/>
    <col min="5372" max="5372" width="5.21875" style="782" customWidth="1"/>
    <col min="5373" max="5373" width="27.21875" style="782" customWidth="1"/>
    <col min="5374" max="5374" width="4.77734375" style="782" customWidth="1"/>
    <col min="5375" max="5375" width="3.21875" style="782" customWidth="1"/>
    <col min="5376" max="5376" width="6.44140625" style="782" customWidth="1"/>
    <col min="5377" max="5377" width="6.88671875" style="782" customWidth="1"/>
    <col min="5378" max="5378" width="4.77734375" style="782" customWidth="1"/>
    <col min="5379" max="5379" width="6.109375" style="782" customWidth="1"/>
    <col min="5380" max="5380" width="7.6640625" style="782" customWidth="1"/>
    <col min="5381" max="5627" width="8.109375" style="782"/>
    <col min="5628" max="5628" width="5.21875" style="782" customWidth="1"/>
    <col min="5629" max="5629" width="27.21875" style="782" customWidth="1"/>
    <col min="5630" max="5630" width="4.77734375" style="782" customWidth="1"/>
    <col min="5631" max="5631" width="3.21875" style="782" customWidth="1"/>
    <col min="5632" max="5632" width="6.44140625" style="782" customWidth="1"/>
    <col min="5633" max="5633" width="6.88671875" style="782" customWidth="1"/>
    <col min="5634" max="5634" width="4.77734375" style="782" customWidth="1"/>
    <col min="5635" max="5635" width="6.109375" style="782" customWidth="1"/>
    <col min="5636" max="5636" width="7.6640625" style="782" customWidth="1"/>
    <col min="5637" max="5883" width="8.109375" style="782"/>
    <col min="5884" max="5884" width="5.21875" style="782" customWidth="1"/>
    <col min="5885" max="5885" width="27.21875" style="782" customWidth="1"/>
    <col min="5886" max="5886" width="4.77734375" style="782" customWidth="1"/>
    <col min="5887" max="5887" width="3.21875" style="782" customWidth="1"/>
    <col min="5888" max="5888" width="6.44140625" style="782" customWidth="1"/>
    <col min="5889" max="5889" width="6.88671875" style="782" customWidth="1"/>
    <col min="5890" max="5890" width="4.77734375" style="782" customWidth="1"/>
    <col min="5891" max="5891" width="6.109375" style="782" customWidth="1"/>
    <col min="5892" max="5892" width="7.6640625" style="782" customWidth="1"/>
    <col min="5893" max="6139" width="8.109375" style="782"/>
    <col min="6140" max="6140" width="5.21875" style="782" customWidth="1"/>
    <col min="6141" max="6141" width="27.21875" style="782" customWidth="1"/>
    <col min="6142" max="6142" width="4.77734375" style="782" customWidth="1"/>
    <col min="6143" max="6143" width="3.21875" style="782" customWidth="1"/>
    <col min="6144" max="6144" width="6.44140625" style="782" customWidth="1"/>
    <col min="6145" max="6145" width="6.88671875" style="782" customWidth="1"/>
    <col min="6146" max="6146" width="4.77734375" style="782" customWidth="1"/>
    <col min="6147" max="6147" width="6.109375" style="782" customWidth="1"/>
    <col min="6148" max="6148" width="7.6640625" style="782" customWidth="1"/>
    <col min="6149" max="6395" width="8.109375" style="782"/>
    <col min="6396" max="6396" width="5.21875" style="782" customWidth="1"/>
    <col min="6397" max="6397" width="27.21875" style="782" customWidth="1"/>
    <col min="6398" max="6398" width="4.77734375" style="782" customWidth="1"/>
    <col min="6399" max="6399" width="3.21875" style="782" customWidth="1"/>
    <col min="6400" max="6400" width="6.44140625" style="782" customWidth="1"/>
    <col min="6401" max="6401" width="6.88671875" style="782" customWidth="1"/>
    <col min="6402" max="6402" width="4.77734375" style="782" customWidth="1"/>
    <col min="6403" max="6403" width="6.109375" style="782" customWidth="1"/>
    <col min="6404" max="6404" width="7.6640625" style="782" customWidth="1"/>
    <col min="6405" max="6651" width="8.109375" style="782"/>
    <col min="6652" max="6652" width="5.21875" style="782" customWidth="1"/>
    <col min="6653" max="6653" width="27.21875" style="782" customWidth="1"/>
    <col min="6654" max="6654" width="4.77734375" style="782" customWidth="1"/>
    <col min="6655" max="6655" width="3.21875" style="782" customWidth="1"/>
    <col min="6656" max="6656" width="6.44140625" style="782" customWidth="1"/>
    <col min="6657" max="6657" width="6.88671875" style="782" customWidth="1"/>
    <col min="6658" max="6658" width="4.77734375" style="782" customWidth="1"/>
    <col min="6659" max="6659" width="6.109375" style="782" customWidth="1"/>
    <col min="6660" max="6660" width="7.6640625" style="782" customWidth="1"/>
    <col min="6661" max="6907" width="8.109375" style="782"/>
    <col min="6908" max="6908" width="5.21875" style="782" customWidth="1"/>
    <col min="6909" max="6909" width="27.21875" style="782" customWidth="1"/>
    <col min="6910" max="6910" width="4.77734375" style="782" customWidth="1"/>
    <col min="6911" max="6911" width="3.21875" style="782" customWidth="1"/>
    <col min="6912" max="6912" width="6.44140625" style="782" customWidth="1"/>
    <col min="6913" max="6913" width="6.88671875" style="782" customWidth="1"/>
    <col min="6914" max="6914" width="4.77734375" style="782" customWidth="1"/>
    <col min="6915" max="6915" width="6.109375" style="782" customWidth="1"/>
    <col min="6916" max="6916" width="7.6640625" style="782" customWidth="1"/>
    <col min="6917" max="7163" width="8.109375" style="782"/>
    <col min="7164" max="7164" width="5.21875" style="782" customWidth="1"/>
    <col min="7165" max="7165" width="27.21875" style="782" customWidth="1"/>
    <col min="7166" max="7166" width="4.77734375" style="782" customWidth="1"/>
    <col min="7167" max="7167" width="3.21875" style="782" customWidth="1"/>
    <col min="7168" max="7168" width="6.44140625" style="782" customWidth="1"/>
    <col min="7169" max="7169" width="6.88671875" style="782" customWidth="1"/>
    <col min="7170" max="7170" width="4.77734375" style="782" customWidth="1"/>
    <col min="7171" max="7171" width="6.109375" style="782" customWidth="1"/>
    <col min="7172" max="7172" width="7.6640625" style="782" customWidth="1"/>
    <col min="7173" max="7419" width="8.109375" style="782"/>
    <col min="7420" max="7420" width="5.21875" style="782" customWidth="1"/>
    <col min="7421" max="7421" width="27.21875" style="782" customWidth="1"/>
    <col min="7422" max="7422" width="4.77734375" style="782" customWidth="1"/>
    <col min="7423" max="7423" width="3.21875" style="782" customWidth="1"/>
    <col min="7424" max="7424" width="6.44140625" style="782" customWidth="1"/>
    <col min="7425" max="7425" width="6.88671875" style="782" customWidth="1"/>
    <col min="7426" max="7426" width="4.77734375" style="782" customWidth="1"/>
    <col min="7427" max="7427" width="6.109375" style="782" customWidth="1"/>
    <col min="7428" max="7428" width="7.6640625" style="782" customWidth="1"/>
    <col min="7429" max="7675" width="8.109375" style="782"/>
    <col min="7676" max="7676" width="5.21875" style="782" customWidth="1"/>
    <col min="7677" max="7677" width="27.21875" style="782" customWidth="1"/>
    <col min="7678" max="7678" width="4.77734375" style="782" customWidth="1"/>
    <col min="7679" max="7679" width="3.21875" style="782" customWidth="1"/>
    <col min="7680" max="7680" width="6.44140625" style="782" customWidth="1"/>
    <col min="7681" max="7681" width="6.88671875" style="782" customWidth="1"/>
    <col min="7682" max="7682" width="4.77734375" style="782" customWidth="1"/>
    <col min="7683" max="7683" width="6.109375" style="782" customWidth="1"/>
    <col min="7684" max="7684" width="7.6640625" style="782" customWidth="1"/>
    <col min="7685" max="7931" width="8.109375" style="782"/>
    <col min="7932" max="7932" width="5.21875" style="782" customWidth="1"/>
    <col min="7933" max="7933" width="27.21875" style="782" customWidth="1"/>
    <col min="7934" max="7934" width="4.77734375" style="782" customWidth="1"/>
    <col min="7935" max="7935" width="3.21875" style="782" customWidth="1"/>
    <col min="7936" max="7936" width="6.44140625" style="782" customWidth="1"/>
    <col min="7937" max="7937" width="6.88671875" style="782" customWidth="1"/>
    <col min="7938" max="7938" width="4.77734375" style="782" customWidth="1"/>
    <col min="7939" max="7939" width="6.109375" style="782" customWidth="1"/>
    <col min="7940" max="7940" width="7.6640625" style="782" customWidth="1"/>
    <col min="7941" max="8187" width="8.109375" style="782"/>
    <col min="8188" max="8188" width="5.21875" style="782" customWidth="1"/>
    <col min="8189" max="8189" width="27.21875" style="782" customWidth="1"/>
    <col min="8190" max="8190" width="4.77734375" style="782" customWidth="1"/>
    <col min="8191" max="8191" width="3.21875" style="782" customWidth="1"/>
    <col min="8192" max="8192" width="6.44140625" style="782" customWidth="1"/>
    <col min="8193" max="8193" width="6.88671875" style="782" customWidth="1"/>
    <col min="8194" max="8194" width="4.77734375" style="782" customWidth="1"/>
    <col min="8195" max="8195" width="6.109375" style="782" customWidth="1"/>
    <col min="8196" max="8196" width="7.6640625" style="782" customWidth="1"/>
    <col min="8197" max="8443" width="8.109375" style="782"/>
    <col min="8444" max="8444" width="5.21875" style="782" customWidth="1"/>
    <col min="8445" max="8445" width="27.21875" style="782" customWidth="1"/>
    <col min="8446" max="8446" width="4.77734375" style="782" customWidth="1"/>
    <col min="8447" max="8447" width="3.21875" style="782" customWidth="1"/>
    <col min="8448" max="8448" width="6.44140625" style="782" customWidth="1"/>
    <col min="8449" max="8449" width="6.88671875" style="782" customWidth="1"/>
    <col min="8450" max="8450" width="4.77734375" style="782" customWidth="1"/>
    <col min="8451" max="8451" width="6.109375" style="782" customWidth="1"/>
    <col min="8452" max="8452" width="7.6640625" style="782" customWidth="1"/>
    <col min="8453" max="8699" width="8.109375" style="782"/>
    <col min="8700" max="8700" width="5.21875" style="782" customWidth="1"/>
    <col min="8701" max="8701" width="27.21875" style="782" customWidth="1"/>
    <col min="8702" max="8702" width="4.77734375" style="782" customWidth="1"/>
    <col min="8703" max="8703" width="3.21875" style="782" customWidth="1"/>
    <col min="8704" max="8704" width="6.44140625" style="782" customWidth="1"/>
    <col min="8705" max="8705" width="6.88671875" style="782" customWidth="1"/>
    <col min="8706" max="8706" width="4.77734375" style="782" customWidth="1"/>
    <col min="8707" max="8707" width="6.109375" style="782" customWidth="1"/>
    <col min="8708" max="8708" width="7.6640625" style="782" customWidth="1"/>
    <col min="8709" max="8955" width="8.109375" style="782"/>
    <col min="8956" max="8956" width="5.21875" style="782" customWidth="1"/>
    <col min="8957" max="8957" width="27.21875" style="782" customWidth="1"/>
    <col min="8958" max="8958" width="4.77734375" style="782" customWidth="1"/>
    <col min="8959" max="8959" width="3.21875" style="782" customWidth="1"/>
    <col min="8960" max="8960" width="6.44140625" style="782" customWidth="1"/>
    <col min="8961" max="8961" width="6.88671875" style="782" customWidth="1"/>
    <col min="8962" max="8962" width="4.77734375" style="782" customWidth="1"/>
    <col min="8963" max="8963" width="6.109375" style="782" customWidth="1"/>
    <col min="8964" max="8964" width="7.6640625" style="782" customWidth="1"/>
    <col min="8965" max="9211" width="8.109375" style="782"/>
    <col min="9212" max="9212" width="5.21875" style="782" customWidth="1"/>
    <col min="9213" max="9213" width="27.21875" style="782" customWidth="1"/>
    <col min="9214" max="9214" width="4.77734375" style="782" customWidth="1"/>
    <col min="9215" max="9215" width="3.21875" style="782" customWidth="1"/>
    <col min="9216" max="9216" width="6.44140625" style="782" customWidth="1"/>
    <col min="9217" max="9217" width="6.88671875" style="782" customWidth="1"/>
    <col min="9218" max="9218" width="4.77734375" style="782" customWidth="1"/>
    <col min="9219" max="9219" width="6.109375" style="782" customWidth="1"/>
    <col min="9220" max="9220" width="7.6640625" style="782" customWidth="1"/>
    <col min="9221" max="9467" width="8.109375" style="782"/>
    <col min="9468" max="9468" width="5.21875" style="782" customWidth="1"/>
    <col min="9469" max="9469" width="27.21875" style="782" customWidth="1"/>
    <col min="9470" max="9470" width="4.77734375" style="782" customWidth="1"/>
    <col min="9471" max="9471" width="3.21875" style="782" customWidth="1"/>
    <col min="9472" max="9472" width="6.44140625" style="782" customWidth="1"/>
    <col min="9473" max="9473" width="6.88671875" style="782" customWidth="1"/>
    <col min="9474" max="9474" width="4.77734375" style="782" customWidth="1"/>
    <col min="9475" max="9475" width="6.109375" style="782" customWidth="1"/>
    <col min="9476" max="9476" width="7.6640625" style="782" customWidth="1"/>
    <col min="9477" max="9723" width="8.109375" style="782"/>
    <col min="9724" max="9724" width="5.21875" style="782" customWidth="1"/>
    <col min="9725" max="9725" width="27.21875" style="782" customWidth="1"/>
    <col min="9726" max="9726" width="4.77734375" style="782" customWidth="1"/>
    <col min="9727" max="9727" width="3.21875" style="782" customWidth="1"/>
    <col min="9728" max="9728" width="6.44140625" style="782" customWidth="1"/>
    <col min="9729" max="9729" width="6.88671875" style="782" customWidth="1"/>
    <col min="9730" max="9730" width="4.77734375" style="782" customWidth="1"/>
    <col min="9731" max="9731" width="6.109375" style="782" customWidth="1"/>
    <col min="9732" max="9732" width="7.6640625" style="782" customWidth="1"/>
    <col min="9733" max="9979" width="8.109375" style="782"/>
    <col min="9980" max="9980" width="5.21875" style="782" customWidth="1"/>
    <col min="9981" max="9981" width="27.21875" style="782" customWidth="1"/>
    <col min="9982" max="9982" width="4.77734375" style="782" customWidth="1"/>
    <col min="9983" max="9983" width="3.21875" style="782" customWidth="1"/>
    <col min="9984" max="9984" width="6.44140625" style="782" customWidth="1"/>
    <col min="9985" max="9985" width="6.88671875" style="782" customWidth="1"/>
    <col min="9986" max="9986" width="4.77734375" style="782" customWidth="1"/>
    <col min="9987" max="9987" width="6.109375" style="782" customWidth="1"/>
    <col min="9988" max="9988" width="7.6640625" style="782" customWidth="1"/>
    <col min="9989" max="10235" width="8.109375" style="782"/>
    <col min="10236" max="10236" width="5.21875" style="782" customWidth="1"/>
    <col min="10237" max="10237" width="27.21875" style="782" customWidth="1"/>
    <col min="10238" max="10238" width="4.77734375" style="782" customWidth="1"/>
    <col min="10239" max="10239" width="3.21875" style="782" customWidth="1"/>
    <col min="10240" max="10240" width="6.44140625" style="782" customWidth="1"/>
    <col min="10241" max="10241" width="6.88671875" style="782" customWidth="1"/>
    <col min="10242" max="10242" width="4.77734375" style="782" customWidth="1"/>
    <col min="10243" max="10243" width="6.109375" style="782" customWidth="1"/>
    <col min="10244" max="10244" width="7.6640625" style="782" customWidth="1"/>
    <col min="10245" max="10491" width="8.109375" style="782"/>
    <col min="10492" max="10492" width="5.21875" style="782" customWidth="1"/>
    <col min="10493" max="10493" width="27.21875" style="782" customWidth="1"/>
    <col min="10494" max="10494" width="4.77734375" style="782" customWidth="1"/>
    <col min="10495" max="10495" width="3.21875" style="782" customWidth="1"/>
    <col min="10496" max="10496" width="6.44140625" style="782" customWidth="1"/>
    <col min="10497" max="10497" width="6.88671875" style="782" customWidth="1"/>
    <col min="10498" max="10498" width="4.77734375" style="782" customWidth="1"/>
    <col min="10499" max="10499" width="6.109375" style="782" customWidth="1"/>
    <col min="10500" max="10500" width="7.6640625" style="782" customWidth="1"/>
    <col min="10501" max="10747" width="8.109375" style="782"/>
    <col min="10748" max="10748" width="5.21875" style="782" customWidth="1"/>
    <col min="10749" max="10749" width="27.21875" style="782" customWidth="1"/>
    <col min="10750" max="10750" width="4.77734375" style="782" customWidth="1"/>
    <col min="10751" max="10751" width="3.21875" style="782" customWidth="1"/>
    <col min="10752" max="10752" width="6.44140625" style="782" customWidth="1"/>
    <col min="10753" max="10753" width="6.88671875" style="782" customWidth="1"/>
    <col min="10754" max="10754" width="4.77734375" style="782" customWidth="1"/>
    <col min="10755" max="10755" width="6.109375" style="782" customWidth="1"/>
    <col min="10756" max="10756" width="7.6640625" style="782" customWidth="1"/>
    <col min="10757" max="11003" width="8.109375" style="782"/>
    <col min="11004" max="11004" width="5.21875" style="782" customWidth="1"/>
    <col min="11005" max="11005" width="27.21875" style="782" customWidth="1"/>
    <col min="11006" max="11006" width="4.77734375" style="782" customWidth="1"/>
    <col min="11007" max="11007" width="3.21875" style="782" customWidth="1"/>
    <col min="11008" max="11008" width="6.44140625" style="782" customWidth="1"/>
    <col min="11009" max="11009" width="6.88671875" style="782" customWidth="1"/>
    <col min="11010" max="11010" width="4.77734375" style="782" customWidth="1"/>
    <col min="11011" max="11011" width="6.109375" style="782" customWidth="1"/>
    <col min="11012" max="11012" width="7.6640625" style="782" customWidth="1"/>
    <col min="11013" max="11259" width="8.109375" style="782"/>
    <col min="11260" max="11260" width="5.21875" style="782" customWidth="1"/>
    <col min="11261" max="11261" width="27.21875" style="782" customWidth="1"/>
    <col min="11262" max="11262" width="4.77734375" style="782" customWidth="1"/>
    <col min="11263" max="11263" width="3.21875" style="782" customWidth="1"/>
    <col min="11264" max="11264" width="6.44140625" style="782" customWidth="1"/>
    <col min="11265" max="11265" width="6.88671875" style="782" customWidth="1"/>
    <col min="11266" max="11266" width="4.77734375" style="782" customWidth="1"/>
    <col min="11267" max="11267" width="6.109375" style="782" customWidth="1"/>
    <col min="11268" max="11268" width="7.6640625" style="782" customWidth="1"/>
    <col min="11269" max="11515" width="8.109375" style="782"/>
    <col min="11516" max="11516" width="5.21875" style="782" customWidth="1"/>
    <col min="11517" max="11517" width="27.21875" style="782" customWidth="1"/>
    <col min="11518" max="11518" width="4.77734375" style="782" customWidth="1"/>
    <col min="11519" max="11519" width="3.21875" style="782" customWidth="1"/>
    <col min="11520" max="11520" width="6.44140625" style="782" customWidth="1"/>
    <col min="11521" max="11521" width="6.88671875" style="782" customWidth="1"/>
    <col min="11522" max="11522" width="4.77734375" style="782" customWidth="1"/>
    <col min="11523" max="11523" width="6.109375" style="782" customWidth="1"/>
    <col min="11524" max="11524" width="7.6640625" style="782" customWidth="1"/>
    <col min="11525" max="11771" width="8.109375" style="782"/>
    <col min="11772" max="11772" width="5.21875" style="782" customWidth="1"/>
    <col min="11773" max="11773" width="27.21875" style="782" customWidth="1"/>
    <col min="11774" max="11774" width="4.77734375" style="782" customWidth="1"/>
    <col min="11775" max="11775" width="3.21875" style="782" customWidth="1"/>
    <col min="11776" max="11776" width="6.44140625" style="782" customWidth="1"/>
    <col min="11777" max="11777" width="6.88671875" style="782" customWidth="1"/>
    <col min="11778" max="11778" width="4.77734375" style="782" customWidth="1"/>
    <col min="11779" max="11779" width="6.109375" style="782" customWidth="1"/>
    <col min="11780" max="11780" width="7.6640625" style="782" customWidth="1"/>
    <col min="11781" max="12027" width="8.109375" style="782"/>
    <col min="12028" max="12028" width="5.21875" style="782" customWidth="1"/>
    <col min="12029" max="12029" width="27.21875" style="782" customWidth="1"/>
    <col min="12030" max="12030" width="4.77734375" style="782" customWidth="1"/>
    <col min="12031" max="12031" width="3.21875" style="782" customWidth="1"/>
    <col min="12032" max="12032" width="6.44140625" style="782" customWidth="1"/>
    <col min="12033" max="12033" width="6.88671875" style="782" customWidth="1"/>
    <col min="12034" max="12034" width="4.77734375" style="782" customWidth="1"/>
    <col min="12035" max="12035" width="6.109375" style="782" customWidth="1"/>
    <col min="12036" max="12036" width="7.6640625" style="782" customWidth="1"/>
    <col min="12037" max="12283" width="8.109375" style="782"/>
    <col min="12284" max="12284" width="5.21875" style="782" customWidth="1"/>
    <col min="12285" max="12285" width="27.21875" style="782" customWidth="1"/>
    <col min="12286" max="12286" width="4.77734375" style="782" customWidth="1"/>
    <col min="12287" max="12287" width="3.21875" style="782" customWidth="1"/>
    <col min="12288" max="12288" width="6.44140625" style="782" customWidth="1"/>
    <col min="12289" max="12289" width="6.88671875" style="782" customWidth="1"/>
    <col min="12290" max="12290" width="4.77734375" style="782" customWidth="1"/>
    <col min="12291" max="12291" width="6.109375" style="782" customWidth="1"/>
    <col min="12292" max="12292" width="7.6640625" style="782" customWidth="1"/>
    <col min="12293" max="12539" width="8.109375" style="782"/>
    <col min="12540" max="12540" width="5.21875" style="782" customWidth="1"/>
    <col min="12541" max="12541" width="27.21875" style="782" customWidth="1"/>
    <col min="12542" max="12542" width="4.77734375" style="782" customWidth="1"/>
    <col min="12543" max="12543" width="3.21875" style="782" customWidth="1"/>
    <col min="12544" max="12544" width="6.44140625" style="782" customWidth="1"/>
    <col min="12545" max="12545" width="6.88671875" style="782" customWidth="1"/>
    <col min="12546" max="12546" width="4.77734375" style="782" customWidth="1"/>
    <col min="12547" max="12547" width="6.109375" style="782" customWidth="1"/>
    <col min="12548" max="12548" width="7.6640625" style="782" customWidth="1"/>
    <col min="12549" max="12795" width="8.109375" style="782"/>
    <col min="12796" max="12796" width="5.21875" style="782" customWidth="1"/>
    <col min="12797" max="12797" width="27.21875" style="782" customWidth="1"/>
    <col min="12798" max="12798" width="4.77734375" style="782" customWidth="1"/>
    <col min="12799" max="12799" width="3.21875" style="782" customWidth="1"/>
    <col min="12800" max="12800" width="6.44140625" style="782" customWidth="1"/>
    <col min="12801" max="12801" width="6.88671875" style="782" customWidth="1"/>
    <col min="12802" max="12802" width="4.77734375" style="782" customWidth="1"/>
    <col min="12803" max="12803" width="6.109375" style="782" customWidth="1"/>
    <col min="12804" max="12804" width="7.6640625" style="782" customWidth="1"/>
    <col min="12805" max="13051" width="8.109375" style="782"/>
    <col min="13052" max="13052" width="5.21875" style="782" customWidth="1"/>
    <col min="13053" max="13053" width="27.21875" style="782" customWidth="1"/>
    <col min="13054" max="13054" width="4.77734375" style="782" customWidth="1"/>
    <col min="13055" max="13055" width="3.21875" style="782" customWidth="1"/>
    <col min="13056" max="13056" width="6.44140625" style="782" customWidth="1"/>
    <col min="13057" max="13057" width="6.88671875" style="782" customWidth="1"/>
    <col min="13058" max="13058" width="4.77734375" style="782" customWidth="1"/>
    <col min="13059" max="13059" width="6.109375" style="782" customWidth="1"/>
    <col min="13060" max="13060" width="7.6640625" style="782" customWidth="1"/>
    <col min="13061" max="13307" width="8.109375" style="782"/>
    <col min="13308" max="13308" width="5.21875" style="782" customWidth="1"/>
    <col min="13309" max="13309" width="27.21875" style="782" customWidth="1"/>
    <col min="13310" max="13310" width="4.77734375" style="782" customWidth="1"/>
    <col min="13311" max="13311" width="3.21875" style="782" customWidth="1"/>
    <col min="13312" max="13312" width="6.44140625" style="782" customWidth="1"/>
    <col min="13313" max="13313" width="6.88671875" style="782" customWidth="1"/>
    <col min="13314" max="13314" width="4.77734375" style="782" customWidth="1"/>
    <col min="13315" max="13315" width="6.109375" style="782" customWidth="1"/>
    <col min="13316" max="13316" width="7.6640625" style="782" customWidth="1"/>
    <col min="13317" max="13563" width="8.109375" style="782"/>
    <col min="13564" max="13564" width="5.21875" style="782" customWidth="1"/>
    <col min="13565" max="13565" width="27.21875" style="782" customWidth="1"/>
    <col min="13566" max="13566" width="4.77734375" style="782" customWidth="1"/>
    <col min="13567" max="13567" width="3.21875" style="782" customWidth="1"/>
    <col min="13568" max="13568" width="6.44140625" style="782" customWidth="1"/>
    <col min="13569" max="13569" width="6.88671875" style="782" customWidth="1"/>
    <col min="13570" max="13570" width="4.77734375" style="782" customWidth="1"/>
    <col min="13571" max="13571" width="6.109375" style="782" customWidth="1"/>
    <col min="13572" max="13572" width="7.6640625" style="782" customWidth="1"/>
    <col min="13573" max="13819" width="8.109375" style="782"/>
    <col min="13820" max="13820" width="5.21875" style="782" customWidth="1"/>
    <col min="13821" max="13821" width="27.21875" style="782" customWidth="1"/>
    <col min="13822" max="13822" width="4.77734375" style="782" customWidth="1"/>
    <col min="13823" max="13823" width="3.21875" style="782" customWidth="1"/>
    <col min="13824" max="13824" width="6.44140625" style="782" customWidth="1"/>
    <col min="13825" max="13825" width="6.88671875" style="782" customWidth="1"/>
    <col min="13826" max="13826" width="4.77734375" style="782" customWidth="1"/>
    <col min="13827" max="13827" width="6.109375" style="782" customWidth="1"/>
    <col min="13828" max="13828" width="7.6640625" style="782" customWidth="1"/>
    <col min="13829" max="14075" width="8.109375" style="782"/>
    <col min="14076" max="14076" width="5.21875" style="782" customWidth="1"/>
    <col min="14077" max="14077" width="27.21875" style="782" customWidth="1"/>
    <col min="14078" max="14078" width="4.77734375" style="782" customWidth="1"/>
    <col min="14079" max="14079" width="3.21875" style="782" customWidth="1"/>
    <col min="14080" max="14080" width="6.44140625" style="782" customWidth="1"/>
    <col min="14081" max="14081" width="6.88671875" style="782" customWidth="1"/>
    <col min="14082" max="14082" width="4.77734375" style="782" customWidth="1"/>
    <col min="14083" max="14083" width="6.109375" style="782" customWidth="1"/>
    <col min="14084" max="14084" width="7.6640625" style="782" customWidth="1"/>
    <col min="14085" max="14331" width="8.109375" style="782"/>
    <col min="14332" max="14332" width="5.21875" style="782" customWidth="1"/>
    <col min="14333" max="14333" width="27.21875" style="782" customWidth="1"/>
    <col min="14334" max="14334" width="4.77734375" style="782" customWidth="1"/>
    <col min="14335" max="14335" width="3.21875" style="782" customWidth="1"/>
    <col min="14336" max="14336" width="6.44140625" style="782" customWidth="1"/>
    <col min="14337" max="14337" width="6.88671875" style="782" customWidth="1"/>
    <col min="14338" max="14338" width="4.77734375" style="782" customWidth="1"/>
    <col min="14339" max="14339" width="6.109375" style="782" customWidth="1"/>
    <col min="14340" max="14340" width="7.6640625" style="782" customWidth="1"/>
    <col min="14341" max="14587" width="8.109375" style="782"/>
    <col min="14588" max="14588" width="5.21875" style="782" customWidth="1"/>
    <col min="14589" max="14589" width="27.21875" style="782" customWidth="1"/>
    <col min="14590" max="14590" width="4.77734375" style="782" customWidth="1"/>
    <col min="14591" max="14591" width="3.21875" style="782" customWidth="1"/>
    <col min="14592" max="14592" width="6.44140625" style="782" customWidth="1"/>
    <col min="14593" max="14593" width="6.88671875" style="782" customWidth="1"/>
    <col min="14594" max="14594" width="4.77734375" style="782" customWidth="1"/>
    <col min="14595" max="14595" width="6.109375" style="782" customWidth="1"/>
    <col min="14596" max="14596" width="7.6640625" style="782" customWidth="1"/>
    <col min="14597" max="14843" width="8.109375" style="782"/>
    <col min="14844" max="14844" width="5.21875" style="782" customWidth="1"/>
    <col min="14845" max="14845" width="27.21875" style="782" customWidth="1"/>
    <col min="14846" max="14846" width="4.77734375" style="782" customWidth="1"/>
    <col min="14847" max="14847" width="3.21875" style="782" customWidth="1"/>
    <col min="14848" max="14848" width="6.44140625" style="782" customWidth="1"/>
    <col min="14849" max="14849" width="6.88671875" style="782" customWidth="1"/>
    <col min="14850" max="14850" width="4.77734375" style="782" customWidth="1"/>
    <col min="14851" max="14851" width="6.109375" style="782" customWidth="1"/>
    <col min="14852" max="14852" width="7.6640625" style="782" customWidth="1"/>
    <col min="14853" max="15099" width="8.109375" style="782"/>
    <col min="15100" max="15100" width="5.21875" style="782" customWidth="1"/>
    <col min="15101" max="15101" width="27.21875" style="782" customWidth="1"/>
    <col min="15102" max="15102" width="4.77734375" style="782" customWidth="1"/>
    <col min="15103" max="15103" width="3.21875" style="782" customWidth="1"/>
    <col min="15104" max="15104" width="6.44140625" style="782" customWidth="1"/>
    <col min="15105" max="15105" width="6.88671875" style="782" customWidth="1"/>
    <col min="15106" max="15106" width="4.77734375" style="782" customWidth="1"/>
    <col min="15107" max="15107" width="6.109375" style="782" customWidth="1"/>
    <col min="15108" max="15108" width="7.6640625" style="782" customWidth="1"/>
    <col min="15109" max="15355" width="8.109375" style="782"/>
    <col min="15356" max="15356" width="5.21875" style="782" customWidth="1"/>
    <col min="15357" max="15357" width="27.21875" style="782" customWidth="1"/>
    <col min="15358" max="15358" width="4.77734375" style="782" customWidth="1"/>
    <col min="15359" max="15359" width="3.21875" style="782" customWidth="1"/>
    <col min="15360" max="15360" width="6.44140625" style="782" customWidth="1"/>
    <col min="15361" max="15361" width="6.88671875" style="782" customWidth="1"/>
    <col min="15362" max="15362" width="4.77734375" style="782" customWidth="1"/>
    <col min="15363" max="15363" width="6.109375" style="782" customWidth="1"/>
    <col min="15364" max="15364" width="7.6640625" style="782" customWidth="1"/>
    <col min="15365" max="15611" width="8.109375" style="782"/>
    <col min="15612" max="15612" width="5.21875" style="782" customWidth="1"/>
    <col min="15613" max="15613" width="27.21875" style="782" customWidth="1"/>
    <col min="15614" max="15614" width="4.77734375" style="782" customWidth="1"/>
    <col min="15615" max="15615" width="3.21875" style="782" customWidth="1"/>
    <col min="15616" max="15616" width="6.44140625" style="782" customWidth="1"/>
    <col min="15617" max="15617" width="6.88671875" style="782" customWidth="1"/>
    <col min="15618" max="15618" width="4.77734375" style="782" customWidth="1"/>
    <col min="15619" max="15619" width="6.109375" style="782" customWidth="1"/>
    <col min="15620" max="15620" width="7.6640625" style="782" customWidth="1"/>
    <col min="15621" max="15867" width="8.109375" style="782"/>
    <col min="15868" max="15868" width="5.21875" style="782" customWidth="1"/>
    <col min="15869" max="15869" width="27.21875" style="782" customWidth="1"/>
    <col min="15870" max="15870" width="4.77734375" style="782" customWidth="1"/>
    <col min="15871" max="15871" width="3.21875" style="782" customWidth="1"/>
    <col min="15872" max="15872" width="6.44140625" style="782" customWidth="1"/>
    <col min="15873" max="15873" width="6.88671875" style="782" customWidth="1"/>
    <col min="15874" max="15874" width="4.77734375" style="782" customWidth="1"/>
    <col min="15875" max="15875" width="6.109375" style="782" customWidth="1"/>
    <col min="15876" max="15876" width="7.6640625" style="782" customWidth="1"/>
    <col min="15877" max="16123" width="8.109375" style="782"/>
    <col min="16124" max="16124" width="5.21875" style="782" customWidth="1"/>
    <col min="16125" max="16125" width="27.21875" style="782" customWidth="1"/>
    <col min="16126" max="16126" width="4.77734375" style="782" customWidth="1"/>
    <col min="16127" max="16127" width="3.21875" style="782" customWidth="1"/>
    <col min="16128" max="16128" width="6.44140625" style="782" customWidth="1"/>
    <col min="16129" max="16129" width="6.88671875" style="782" customWidth="1"/>
    <col min="16130" max="16130" width="4.77734375" style="782" customWidth="1"/>
    <col min="16131" max="16131" width="6.109375" style="782" customWidth="1"/>
    <col min="16132" max="16132" width="7.6640625" style="782" customWidth="1"/>
    <col min="16133" max="16384" width="8.109375" style="782"/>
  </cols>
  <sheetData>
    <row r="1" spans="1:10" ht="19.899999999999999" customHeight="1">
      <c r="A1" s="1135" t="s">
        <v>3286</v>
      </c>
      <c r="B1" s="1135"/>
      <c r="C1" s="1135"/>
      <c r="D1" s="1135"/>
      <c r="E1" s="1135"/>
      <c r="F1" s="1135"/>
      <c r="G1" s="1135"/>
      <c r="H1" s="1135"/>
      <c r="I1" s="1135"/>
      <c r="J1" s="781"/>
    </row>
    <row r="2" spans="1:10" ht="7.9" customHeight="1">
      <c r="A2" s="783"/>
      <c r="B2" s="783"/>
      <c r="C2" s="783"/>
      <c r="D2" s="783"/>
      <c r="E2" s="783"/>
      <c r="F2" s="783"/>
      <c r="G2" s="783"/>
      <c r="H2" s="783"/>
      <c r="I2" s="783"/>
      <c r="J2" s="784"/>
    </row>
    <row r="3" spans="1:10" ht="30" customHeight="1">
      <c r="A3" s="1136" t="str">
        <f>'TW SHED'!A3:H3</f>
        <v>Name of work:  Construction of Urban Police Station Building at Nachiyarkoil in Thanjavur District under Announcement made by the Hon’ble Chief Minister for the year 2023 - 2024</v>
      </c>
      <c r="B3" s="1136"/>
      <c r="C3" s="1136"/>
      <c r="D3" s="1136"/>
      <c r="E3" s="1136"/>
      <c r="F3" s="1136"/>
      <c r="G3" s="1136"/>
      <c r="H3" s="1136"/>
      <c r="I3" s="1136"/>
      <c r="J3" s="785"/>
    </row>
    <row r="4" spans="1:10" ht="30" customHeight="1">
      <c r="A4" s="1136"/>
      <c r="B4" s="1136"/>
      <c r="C4" s="1136"/>
      <c r="D4" s="1136"/>
      <c r="E4" s="1136"/>
      <c r="F4" s="1136"/>
      <c r="G4" s="1136"/>
      <c r="H4" s="1136"/>
      <c r="I4" s="1136"/>
      <c r="J4" s="785"/>
    </row>
    <row r="5" spans="1:10" ht="7.9" customHeight="1">
      <c r="A5" s="786"/>
      <c r="B5" s="786"/>
      <c r="C5" s="786"/>
      <c r="D5" s="786"/>
      <c r="E5" s="786"/>
      <c r="F5" s="786"/>
      <c r="G5" s="786"/>
      <c r="H5" s="786"/>
      <c r="I5" s="786"/>
      <c r="J5" s="787"/>
    </row>
    <row r="6" spans="1:10" ht="15.95" customHeight="1">
      <c r="A6" s="783"/>
      <c r="B6" s="783"/>
      <c r="C6" s="1137" t="s">
        <v>4737</v>
      </c>
      <c r="D6" s="1137"/>
      <c r="E6" s="1137"/>
      <c r="F6" s="1137"/>
      <c r="G6" s="1137"/>
      <c r="H6" s="1137"/>
      <c r="I6" s="788">
        <v>15.8</v>
      </c>
      <c r="J6" s="789"/>
    </row>
    <row r="7" spans="1:10" ht="15.95" customHeight="1">
      <c r="A7" s="783"/>
      <c r="B7" s="783"/>
      <c r="C7" s="1137" t="s">
        <v>4966</v>
      </c>
      <c r="D7" s="1137"/>
      <c r="E7" s="1137"/>
      <c r="F7" s="1137"/>
      <c r="G7" s="1137"/>
      <c r="H7" s="1137"/>
      <c r="I7" s="788">
        <v>124.8</v>
      </c>
      <c r="J7" s="789"/>
    </row>
    <row r="8" spans="1:10" ht="15.95" customHeight="1">
      <c r="A8" s="783"/>
      <c r="B8" s="1137" t="s">
        <v>4780</v>
      </c>
      <c r="C8" s="1137"/>
      <c r="D8" s="1137"/>
      <c r="E8" s="1137"/>
      <c r="F8" s="1137"/>
      <c r="G8" s="1137"/>
      <c r="H8" s="1137"/>
      <c r="I8" s="788">
        <v>17</v>
      </c>
      <c r="J8" s="789"/>
    </row>
    <row r="9" spans="1:10" ht="15.95" customHeight="1">
      <c r="A9" s="783"/>
      <c r="B9" s="783"/>
      <c r="C9" s="1138" t="s">
        <v>4738</v>
      </c>
      <c r="D9" s="1138"/>
      <c r="E9" s="1138"/>
      <c r="F9" s="1138"/>
      <c r="G9" s="1138"/>
      <c r="H9" s="1138"/>
      <c r="I9" s="790">
        <f>SUM(I6:I8)</f>
        <v>157.6</v>
      </c>
      <c r="J9" s="791"/>
    </row>
    <row r="10" spans="1:10" ht="7.9" customHeight="1">
      <c r="A10" s="1134"/>
      <c r="B10" s="1134"/>
      <c r="C10" s="1134"/>
      <c r="D10" s="1134"/>
      <c r="E10" s="1134"/>
      <c r="F10" s="1134"/>
      <c r="G10" s="1134"/>
      <c r="H10" s="1134"/>
      <c r="I10" s="1134"/>
      <c r="J10" s="792"/>
    </row>
    <row r="11" spans="1:10" ht="33" customHeight="1">
      <c r="A11" s="793" t="s">
        <v>4647</v>
      </c>
      <c r="B11" s="794" t="s">
        <v>1449</v>
      </c>
      <c r="C11" s="1127" t="s">
        <v>838</v>
      </c>
      <c r="D11" s="1127"/>
      <c r="E11" s="1127"/>
      <c r="F11" s="794" t="s">
        <v>3482</v>
      </c>
      <c r="G11" s="794" t="s">
        <v>1261</v>
      </c>
      <c r="H11" s="794" t="s">
        <v>3483</v>
      </c>
      <c r="I11" s="795" t="s">
        <v>1720</v>
      </c>
      <c r="J11" s="794" t="s">
        <v>181</v>
      </c>
    </row>
    <row r="12" spans="1:10" ht="15" customHeight="1">
      <c r="A12" s="794">
        <v>1</v>
      </c>
      <c r="B12" s="794">
        <v>2</v>
      </c>
      <c r="C12" s="1127">
        <v>3</v>
      </c>
      <c r="D12" s="1127"/>
      <c r="E12" s="1127"/>
      <c r="F12" s="794">
        <v>4</v>
      </c>
      <c r="G12" s="794">
        <v>5</v>
      </c>
      <c r="H12" s="794">
        <v>6</v>
      </c>
      <c r="I12" s="795">
        <v>7</v>
      </c>
      <c r="J12" s="794">
        <v>8</v>
      </c>
    </row>
    <row r="13" spans="1:10" ht="49.9" customHeight="1">
      <c r="A13" s="796">
        <v>1</v>
      </c>
      <c r="B13" s="1128" t="s">
        <v>4649</v>
      </c>
      <c r="C13" s="1129"/>
      <c r="D13" s="1129"/>
      <c r="E13" s="1129"/>
      <c r="F13" s="1129"/>
      <c r="G13" s="1129"/>
      <c r="H13" s="1130"/>
      <c r="I13" s="797"/>
      <c r="J13" s="798"/>
    </row>
    <row r="14" spans="1:10" ht="19.149999999999999" customHeight="1">
      <c r="A14" s="796"/>
      <c r="B14" s="799" t="s">
        <v>4667</v>
      </c>
      <c r="C14" s="800">
        <v>1</v>
      </c>
      <c r="D14" s="800" t="s">
        <v>4377</v>
      </c>
      <c r="E14" s="801">
        <v>4</v>
      </c>
      <c r="F14" s="802">
        <v>1.1000000000000001</v>
      </c>
      <c r="G14" s="802">
        <v>1.1000000000000001</v>
      </c>
      <c r="H14" s="802">
        <v>1.2</v>
      </c>
      <c r="I14" s="803">
        <f>ROUND(PRODUCT(C14:H14),2)</f>
        <v>5.81</v>
      </c>
      <c r="J14" s="804"/>
    </row>
    <row r="15" spans="1:10" ht="19.149999999999999" customHeight="1">
      <c r="A15" s="796"/>
      <c r="B15" s="799" t="s">
        <v>4781</v>
      </c>
      <c r="C15" s="800">
        <v>1</v>
      </c>
      <c r="D15" s="800" t="s">
        <v>4377</v>
      </c>
      <c r="E15" s="801">
        <v>8</v>
      </c>
      <c r="F15" s="802">
        <v>1.1000000000000001</v>
      </c>
      <c r="G15" s="802">
        <v>1.1000000000000001</v>
      </c>
      <c r="H15" s="802">
        <v>1.2</v>
      </c>
      <c r="I15" s="803">
        <f t="shared" ref="I15:I20" si="0">ROUND(PRODUCT(C15:H15),2)</f>
        <v>11.62</v>
      </c>
      <c r="J15" s="804"/>
    </row>
    <row r="16" spans="1:10" ht="19.149999999999999" customHeight="1">
      <c r="A16" s="796"/>
      <c r="B16" s="799" t="s">
        <v>4967</v>
      </c>
      <c r="C16" s="800">
        <v>2</v>
      </c>
      <c r="D16" s="800" t="s">
        <v>4377</v>
      </c>
      <c r="E16" s="801">
        <v>28</v>
      </c>
      <c r="F16" s="802">
        <v>1.1000000000000001</v>
      </c>
      <c r="G16" s="802">
        <v>1.1000000000000001</v>
      </c>
      <c r="H16" s="802">
        <v>1.2</v>
      </c>
      <c r="I16" s="803">
        <f t="shared" si="0"/>
        <v>81.31</v>
      </c>
      <c r="J16" s="804"/>
    </row>
    <row r="17" spans="1:10" ht="19.149999999999999" customHeight="1">
      <c r="A17" s="796"/>
      <c r="B17" s="799" t="s">
        <v>4782</v>
      </c>
      <c r="C17" s="800">
        <v>1</v>
      </c>
      <c r="D17" s="800" t="s">
        <v>4377</v>
      </c>
      <c r="E17" s="801">
        <v>1</v>
      </c>
      <c r="F17" s="802">
        <v>15.8</v>
      </c>
      <c r="G17" s="802">
        <v>0.38</v>
      </c>
      <c r="H17" s="802">
        <v>0.3</v>
      </c>
      <c r="I17" s="803">
        <f t="shared" si="0"/>
        <v>1.8</v>
      </c>
      <c r="J17" s="804"/>
    </row>
    <row r="18" spans="1:10" ht="19.149999999999999" customHeight="1">
      <c r="A18" s="796"/>
      <c r="B18" s="799" t="s">
        <v>4783</v>
      </c>
      <c r="C18" s="800">
        <v>1</v>
      </c>
      <c r="D18" s="800" t="s">
        <v>4377</v>
      </c>
      <c r="E18" s="801">
        <v>1</v>
      </c>
      <c r="F18" s="802">
        <v>17</v>
      </c>
      <c r="G18" s="802">
        <v>0.38</v>
      </c>
      <c r="H18" s="802">
        <v>0.3</v>
      </c>
      <c r="I18" s="803">
        <f t="shared" si="0"/>
        <v>1.94</v>
      </c>
      <c r="J18" s="804"/>
    </row>
    <row r="19" spans="1:10" ht="19.149999999999999" customHeight="1">
      <c r="A19" s="796"/>
      <c r="B19" s="799" t="s">
        <v>4968</v>
      </c>
      <c r="C19" s="800">
        <v>1</v>
      </c>
      <c r="D19" s="800" t="s">
        <v>4377</v>
      </c>
      <c r="E19" s="801">
        <v>2</v>
      </c>
      <c r="F19" s="802">
        <v>62.4</v>
      </c>
      <c r="G19" s="802">
        <v>0.38</v>
      </c>
      <c r="H19" s="802">
        <v>0.3</v>
      </c>
      <c r="I19" s="803">
        <f t="shared" si="0"/>
        <v>14.23</v>
      </c>
      <c r="J19" s="804"/>
    </row>
    <row r="20" spans="1:10" ht="19.149999999999999" customHeight="1">
      <c r="A20" s="796"/>
      <c r="B20" s="799" t="s">
        <v>4739</v>
      </c>
      <c r="C20" s="800">
        <v>1</v>
      </c>
      <c r="D20" s="800" t="s">
        <v>4377</v>
      </c>
      <c r="E20" s="801">
        <v>2</v>
      </c>
      <c r="F20" s="802">
        <v>1.2</v>
      </c>
      <c r="G20" s="802">
        <v>1.2</v>
      </c>
      <c r="H20" s="802">
        <v>1.5</v>
      </c>
      <c r="I20" s="803">
        <f t="shared" si="0"/>
        <v>4.32</v>
      </c>
      <c r="J20" s="804"/>
    </row>
    <row r="21" spans="1:10" ht="19.149999999999999" customHeight="1">
      <c r="A21" s="796"/>
      <c r="B21" s="799"/>
      <c r="C21" s="800"/>
      <c r="D21" s="800"/>
      <c r="E21" s="805"/>
      <c r="F21" s="802"/>
      <c r="G21" s="802"/>
      <c r="H21" s="802"/>
      <c r="I21" s="803">
        <v>7.0000000000000007E-2</v>
      </c>
      <c r="J21" s="804"/>
    </row>
    <row r="22" spans="1:10" ht="19.149999999999999" customHeight="1">
      <c r="A22" s="796"/>
      <c r="B22" s="798"/>
      <c r="C22" s="800"/>
      <c r="D22" s="800"/>
      <c r="E22" s="800"/>
      <c r="F22" s="802"/>
      <c r="G22" s="802"/>
      <c r="H22" s="806" t="s">
        <v>1827</v>
      </c>
      <c r="I22" s="807">
        <f>SUM(I14:I21)</f>
        <v>121.1</v>
      </c>
      <c r="J22" s="808" t="s">
        <v>1749</v>
      </c>
    </row>
    <row r="23" spans="1:10" ht="49.9" customHeight="1">
      <c r="A23" s="796">
        <v>2</v>
      </c>
      <c r="B23" s="1128" t="s">
        <v>4656</v>
      </c>
      <c r="C23" s="1129"/>
      <c r="D23" s="1129"/>
      <c r="E23" s="1129"/>
      <c r="F23" s="1129"/>
      <c r="G23" s="1129"/>
      <c r="H23" s="1130"/>
      <c r="I23" s="797"/>
      <c r="J23" s="798"/>
    </row>
    <row r="24" spans="1:10" ht="19.149999999999999" customHeight="1">
      <c r="A24" s="796"/>
      <c r="B24" s="799" t="s">
        <v>4667</v>
      </c>
      <c r="C24" s="800">
        <v>1</v>
      </c>
      <c r="D24" s="800" t="s">
        <v>4377</v>
      </c>
      <c r="E24" s="801">
        <v>4</v>
      </c>
      <c r="F24" s="802">
        <v>1.1000000000000001</v>
      </c>
      <c r="G24" s="802">
        <v>1.1000000000000001</v>
      </c>
      <c r="H24" s="802">
        <v>0.1</v>
      </c>
      <c r="I24" s="803">
        <f>ROUND(PRODUCT(C24:H24),2)</f>
        <v>0.48</v>
      </c>
      <c r="J24" s="804"/>
    </row>
    <row r="25" spans="1:10" ht="19.149999999999999" customHeight="1">
      <c r="A25" s="796"/>
      <c r="B25" s="799" t="s">
        <v>4781</v>
      </c>
      <c r="C25" s="800">
        <v>1</v>
      </c>
      <c r="D25" s="800" t="s">
        <v>4377</v>
      </c>
      <c r="E25" s="801">
        <v>8</v>
      </c>
      <c r="F25" s="802">
        <v>1.1000000000000001</v>
      </c>
      <c r="G25" s="802">
        <v>1.1000000000000001</v>
      </c>
      <c r="H25" s="802">
        <v>0.1</v>
      </c>
      <c r="I25" s="803">
        <f t="shared" ref="I25:I30" si="1">ROUND(PRODUCT(C25:H25),2)</f>
        <v>0.97</v>
      </c>
      <c r="J25" s="804"/>
    </row>
    <row r="26" spans="1:10" ht="19.149999999999999" customHeight="1">
      <c r="A26" s="796"/>
      <c r="B26" s="799" t="s">
        <v>4967</v>
      </c>
      <c r="C26" s="800">
        <v>2</v>
      </c>
      <c r="D26" s="800" t="s">
        <v>4377</v>
      </c>
      <c r="E26" s="801">
        <v>28</v>
      </c>
      <c r="F26" s="802">
        <v>1.1000000000000001</v>
      </c>
      <c r="G26" s="802">
        <v>1.1000000000000001</v>
      </c>
      <c r="H26" s="802">
        <v>0.1</v>
      </c>
      <c r="I26" s="803">
        <f t="shared" si="1"/>
        <v>6.78</v>
      </c>
      <c r="J26" s="804"/>
    </row>
    <row r="27" spans="1:10" ht="19.149999999999999" customHeight="1">
      <c r="A27" s="796"/>
      <c r="B27" s="799" t="s">
        <v>4782</v>
      </c>
      <c r="C27" s="800">
        <v>1</v>
      </c>
      <c r="D27" s="800" t="s">
        <v>4377</v>
      </c>
      <c r="E27" s="801">
        <v>1</v>
      </c>
      <c r="F27" s="802">
        <v>15.8</v>
      </c>
      <c r="G27" s="802">
        <v>0.38</v>
      </c>
      <c r="H27" s="802">
        <v>0.1</v>
      </c>
      <c r="I27" s="803">
        <f t="shared" si="1"/>
        <v>0.6</v>
      </c>
      <c r="J27" s="804"/>
    </row>
    <row r="28" spans="1:10" ht="19.149999999999999" customHeight="1">
      <c r="A28" s="796"/>
      <c r="B28" s="799" t="s">
        <v>4783</v>
      </c>
      <c r="C28" s="800">
        <v>1</v>
      </c>
      <c r="D28" s="800" t="s">
        <v>4377</v>
      </c>
      <c r="E28" s="801">
        <v>1</v>
      </c>
      <c r="F28" s="802">
        <v>1</v>
      </c>
      <c r="G28" s="802">
        <v>0.38</v>
      </c>
      <c r="H28" s="802">
        <v>0.1</v>
      </c>
      <c r="I28" s="803">
        <f t="shared" si="1"/>
        <v>0.04</v>
      </c>
      <c r="J28" s="804"/>
    </row>
    <row r="29" spans="1:10" ht="19.149999999999999" customHeight="1">
      <c r="A29" s="796"/>
      <c r="B29" s="799" t="s">
        <v>4968</v>
      </c>
      <c r="C29" s="800">
        <v>1</v>
      </c>
      <c r="D29" s="800" t="s">
        <v>4377</v>
      </c>
      <c r="E29" s="801">
        <v>2</v>
      </c>
      <c r="F29" s="802">
        <v>62.4</v>
      </c>
      <c r="G29" s="802">
        <v>0.38</v>
      </c>
      <c r="H29" s="802">
        <v>0.1</v>
      </c>
      <c r="I29" s="803">
        <f t="shared" si="1"/>
        <v>4.74</v>
      </c>
      <c r="J29" s="804"/>
    </row>
    <row r="30" spans="1:10" ht="19.149999999999999" customHeight="1">
      <c r="A30" s="796"/>
      <c r="B30" s="799" t="s">
        <v>4739</v>
      </c>
      <c r="C30" s="800">
        <v>1</v>
      </c>
      <c r="D30" s="800" t="s">
        <v>4377</v>
      </c>
      <c r="E30" s="801">
        <v>2</v>
      </c>
      <c r="F30" s="802">
        <v>1.2</v>
      </c>
      <c r="G30" s="802">
        <v>1.2</v>
      </c>
      <c r="H30" s="802">
        <v>0.1</v>
      </c>
      <c r="I30" s="803">
        <f t="shared" si="1"/>
        <v>0.28999999999999998</v>
      </c>
      <c r="J30" s="804"/>
    </row>
    <row r="31" spans="1:10" ht="19.149999999999999" customHeight="1">
      <c r="A31" s="796"/>
      <c r="B31" s="799" t="s">
        <v>1850</v>
      </c>
      <c r="C31" s="800"/>
      <c r="D31" s="800"/>
      <c r="E31" s="805"/>
      <c r="F31" s="802"/>
      <c r="G31" s="802"/>
      <c r="H31" s="802"/>
      <c r="I31" s="803">
        <v>0.1</v>
      </c>
      <c r="J31" s="804"/>
    </row>
    <row r="32" spans="1:10" ht="19.149999999999999" customHeight="1">
      <c r="A32" s="796"/>
      <c r="B32" s="798"/>
      <c r="C32" s="800"/>
      <c r="D32" s="800"/>
      <c r="E32" s="800"/>
      <c r="F32" s="809"/>
      <c r="G32" s="809"/>
      <c r="H32" s="806" t="s">
        <v>1827</v>
      </c>
      <c r="I32" s="807">
        <f>SUM(I24:I31)</f>
        <v>14</v>
      </c>
      <c r="J32" s="808" t="s">
        <v>1749</v>
      </c>
    </row>
    <row r="33" spans="1:12" ht="50.25" customHeight="1">
      <c r="A33" s="796">
        <v>3</v>
      </c>
      <c r="B33" s="1128" t="s">
        <v>4740</v>
      </c>
      <c r="C33" s="1129"/>
      <c r="D33" s="1129"/>
      <c r="E33" s="1129"/>
      <c r="F33" s="1129"/>
      <c r="G33" s="1129"/>
      <c r="H33" s="1130"/>
      <c r="I33" s="797"/>
      <c r="J33" s="798"/>
    </row>
    <row r="34" spans="1:12" ht="19.149999999999999" customHeight="1">
      <c r="A34" s="796"/>
      <c r="B34" s="810" t="s">
        <v>4741</v>
      </c>
      <c r="C34" s="800">
        <v>1</v>
      </c>
      <c r="D34" s="800" t="s">
        <v>4377</v>
      </c>
      <c r="E34" s="801">
        <v>68</v>
      </c>
      <c r="F34" s="802">
        <v>0.9</v>
      </c>
      <c r="G34" s="802">
        <v>0.9</v>
      </c>
      <c r="H34" s="802">
        <v>0.25</v>
      </c>
      <c r="I34" s="803">
        <f>ROUND(PRODUCT(C34:H34),2)</f>
        <v>13.77</v>
      </c>
      <c r="J34" s="804"/>
      <c r="L34" s="811"/>
    </row>
    <row r="35" spans="1:12" ht="19.149999999999999" customHeight="1">
      <c r="A35" s="796"/>
      <c r="B35" s="798" t="s">
        <v>4742</v>
      </c>
      <c r="C35" s="800">
        <v>2</v>
      </c>
      <c r="D35" s="800" t="s">
        <v>4377</v>
      </c>
      <c r="E35" s="801">
        <f>E27</f>
        <v>1</v>
      </c>
      <c r="F35" s="802">
        <v>1</v>
      </c>
      <c r="G35" s="802">
        <v>1</v>
      </c>
      <c r="H35" s="802">
        <v>0.3</v>
      </c>
      <c r="I35" s="803">
        <f t="shared" ref="I35:I40" si="2">ROUND(PRODUCT(C35:H35),2)</f>
        <v>0.6</v>
      </c>
      <c r="J35" s="804"/>
    </row>
    <row r="36" spans="1:12" ht="19.149999999999999" customHeight="1">
      <c r="A36" s="796"/>
      <c r="B36" s="799" t="s">
        <v>4661</v>
      </c>
      <c r="C36" s="800">
        <v>1</v>
      </c>
      <c r="D36" s="800" t="s">
        <v>4377</v>
      </c>
      <c r="E36" s="801">
        <v>2</v>
      </c>
      <c r="F36" s="802">
        <v>0.3</v>
      </c>
      <c r="G36" s="802">
        <v>0.3</v>
      </c>
      <c r="H36" s="802">
        <v>0.65</v>
      </c>
      <c r="I36" s="803">
        <f t="shared" si="2"/>
        <v>0.12</v>
      </c>
      <c r="J36" s="804"/>
    </row>
    <row r="37" spans="1:12" ht="19.149999999999999" customHeight="1">
      <c r="A37" s="796"/>
      <c r="B37" s="799" t="s">
        <v>3641</v>
      </c>
      <c r="C37" s="800">
        <v>1</v>
      </c>
      <c r="D37" s="800" t="s">
        <v>4377</v>
      </c>
      <c r="E37" s="801">
        <f>E34</f>
        <v>68</v>
      </c>
      <c r="F37" s="802">
        <v>0.23</v>
      </c>
      <c r="G37" s="802">
        <v>0.23</v>
      </c>
      <c r="H37" s="802">
        <v>0.4</v>
      </c>
      <c r="I37" s="803">
        <f t="shared" si="2"/>
        <v>1.44</v>
      </c>
      <c r="J37" s="804"/>
    </row>
    <row r="38" spans="1:12" ht="19.149999999999999" customHeight="1">
      <c r="A38" s="796"/>
      <c r="B38" s="799" t="s">
        <v>4782</v>
      </c>
      <c r="C38" s="800">
        <v>1</v>
      </c>
      <c r="D38" s="800" t="s">
        <v>4377</v>
      </c>
      <c r="E38" s="801">
        <v>1</v>
      </c>
      <c r="F38" s="802">
        <v>15.8</v>
      </c>
      <c r="G38" s="802">
        <v>0.23</v>
      </c>
      <c r="H38" s="802">
        <v>0.3</v>
      </c>
      <c r="I38" s="803">
        <f t="shared" si="2"/>
        <v>1.0900000000000001</v>
      </c>
      <c r="J38" s="804"/>
    </row>
    <row r="39" spans="1:12" ht="19.149999999999999" customHeight="1">
      <c r="A39" s="796"/>
      <c r="B39" s="799" t="s">
        <v>4968</v>
      </c>
      <c r="C39" s="800">
        <v>1</v>
      </c>
      <c r="D39" s="800" t="s">
        <v>4377</v>
      </c>
      <c r="E39" s="801">
        <v>2</v>
      </c>
      <c r="F39" s="802">
        <v>62.4</v>
      </c>
      <c r="G39" s="802">
        <v>0.23</v>
      </c>
      <c r="H39" s="802">
        <v>0.3</v>
      </c>
      <c r="I39" s="803">
        <f t="shared" si="2"/>
        <v>8.61</v>
      </c>
      <c r="J39" s="804"/>
    </row>
    <row r="40" spans="1:12" ht="18" customHeight="1">
      <c r="A40" s="796"/>
      <c r="B40" s="799" t="s">
        <v>4783</v>
      </c>
      <c r="C40" s="800">
        <v>1</v>
      </c>
      <c r="D40" s="800" t="s">
        <v>4377</v>
      </c>
      <c r="E40" s="801">
        <v>1</v>
      </c>
      <c r="F40" s="802">
        <v>17</v>
      </c>
      <c r="G40" s="802">
        <v>0.23</v>
      </c>
      <c r="H40" s="802">
        <v>0.3</v>
      </c>
      <c r="I40" s="803">
        <f t="shared" si="2"/>
        <v>1.17</v>
      </c>
      <c r="J40" s="804"/>
    </row>
    <row r="41" spans="1:12" ht="19.149999999999999" customHeight="1">
      <c r="A41" s="796"/>
      <c r="B41" s="799"/>
      <c r="C41" s="800"/>
      <c r="D41" s="800"/>
      <c r="E41" s="801"/>
      <c r="F41" s="802"/>
      <c r="G41" s="802"/>
      <c r="H41" s="802"/>
      <c r="I41" s="803">
        <v>0.2</v>
      </c>
      <c r="J41" s="804"/>
    </row>
    <row r="42" spans="1:12" ht="19.149999999999999" customHeight="1">
      <c r="A42" s="796"/>
      <c r="B42" s="798"/>
      <c r="C42" s="800"/>
      <c r="D42" s="800"/>
      <c r="E42" s="800"/>
      <c r="F42" s="809"/>
      <c r="G42" s="809"/>
      <c r="H42" s="806" t="s">
        <v>1827</v>
      </c>
      <c r="I42" s="807">
        <f>SUM(I34:I41)</f>
        <v>27</v>
      </c>
      <c r="J42" s="808" t="s">
        <v>1749</v>
      </c>
    </row>
    <row r="43" spans="1:12" ht="34.9" customHeight="1">
      <c r="A43" s="796">
        <v>4</v>
      </c>
      <c r="B43" s="1131" t="s">
        <v>4743</v>
      </c>
      <c r="C43" s="1132"/>
      <c r="D43" s="1132"/>
      <c r="E43" s="1132"/>
      <c r="F43" s="1132"/>
      <c r="G43" s="1132"/>
      <c r="H43" s="1133"/>
      <c r="I43" s="807"/>
      <c r="J43" s="808"/>
    </row>
    <row r="44" spans="1:12" ht="19.149999999999999" customHeight="1">
      <c r="A44" s="796"/>
      <c r="B44" s="799" t="s">
        <v>4661</v>
      </c>
      <c r="C44" s="800">
        <v>2</v>
      </c>
      <c r="D44" s="800" t="s">
        <v>4377</v>
      </c>
      <c r="E44" s="801">
        <f>E27</f>
        <v>1</v>
      </c>
      <c r="F44" s="802">
        <v>0.3</v>
      </c>
      <c r="G44" s="802">
        <v>0.3</v>
      </c>
      <c r="H44" s="802">
        <v>1.8</v>
      </c>
      <c r="I44" s="803">
        <f t="shared" ref="I44" si="3">ROUND(PRODUCT(C44:H44),2)</f>
        <v>0.32</v>
      </c>
      <c r="J44" s="804"/>
    </row>
    <row r="45" spans="1:12" ht="19.149999999999999" customHeight="1">
      <c r="A45" s="796"/>
      <c r="B45" s="799"/>
      <c r="C45" s="800"/>
      <c r="D45" s="800"/>
      <c r="E45" s="801"/>
      <c r="F45" s="802"/>
      <c r="G45" s="802"/>
      <c r="H45" s="802"/>
      <c r="I45" s="803">
        <v>0.08</v>
      </c>
      <c r="J45" s="804"/>
    </row>
    <row r="46" spans="1:12" ht="19.149999999999999" customHeight="1">
      <c r="A46" s="796"/>
      <c r="B46" s="798"/>
      <c r="C46" s="800"/>
      <c r="D46" s="800"/>
      <c r="E46" s="812"/>
      <c r="F46" s="809"/>
      <c r="G46" s="809"/>
      <c r="H46" s="806" t="s">
        <v>1827</v>
      </c>
      <c r="I46" s="807">
        <f>SUM(I44:I45)</f>
        <v>0.4</v>
      </c>
      <c r="J46" s="808" t="s">
        <v>1749</v>
      </c>
    </row>
    <row r="47" spans="1:12" ht="56.25" customHeight="1">
      <c r="A47" s="796">
        <v>5</v>
      </c>
      <c r="B47" s="1121" t="s">
        <v>4666</v>
      </c>
      <c r="C47" s="1122"/>
      <c r="D47" s="1122"/>
      <c r="E47" s="1122"/>
      <c r="F47" s="1122"/>
      <c r="G47" s="1122"/>
      <c r="H47" s="1123"/>
      <c r="I47" s="807"/>
      <c r="J47" s="808"/>
    </row>
    <row r="48" spans="1:12" ht="19.149999999999999" customHeight="1">
      <c r="A48" s="796"/>
      <c r="B48" s="799" t="s">
        <v>4667</v>
      </c>
      <c r="C48" s="800">
        <v>1</v>
      </c>
      <c r="D48" s="800" t="s">
        <v>4377</v>
      </c>
      <c r="E48" s="801">
        <v>1</v>
      </c>
      <c r="F48" s="802">
        <v>15.8</v>
      </c>
      <c r="G48" s="802">
        <v>0.23</v>
      </c>
      <c r="H48" s="802">
        <v>0.45</v>
      </c>
      <c r="I48" s="803">
        <f>ROUND(PRODUCT(C48:H48),2)</f>
        <v>1.64</v>
      </c>
      <c r="J48" s="804"/>
    </row>
    <row r="49" spans="1:13" ht="19.149999999999999" customHeight="1">
      <c r="A49" s="796"/>
      <c r="B49" s="799" t="s">
        <v>4784</v>
      </c>
      <c r="C49" s="800">
        <v>-1</v>
      </c>
      <c r="D49" s="800" t="s">
        <v>4377</v>
      </c>
      <c r="E49" s="801">
        <v>2</v>
      </c>
      <c r="F49" s="802">
        <v>0.3</v>
      </c>
      <c r="G49" s="802">
        <v>0.23</v>
      </c>
      <c r="H49" s="802">
        <v>0.45</v>
      </c>
      <c r="I49" s="803">
        <f t="shared" ref="I49:I52" si="4">ROUND(PRODUCT(C49:H49),2)</f>
        <v>-0.06</v>
      </c>
      <c r="J49" s="804"/>
    </row>
    <row r="50" spans="1:13" ht="19.149999999999999" customHeight="1">
      <c r="A50" s="796"/>
      <c r="B50" s="799" t="s">
        <v>4786</v>
      </c>
      <c r="C50" s="800">
        <v>-1</v>
      </c>
      <c r="D50" s="800" t="s">
        <v>4377</v>
      </c>
      <c r="E50" s="801">
        <v>1</v>
      </c>
      <c r="F50" s="802">
        <v>7.2</v>
      </c>
      <c r="G50" s="802">
        <v>0.23</v>
      </c>
      <c r="H50" s="802">
        <v>0.3</v>
      </c>
      <c r="I50" s="803">
        <f t="shared" si="4"/>
        <v>-0.5</v>
      </c>
      <c r="J50" s="804"/>
    </row>
    <row r="51" spans="1:13" ht="19.149999999999999" customHeight="1">
      <c r="A51" s="796"/>
      <c r="B51" s="799" t="s">
        <v>4967</v>
      </c>
      <c r="C51" s="800">
        <v>1</v>
      </c>
      <c r="D51" s="800" t="s">
        <v>4377</v>
      </c>
      <c r="E51" s="801">
        <v>2</v>
      </c>
      <c r="F51" s="802">
        <v>62.4</v>
      </c>
      <c r="G51" s="802">
        <v>0.23</v>
      </c>
      <c r="H51" s="802">
        <v>0.45</v>
      </c>
      <c r="I51" s="803">
        <f t="shared" si="4"/>
        <v>12.92</v>
      </c>
      <c r="J51" s="804"/>
    </row>
    <row r="52" spans="1:13" ht="19.149999999999999" customHeight="1">
      <c r="A52" s="796"/>
      <c r="B52" s="799" t="s">
        <v>4781</v>
      </c>
      <c r="C52" s="800">
        <v>1</v>
      </c>
      <c r="D52" s="800" t="s">
        <v>4377</v>
      </c>
      <c r="E52" s="801">
        <v>1</v>
      </c>
      <c r="F52" s="802">
        <v>17</v>
      </c>
      <c r="G52" s="802">
        <v>0.23</v>
      </c>
      <c r="H52" s="802">
        <v>0.45</v>
      </c>
      <c r="I52" s="803">
        <f t="shared" si="4"/>
        <v>1.76</v>
      </c>
      <c r="J52" s="804"/>
    </row>
    <row r="53" spans="1:13" ht="19.149999999999999" customHeight="1">
      <c r="A53" s="796"/>
      <c r="B53" s="813" t="s">
        <v>1850</v>
      </c>
      <c r="C53" s="800"/>
      <c r="D53" s="800"/>
      <c r="E53" s="800"/>
      <c r="F53" s="802"/>
      <c r="G53" s="809"/>
      <c r="H53" s="809"/>
      <c r="I53" s="803">
        <v>0.24</v>
      </c>
      <c r="J53" s="804"/>
    </row>
    <row r="54" spans="1:13" ht="19.149999999999999" customHeight="1">
      <c r="A54" s="796"/>
      <c r="B54" s="798"/>
      <c r="C54" s="800"/>
      <c r="D54" s="800"/>
      <c r="E54" s="800"/>
      <c r="F54" s="809"/>
      <c r="G54" s="809"/>
      <c r="H54" s="806" t="s">
        <v>1827</v>
      </c>
      <c r="I54" s="807">
        <f>SUM(I48:I53)</f>
        <v>16</v>
      </c>
      <c r="J54" s="808" t="s">
        <v>1749</v>
      </c>
    </row>
    <row r="55" spans="1:13" ht="34.9" customHeight="1">
      <c r="A55" s="796">
        <v>6</v>
      </c>
      <c r="B55" s="1128" t="s">
        <v>4744</v>
      </c>
      <c r="C55" s="1129"/>
      <c r="D55" s="1129"/>
      <c r="E55" s="1129"/>
      <c r="F55" s="1129"/>
      <c r="G55" s="1129"/>
      <c r="H55" s="1130"/>
      <c r="I55" s="803"/>
      <c r="J55" s="804"/>
      <c r="M55" s="814"/>
    </row>
    <row r="56" spans="1:13" ht="19.149999999999999" customHeight="1">
      <c r="A56" s="796"/>
      <c r="B56" s="815" t="s">
        <v>3971</v>
      </c>
      <c r="C56" s="800"/>
      <c r="D56" s="800"/>
      <c r="E56" s="800"/>
      <c r="F56" s="809"/>
      <c r="G56" s="809"/>
      <c r="H56" s="809"/>
      <c r="I56" s="797"/>
      <c r="J56" s="798"/>
    </row>
    <row r="57" spans="1:13" ht="19.149999999999999" customHeight="1">
      <c r="A57" s="796"/>
      <c r="B57" s="798" t="s">
        <v>4785</v>
      </c>
      <c r="C57" s="800">
        <v>1</v>
      </c>
      <c r="D57" s="800" t="s">
        <v>4377</v>
      </c>
      <c r="E57" s="816">
        <v>68</v>
      </c>
      <c r="F57" s="802">
        <v>0.23</v>
      </c>
      <c r="G57" s="802">
        <v>0.23</v>
      </c>
      <c r="H57" s="802">
        <v>1.5</v>
      </c>
      <c r="I57" s="803">
        <f t="shared" ref="I57" si="5">ROUND(PRODUCT(C57:H57),2)</f>
        <v>5.4</v>
      </c>
      <c r="J57" s="804"/>
    </row>
    <row r="58" spans="1:13" ht="19.149999999999999" customHeight="1">
      <c r="A58" s="796"/>
      <c r="B58" s="813" t="s">
        <v>1850</v>
      </c>
      <c r="C58" s="800"/>
      <c r="D58" s="800"/>
      <c r="E58" s="816"/>
      <c r="F58" s="802"/>
      <c r="G58" s="802"/>
      <c r="H58" s="802"/>
      <c r="I58" s="803">
        <v>0.1</v>
      </c>
      <c r="J58" s="804"/>
    </row>
    <row r="59" spans="1:13" ht="19.149999999999999" customHeight="1">
      <c r="A59" s="796"/>
      <c r="B59" s="798"/>
      <c r="C59" s="800"/>
      <c r="D59" s="800"/>
      <c r="E59" s="800"/>
      <c r="F59" s="809"/>
      <c r="G59" s="809"/>
      <c r="H59" s="806" t="s">
        <v>1827</v>
      </c>
      <c r="I59" s="807">
        <f>ROUND(SUM(I57:I58),2)</f>
        <v>5.5</v>
      </c>
      <c r="J59" s="808" t="s">
        <v>1749</v>
      </c>
    </row>
    <row r="60" spans="1:13" ht="34.9" customHeight="1">
      <c r="A60" s="796">
        <v>7</v>
      </c>
      <c r="B60" s="1128" t="s">
        <v>4380</v>
      </c>
      <c r="C60" s="1129"/>
      <c r="D60" s="1129"/>
      <c r="E60" s="1129"/>
      <c r="F60" s="1129"/>
      <c r="G60" s="1129"/>
      <c r="H60" s="1130"/>
      <c r="I60" s="803"/>
      <c r="J60" s="804"/>
      <c r="M60" s="814"/>
    </row>
    <row r="61" spans="1:13" ht="19.149999999999999" customHeight="1">
      <c r="A61" s="796"/>
      <c r="B61" s="815" t="s">
        <v>3971</v>
      </c>
      <c r="C61" s="800"/>
      <c r="D61" s="800"/>
      <c r="E61" s="800"/>
      <c r="F61" s="809"/>
      <c r="G61" s="809"/>
      <c r="H61" s="809"/>
      <c r="I61" s="797"/>
      <c r="J61" s="798"/>
    </row>
    <row r="62" spans="1:13" ht="19.149999999999999" customHeight="1">
      <c r="A62" s="796"/>
      <c r="B62" s="798" t="s">
        <v>4667</v>
      </c>
      <c r="C62" s="800">
        <v>1</v>
      </c>
      <c r="D62" s="800" t="s">
        <v>4377</v>
      </c>
      <c r="E62" s="816">
        <v>1</v>
      </c>
      <c r="F62" s="802">
        <v>15.8</v>
      </c>
      <c r="G62" s="872" t="s">
        <v>1288</v>
      </c>
      <c r="H62" s="802">
        <v>1.5</v>
      </c>
      <c r="I62" s="803">
        <f t="shared" ref="I62:I67" si="6">ROUND(PRODUCT(C62:H62),2)</f>
        <v>23.7</v>
      </c>
      <c r="J62" s="804"/>
    </row>
    <row r="63" spans="1:13" ht="19.149999999999999" customHeight="1">
      <c r="A63" s="796"/>
      <c r="B63" s="798" t="s">
        <v>4781</v>
      </c>
      <c r="C63" s="800">
        <v>1</v>
      </c>
      <c r="D63" s="800" t="s">
        <v>4377</v>
      </c>
      <c r="E63" s="816">
        <v>1</v>
      </c>
      <c r="F63" s="802">
        <v>17</v>
      </c>
      <c r="G63" s="872" t="s">
        <v>1288</v>
      </c>
      <c r="H63" s="802">
        <v>1.5</v>
      </c>
      <c r="I63" s="803">
        <f t="shared" si="6"/>
        <v>25.5</v>
      </c>
      <c r="J63" s="804"/>
    </row>
    <row r="64" spans="1:13" ht="19.149999999999999" customHeight="1">
      <c r="A64" s="796"/>
      <c r="B64" s="798" t="s">
        <v>4967</v>
      </c>
      <c r="C64" s="800">
        <v>1</v>
      </c>
      <c r="D64" s="800" t="s">
        <v>4377</v>
      </c>
      <c r="E64" s="816">
        <v>2</v>
      </c>
      <c r="F64" s="802">
        <v>62.4</v>
      </c>
      <c r="G64" s="872" t="s">
        <v>1288</v>
      </c>
      <c r="H64" s="802">
        <v>1.5</v>
      </c>
      <c r="I64" s="803">
        <f t="shared" si="6"/>
        <v>187.2</v>
      </c>
      <c r="J64" s="804"/>
    </row>
    <row r="65" spans="1:11" ht="19.149999999999999" customHeight="1">
      <c r="A65" s="796"/>
      <c r="B65" s="798" t="s">
        <v>4745</v>
      </c>
      <c r="C65" s="800">
        <v>-1</v>
      </c>
      <c r="D65" s="800" t="s">
        <v>4377</v>
      </c>
      <c r="E65" s="816">
        <v>12</v>
      </c>
      <c r="F65" s="802">
        <v>0.23</v>
      </c>
      <c r="G65" s="872" t="s">
        <v>1288</v>
      </c>
      <c r="H65" s="802">
        <v>1.5</v>
      </c>
      <c r="I65" s="803">
        <f t="shared" si="6"/>
        <v>-4.1399999999999997</v>
      </c>
      <c r="J65" s="804"/>
    </row>
    <row r="66" spans="1:11" ht="19.149999999999999" customHeight="1">
      <c r="A66" s="796"/>
      <c r="B66" s="798" t="s">
        <v>4787</v>
      </c>
      <c r="C66" s="800">
        <v>-1</v>
      </c>
      <c r="D66" s="800" t="s">
        <v>4377</v>
      </c>
      <c r="E66" s="816">
        <v>2</v>
      </c>
      <c r="F66" s="802">
        <v>0.3</v>
      </c>
      <c r="G66" s="872" t="s">
        <v>1288</v>
      </c>
      <c r="H66" s="802">
        <v>1.5</v>
      </c>
      <c r="I66" s="803">
        <f t="shared" si="6"/>
        <v>-0.9</v>
      </c>
      <c r="J66" s="804"/>
    </row>
    <row r="67" spans="1:11" ht="19.149999999999999" customHeight="1">
      <c r="A67" s="796"/>
      <c r="B67" s="798" t="s">
        <v>4788</v>
      </c>
      <c r="C67" s="800">
        <v>-1</v>
      </c>
      <c r="D67" s="800" t="s">
        <v>4377</v>
      </c>
      <c r="E67" s="816">
        <v>1</v>
      </c>
      <c r="F67" s="802">
        <v>7.2</v>
      </c>
      <c r="G67" s="872" t="s">
        <v>1288</v>
      </c>
      <c r="H67" s="802">
        <v>1.5</v>
      </c>
      <c r="I67" s="803">
        <f t="shared" si="6"/>
        <v>-10.8</v>
      </c>
      <c r="J67" s="804"/>
    </row>
    <row r="68" spans="1:11" ht="19.149999999999999" customHeight="1">
      <c r="A68" s="796"/>
      <c r="B68" s="813" t="s">
        <v>1850</v>
      </c>
      <c r="C68" s="800"/>
      <c r="D68" s="800"/>
      <c r="E68" s="816"/>
      <c r="F68" s="802"/>
      <c r="G68" s="802"/>
      <c r="H68" s="802"/>
      <c r="I68" s="803">
        <v>0.04</v>
      </c>
      <c r="J68" s="804"/>
    </row>
    <row r="69" spans="1:11" ht="19.149999999999999" customHeight="1">
      <c r="A69" s="796"/>
      <c r="B69" s="798"/>
      <c r="C69" s="800"/>
      <c r="D69" s="800"/>
      <c r="E69" s="800"/>
      <c r="F69" s="809"/>
      <c r="G69" s="809"/>
      <c r="H69" s="806" t="s">
        <v>1827</v>
      </c>
      <c r="I69" s="807">
        <f>ROUND(SUM(I62:I68),2)</f>
        <v>220.6</v>
      </c>
      <c r="J69" s="808" t="s">
        <v>1494</v>
      </c>
    </row>
    <row r="70" spans="1:11" ht="49.9" customHeight="1">
      <c r="A70" s="796">
        <v>8</v>
      </c>
      <c r="B70" s="1131" t="s">
        <v>4686</v>
      </c>
      <c r="C70" s="1132"/>
      <c r="D70" s="1132"/>
      <c r="E70" s="1132"/>
      <c r="F70" s="1132"/>
      <c r="G70" s="1132"/>
      <c r="H70" s="1133"/>
      <c r="I70" s="797"/>
      <c r="J70" s="798"/>
    </row>
    <row r="71" spans="1:11" ht="19.899999999999999" customHeight="1">
      <c r="A71" s="796"/>
      <c r="B71" s="799" t="s">
        <v>4746</v>
      </c>
      <c r="C71" s="800"/>
      <c r="D71" s="800"/>
      <c r="E71" s="800"/>
      <c r="F71" s="809"/>
      <c r="G71" s="802">
        <f>I42+I46</f>
        <v>27.4</v>
      </c>
      <c r="H71" s="809">
        <v>120</v>
      </c>
      <c r="I71" s="869">
        <f>H71*G71</f>
        <v>3288</v>
      </c>
      <c r="J71" s="804" t="s">
        <v>1341</v>
      </c>
      <c r="K71" s="817">
        <f>I42+I46</f>
        <v>27.4</v>
      </c>
    </row>
    <row r="72" spans="1:11" ht="19.149999999999999" customHeight="1">
      <c r="A72" s="818"/>
      <c r="B72" s="819"/>
      <c r="C72" s="812"/>
      <c r="D72" s="812"/>
      <c r="E72" s="812"/>
      <c r="F72" s="820"/>
      <c r="G72" s="820"/>
      <c r="H72" s="806" t="s">
        <v>1827</v>
      </c>
      <c r="I72" s="821">
        <f>ROUND(I71/1000,3)</f>
        <v>3.2879999999999998</v>
      </c>
      <c r="J72" s="822" t="s">
        <v>427</v>
      </c>
    </row>
    <row r="73" spans="1:11" ht="34.9" customHeight="1">
      <c r="A73" s="818">
        <v>9</v>
      </c>
      <c r="B73" s="1124" t="s">
        <v>4687</v>
      </c>
      <c r="C73" s="1125"/>
      <c r="D73" s="1125"/>
      <c r="E73" s="1125"/>
      <c r="F73" s="1125"/>
      <c r="G73" s="1125"/>
      <c r="H73" s="1126"/>
      <c r="I73" s="823"/>
      <c r="J73" s="824"/>
    </row>
    <row r="74" spans="1:11" ht="19.899999999999999" customHeight="1">
      <c r="A74" s="818"/>
      <c r="B74" s="824" t="s">
        <v>4747</v>
      </c>
      <c r="C74" s="812"/>
      <c r="D74" s="812"/>
      <c r="E74" s="812"/>
      <c r="F74" s="825"/>
      <c r="G74" s="806"/>
      <c r="H74" s="826"/>
      <c r="I74" s="823"/>
      <c r="J74" s="824"/>
    </row>
    <row r="75" spans="1:11" ht="19.899999999999999" customHeight="1">
      <c r="A75" s="818"/>
      <c r="B75" s="799" t="s">
        <v>4748</v>
      </c>
      <c r="C75" s="800">
        <v>1</v>
      </c>
      <c r="D75" s="800" t="s">
        <v>4377</v>
      </c>
      <c r="E75" s="801">
        <v>2</v>
      </c>
      <c r="F75" s="827">
        <v>1.2</v>
      </c>
      <c r="G75" s="827"/>
      <c r="H75" s="827">
        <v>0.65</v>
      </c>
      <c r="I75" s="803">
        <f t="shared" ref="I75:I77" si="7">ROUND(PRODUCT(C75:H75),2)</f>
        <v>1.56</v>
      </c>
      <c r="J75" s="804"/>
    </row>
    <row r="76" spans="1:11" ht="19.899999999999999" customHeight="1">
      <c r="A76" s="818"/>
      <c r="B76" s="799" t="s">
        <v>4748</v>
      </c>
      <c r="C76" s="800">
        <v>4</v>
      </c>
      <c r="D76" s="800" t="s">
        <v>4377</v>
      </c>
      <c r="E76" s="801">
        <v>2</v>
      </c>
      <c r="F76" s="827">
        <v>1.2</v>
      </c>
      <c r="G76" s="827"/>
      <c r="H76" s="827">
        <v>1.8</v>
      </c>
      <c r="I76" s="803">
        <f t="shared" si="7"/>
        <v>17.28</v>
      </c>
      <c r="J76" s="804"/>
    </row>
    <row r="77" spans="1:11" ht="19.899999999999999" customHeight="1">
      <c r="A77" s="818"/>
      <c r="B77" s="799" t="s">
        <v>4659</v>
      </c>
      <c r="C77" s="800">
        <v>1</v>
      </c>
      <c r="D77" s="800" t="s">
        <v>4377</v>
      </c>
      <c r="E77" s="801">
        <v>68</v>
      </c>
      <c r="F77" s="827">
        <v>0.92</v>
      </c>
      <c r="G77" s="827"/>
      <c r="H77" s="827">
        <v>0.4</v>
      </c>
      <c r="I77" s="803">
        <f t="shared" si="7"/>
        <v>25.02</v>
      </c>
      <c r="J77" s="804"/>
    </row>
    <row r="78" spans="1:11" ht="19.899999999999999" customHeight="1">
      <c r="A78" s="818"/>
      <c r="B78" s="819" t="s">
        <v>1850</v>
      </c>
      <c r="C78" s="800"/>
      <c r="D78" s="800"/>
      <c r="E78" s="801"/>
      <c r="F78" s="827"/>
      <c r="G78" s="827"/>
      <c r="H78" s="827"/>
      <c r="I78" s="828">
        <v>0.04</v>
      </c>
      <c r="J78" s="819"/>
    </row>
    <row r="79" spans="1:11" ht="19.899999999999999" customHeight="1">
      <c r="A79" s="818"/>
      <c r="B79" s="799"/>
      <c r="C79" s="800"/>
      <c r="D79" s="800"/>
      <c r="E79" s="801"/>
      <c r="F79" s="827"/>
      <c r="G79" s="827"/>
      <c r="H79" s="806" t="s">
        <v>1827</v>
      </c>
      <c r="I79" s="829">
        <f>SUM(I75:I78)</f>
        <v>43.9</v>
      </c>
      <c r="J79" s="830" t="s">
        <v>1861</v>
      </c>
    </row>
    <row r="80" spans="1:11" ht="19.899999999999999" customHeight="1">
      <c r="A80" s="818"/>
      <c r="B80" s="824" t="s">
        <v>4749</v>
      </c>
      <c r="C80" s="800"/>
      <c r="D80" s="800"/>
      <c r="E80" s="801"/>
      <c r="F80" s="827"/>
      <c r="G80" s="827"/>
      <c r="H80" s="827"/>
      <c r="I80" s="828"/>
      <c r="J80" s="819"/>
    </row>
    <row r="81" spans="1:10" ht="19.899999999999999" customHeight="1">
      <c r="A81" s="818"/>
      <c r="B81" s="799" t="s">
        <v>4750</v>
      </c>
      <c r="C81" s="800">
        <v>1</v>
      </c>
      <c r="D81" s="800" t="s">
        <v>4377</v>
      </c>
      <c r="E81" s="801">
        <v>68</v>
      </c>
      <c r="F81" s="827">
        <v>3.6</v>
      </c>
      <c r="G81" s="827"/>
      <c r="H81" s="827">
        <v>0.25</v>
      </c>
      <c r="I81" s="803">
        <f t="shared" ref="I81:I85" si="8">ROUND(PRODUCT(C81:H81),2)</f>
        <v>61.2</v>
      </c>
      <c r="J81" s="804"/>
    </row>
    <row r="82" spans="1:10" ht="19.899999999999999" customHeight="1">
      <c r="A82" s="818"/>
      <c r="B82" s="799" t="s">
        <v>4742</v>
      </c>
      <c r="C82" s="800">
        <v>1</v>
      </c>
      <c r="D82" s="800" t="s">
        <v>4377</v>
      </c>
      <c r="E82" s="801">
        <f>E75</f>
        <v>2</v>
      </c>
      <c r="F82" s="827">
        <v>4</v>
      </c>
      <c r="G82" s="827"/>
      <c r="H82" s="827">
        <v>0.3</v>
      </c>
      <c r="I82" s="803">
        <f t="shared" si="8"/>
        <v>2.4</v>
      </c>
      <c r="J82" s="804"/>
    </row>
    <row r="83" spans="1:10" ht="19.899999999999999" customHeight="1">
      <c r="A83" s="818"/>
      <c r="B83" s="799" t="s">
        <v>4789</v>
      </c>
      <c r="C83" s="800">
        <v>1</v>
      </c>
      <c r="D83" s="800" t="s">
        <v>4377</v>
      </c>
      <c r="E83" s="801">
        <v>2</v>
      </c>
      <c r="F83" s="827">
        <v>15.8</v>
      </c>
      <c r="G83" s="827"/>
      <c r="H83" s="827">
        <v>0.3</v>
      </c>
      <c r="I83" s="803">
        <f t="shared" si="8"/>
        <v>9.48</v>
      </c>
      <c r="J83" s="804"/>
    </row>
    <row r="84" spans="1:10" ht="19.899999999999999" customHeight="1">
      <c r="A84" s="818"/>
      <c r="B84" s="799" t="s">
        <v>4967</v>
      </c>
      <c r="C84" s="800">
        <v>2</v>
      </c>
      <c r="D84" s="800" t="s">
        <v>4377</v>
      </c>
      <c r="E84" s="801">
        <v>2</v>
      </c>
      <c r="F84" s="827">
        <v>62.4</v>
      </c>
      <c r="G84" s="827"/>
      <c r="H84" s="827">
        <v>0.3</v>
      </c>
      <c r="I84" s="803">
        <f t="shared" si="8"/>
        <v>74.88</v>
      </c>
      <c r="J84" s="804"/>
    </row>
    <row r="85" spans="1:10" ht="19.899999999999999" customHeight="1">
      <c r="A85" s="818"/>
      <c r="B85" s="799" t="s">
        <v>4790</v>
      </c>
      <c r="C85" s="800">
        <v>1</v>
      </c>
      <c r="D85" s="800" t="s">
        <v>4377</v>
      </c>
      <c r="E85" s="801">
        <v>2</v>
      </c>
      <c r="F85" s="827">
        <v>17</v>
      </c>
      <c r="G85" s="827"/>
      <c r="H85" s="827">
        <v>0.3</v>
      </c>
      <c r="I85" s="803">
        <f t="shared" si="8"/>
        <v>10.199999999999999</v>
      </c>
      <c r="J85" s="804"/>
    </row>
    <row r="86" spans="1:10" ht="19.899999999999999" customHeight="1">
      <c r="A86" s="818"/>
      <c r="B86" s="819" t="s">
        <v>1850</v>
      </c>
      <c r="C86" s="800"/>
      <c r="D86" s="800"/>
      <c r="E86" s="801"/>
      <c r="F86" s="827"/>
      <c r="G86" s="827"/>
      <c r="H86" s="827"/>
      <c r="I86" s="831">
        <v>0.04</v>
      </c>
      <c r="J86" s="832"/>
    </row>
    <row r="87" spans="1:10" ht="19.899999999999999" customHeight="1">
      <c r="A87" s="818"/>
      <c r="B87" s="819"/>
      <c r="C87" s="812"/>
      <c r="D87" s="812"/>
      <c r="E87" s="812"/>
      <c r="F87" s="825"/>
      <c r="G87" s="825"/>
      <c r="H87" s="806" t="s">
        <v>1827</v>
      </c>
      <c r="I87" s="829">
        <f>SUM(I81:I86)</f>
        <v>158.19999999999999</v>
      </c>
      <c r="J87" s="830" t="s">
        <v>1861</v>
      </c>
    </row>
    <row r="88" spans="1:10" ht="34.9" customHeight="1">
      <c r="A88" s="818">
        <v>10</v>
      </c>
      <c r="B88" s="1121" t="s">
        <v>4696</v>
      </c>
      <c r="C88" s="1122"/>
      <c r="D88" s="1122"/>
      <c r="E88" s="1122"/>
      <c r="F88" s="1122"/>
      <c r="G88" s="1122"/>
      <c r="H88" s="1123"/>
      <c r="I88" s="828"/>
      <c r="J88" s="819"/>
    </row>
    <row r="89" spans="1:10" ht="19.899999999999999" customHeight="1">
      <c r="A89" s="818"/>
      <c r="B89" s="798" t="s">
        <v>4793</v>
      </c>
      <c r="C89" s="800">
        <v>1</v>
      </c>
      <c r="D89" s="800" t="s">
        <v>4377</v>
      </c>
      <c r="E89" s="800">
        <v>1</v>
      </c>
      <c r="F89" s="802">
        <v>15.8</v>
      </c>
      <c r="G89" s="802"/>
      <c r="H89" s="802">
        <v>3.83</v>
      </c>
      <c r="I89" s="803">
        <f t="shared" ref="I89:I95" si="9">ROUND(PRODUCT(C89:H89),2)</f>
        <v>60.51</v>
      </c>
      <c r="J89" s="804"/>
    </row>
    <row r="90" spans="1:10" ht="19.899999999999999" customHeight="1">
      <c r="A90" s="818"/>
      <c r="B90" s="798" t="s">
        <v>4792</v>
      </c>
      <c r="C90" s="800">
        <v>1</v>
      </c>
      <c r="D90" s="800" t="s">
        <v>4377</v>
      </c>
      <c r="E90" s="800">
        <v>1</v>
      </c>
      <c r="F90" s="802">
        <v>17</v>
      </c>
      <c r="G90" s="802"/>
      <c r="H90" s="802">
        <v>3.83</v>
      </c>
      <c r="I90" s="803">
        <f t="shared" si="9"/>
        <v>65.11</v>
      </c>
      <c r="J90" s="804"/>
    </row>
    <row r="91" spans="1:10" ht="19.899999999999999" customHeight="1">
      <c r="A91" s="818"/>
      <c r="B91" s="798" t="s">
        <v>4967</v>
      </c>
      <c r="C91" s="800">
        <v>1</v>
      </c>
      <c r="D91" s="800" t="s">
        <v>4377</v>
      </c>
      <c r="E91" s="800">
        <v>2</v>
      </c>
      <c r="F91" s="802">
        <v>62.4</v>
      </c>
      <c r="G91" s="802"/>
      <c r="H91" s="802">
        <v>3.83</v>
      </c>
      <c r="I91" s="803">
        <f t="shared" si="9"/>
        <v>477.98</v>
      </c>
      <c r="J91" s="804"/>
    </row>
    <row r="92" spans="1:10" ht="19.899999999999999" customHeight="1">
      <c r="A92" s="818"/>
      <c r="B92" s="833" t="s">
        <v>4751</v>
      </c>
      <c r="C92" s="801">
        <v>68</v>
      </c>
      <c r="D92" s="800" t="s">
        <v>4377</v>
      </c>
      <c r="E92" s="801">
        <v>2</v>
      </c>
      <c r="F92" s="834">
        <v>0.12</v>
      </c>
      <c r="G92" s="834"/>
      <c r="H92" s="834">
        <v>1.5</v>
      </c>
      <c r="I92" s="803">
        <f t="shared" si="9"/>
        <v>24.48</v>
      </c>
      <c r="J92" s="804"/>
    </row>
    <row r="93" spans="1:10" ht="19.899999999999999" customHeight="1">
      <c r="A93" s="818"/>
      <c r="B93" s="833" t="s">
        <v>4794</v>
      </c>
      <c r="C93" s="801">
        <v>-1</v>
      </c>
      <c r="D93" s="800" t="s">
        <v>4377</v>
      </c>
      <c r="E93" s="801">
        <v>1</v>
      </c>
      <c r="F93" s="834">
        <v>7.2</v>
      </c>
      <c r="G93" s="834"/>
      <c r="H93" s="834">
        <v>1.8</v>
      </c>
      <c r="I93" s="803">
        <f t="shared" si="9"/>
        <v>-12.96</v>
      </c>
      <c r="J93" s="804"/>
    </row>
    <row r="94" spans="1:10" ht="19.899999999999999" customHeight="1">
      <c r="A94" s="818"/>
      <c r="B94" s="833" t="s">
        <v>4752</v>
      </c>
      <c r="C94" s="801">
        <v>1</v>
      </c>
      <c r="D94" s="800" t="s">
        <v>4377</v>
      </c>
      <c r="E94" s="801">
        <v>2</v>
      </c>
      <c r="F94" s="834">
        <v>0.3</v>
      </c>
      <c r="G94" s="834"/>
      <c r="H94" s="834">
        <v>2.1</v>
      </c>
      <c r="I94" s="803">
        <f t="shared" si="9"/>
        <v>1.26</v>
      </c>
      <c r="J94" s="804"/>
    </row>
    <row r="95" spans="1:10" ht="19.899999999999999" customHeight="1">
      <c r="A95" s="818"/>
      <c r="B95" s="833" t="s">
        <v>4753</v>
      </c>
      <c r="C95" s="801">
        <v>1</v>
      </c>
      <c r="D95" s="800" t="s">
        <v>4377</v>
      </c>
      <c r="E95" s="801">
        <v>2</v>
      </c>
      <c r="F95" s="834">
        <v>0.3</v>
      </c>
      <c r="G95" s="834">
        <v>0.3</v>
      </c>
      <c r="H95" s="834"/>
      <c r="I95" s="803">
        <f t="shared" si="9"/>
        <v>0.18</v>
      </c>
      <c r="J95" s="804"/>
    </row>
    <row r="96" spans="1:10" ht="19.899999999999999" customHeight="1">
      <c r="A96" s="818"/>
      <c r="B96" s="799" t="s">
        <v>1869</v>
      </c>
      <c r="C96" s="801"/>
      <c r="D96" s="800"/>
      <c r="E96" s="801"/>
      <c r="F96" s="834"/>
      <c r="G96" s="834"/>
      <c r="H96" s="834"/>
      <c r="I96" s="803">
        <v>0.04</v>
      </c>
      <c r="J96" s="804"/>
    </row>
    <row r="97" spans="1:10" ht="19.899999999999999" customHeight="1">
      <c r="A97" s="818"/>
      <c r="B97" s="819"/>
      <c r="C97" s="812"/>
      <c r="D97" s="812"/>
      <c r="E97" s="812"/>
      <c r="F97" s="825"/>
      <c r="G97" s="825"/>
      <c r="H97" s="826" t="s">
        <v>1827</v>
      </c>
      <c r="I97" s="829">
        <f>SUM(I89:I96)</f>
        <v>616.6</v>
      </c>
      <c r="J97" s="830" t="s">
        <v>1861</v>
      </c>
    </row>
    <row r="98" spans="1:10" ht="34.9" customHeight="1">
      <c r="A98" s="818">
        <v>11</v>
      </c>
      <c r="B98" s="1121" t="s">
        <v>4709</v>
      </c>
      <c r="C98" s="1122"/>
      <c r="D98" s="1122"/>
      <c r="E98" s="1122"/>
      <c r="F98" s="1122"/>
      <c r="G98" s="1122"/>
      <c r="H98" s="1123"/>
      <c r="I98" s="828"/>
      <c r="J98" s="819"/>
    </row>
    <row r="99" spans="1:10" ht="19.149999999999999" customHeight="1">
      <c r="A99" s="818"/>
      <c r="B99" s="835" t="s">
        <v>4710</v>
      </c>
      <c r="C99" s="812"/>
      <c r="D99" s="812"/>
      <c r="E99" s="812"/>
      <c r="F99" s="825"/>
      <c r="G99" s="825"/>
      <c r="H99" s="825"/>
      <c r="I99" s="828"/>
      <c r="J99" s="819"/>
    </row>
    <row r="100" spans="1:10" ht="19.149999999999999" customHeight="1">
      <c r="A100" s="796"/>
      <c r="B100" s="799" t="s">
        <v>4667</v>
      </c>
      <c r="C100" s="800">
        <v>1</v>
      </c>
      <c r="D100" s="800" t="s">
        <v>4377</v>
      </c>
      <c r="E100" s="801">
        <v>1</v>
      </c>
      <c r="F100" s="802">
        <v>15.8</v>
      </c>
      <c r="G100" s="802"/>
      <c r="H100" s="802"/>
      <c r="I100" s="803">
        <f t="shared" ref="I100:I103" si="10">ROUND(PRODUCT(C100:H100),2)</f>
        <v>15.8</v>
      </c>
      <c r="J100" s="804"/>
    </row>
    <row r="101" spans="1:10" ht="19.149999999999999" customHeight="1">
      <c r="A101" s="796"/>
      <c r="B101" s="799" t="s">
        <v>4967</v>
      </c>
      <c r="C101" s="800">
        <v>1</v>
      </c>
      <c r="D101" s="800" t="s">
        <v>4377</v>
      </c>
      <c r="E101" s="801">
        <v>2</v>
      </c>
      <c r="F101" s="802">
        <v>62.4</v>
      </c>
      <c r="G101" s="802"/>
      <c r="H101" s="802"/>
      <c r="I101" s="803">
        <f t="shared" si="10"/>
        <v>124.8</v>
      </c>
      <c r="J101" s="804"/>
    </row>
    <row r="102" spans="1:10" ht="19.149999999999999" customHeight="1">
      <c r="A102" s="796"/>
      <c r="B102" s="799" t="s">
        <v>4807</v>
      </c>
      <c r="C102" s="800">
        <v>1</v>
      </c>
      <c r="D102" s="800" t="s">
        <v>4377</v>
      </c>
      <c r="E102" s="801">
        <v>1</v>
      </c>
      <c r="F102" s="802">
        <v>17</v>
      </c>
      <c r="G102" s="802"/>
      <c r="H102" s="802"/>
      <c r="I102" s="803">
        <f t="shared" si="10"/>
        <v>17</v>
      </c>
      <c r="J102" s="804"/>
    </row>
    <row r="103" spans="1:10" ht="19.149999999999999" customHeight="1">
      <c r="A103" s="796"/>
      <c r="B103" s="799" t="s">
        <v>4739</v>
      </c>
      <c r="C103" s="800">
        <v>1</v>
      </c>
      <c r="D103" s="800" t="s">
        <v>4377</v>
      </c>
      <c r="E103" s="801">
        <v>2</v>
      </c>
      <c r="F103" s="802">
        <v>1.2</v>
      </c>
      <c r="G103" s="802"/>
      <c r="H103" s="802"/>
      <c r="I103" s="803">
        <f t="shared" si="10"/>
        <v>2.4</v>
      </c>
      <c r="J103" s="804"/>
    </row>
    <row r="104" spans="1:10" ht="19.149999999999999" customHeight="1">
      <c r="A104" s="796"/>
      <c r="B104" s="799"/>
      <c r="C104" s="800"/>
      <c r="D104" s="800"/>
      <c r="E104" s="801"/>
      <c r="F104" s="802"/>
      <c r="G104" s="802"/>
      <c r="H104" s="802"/>
      <c r="I104" s="803"/>
      <c r="J104" s="804"/>
    </row>
    <row r="105" spans="1:10" ht="19.149999999999999" customHeight="1">
      <c r="A105" s="796"/>
      <c r="B105" s="799"/>
      <c r="C105" s="800"/>
      <c r="D105" s="800"/>
      <c r="E105" s="801"/>
      <c r="F105" s="802"/>
      <c r="G105" s="809"/>
      <c r="H105" s="826" t="s">
        <v>1827</v>
      </c>
      <c r="I105" s="807">
        <f>SUM(I100:I104)</f>
        <v>160</v>
      </c>
      <c r="J105" s="808" t="s">
        <v>669</v>
      </c>
    </row>
    <row r="106" spans="1:10" ht="19.149999999999999" customHeight="1">
      <c r="A106" s="796"/>
      <c r="B106" s="836" t="s">
        <v>4716</v>
      </c>
      <c r="C106" s="800"/>
      <c r="D106" s="800"/>
      <c r="E106" s="801"/>
      <c r="F106" s="802"/>
      <c r="G106" s="809"/>
      <c r="H106" s="802"/>
      <c r="I106" s="803"/>
      <c r="J106" s="804"/>
    </row>
    <row r="107" spans="1:10" ht="19.149999999999999" customHeight="1">
      <c r="A107" s="796"/>
      <c r="B107" s="799" t="s">
        <v>4754</v>
      </c>
      <c r="C107" s="800">
        <v>1</v>
      </c>
      <c r="D107" s="800" t="s">
        <v>4377</v>
      </c>
      <c r="E107" s="801">
        <v>1</v>
      </c>
      <c r="F107" s="802">
        <f>F100</f>
        <v>15.8</v>
      </c>
      <c r="G107" s="802"/>
      <c r="H107" s="802"/>
      <c r="I107" s="803">
        <f t="shared" ref="I107:I110" si="11">ROUND(PRODUCT(C107:H107),2)</f>
        <v>15.8</v>
      </c>
      <c r="J107" s="804"/>
    </row>
    <row r="108" spans="1:10" ht="19.149999999999999" customHeight="1">
      <c r="A108" s="796"/>
      <c r="B108" s="799" t="s">
        <v>4967</v>
      </c>
      <c r="C108" s="800">
        <v>1</v>
      </c>
      <c r="D108" s="800" t="s">
        <v>4377</v>
      </c>
      <c r="E108" s="801">
        <v>2</v>
      </c>
      <c r="F108" s="802">
        <v>62.4</v>
      </c>
      <c r="G108" s="802"/>
      <c r="H108" s="802"/>
      <c r="I108" s="803">
        <f t="shared" si="11"/>
        <v>124.8</v>
      </c>
      <c r="J108" s="804"/>
    </row>
    <row r="109" spans="1:10" ht="19.149999999999999" customHeight="1">
      <c r="A109" s="796"/>
      <c r="B109" s="799" t="s">
        <v>4807</v>
      </c>
      <c r="C109" s="800">
        <v>1</v>
      </c>
      <c r="D109" s="800" t="s">
        <v>4377</v>
      </c>
      <c r="E109" s="801">
        <v>1</v>
      </c>
      <c r="F109" s="802">
        <v>17</v>
      </c>
      <c r="G109" s="802"/>
      <c r="H109" s="802"/>
      <c r="I109" s="803">
        <f t="shared" si="11"/>
        <v>17</v>
      </c>
      <c r="J109" s="804"/>
    </row>
    <row r="110" spans="1:10" ht="19.149999999999999" customHeight="1">
      <c r="A110" s="796"/>
      <c r="B110" s="799" t="s">
        <v>4755</v>
      </c>
      <c r="C110" s="800">
        <v>1</v>
      </c>
      <c r="D110" s="800" t="s">
        <v>4377</v>
      </c>
      <c r="E110" s="801">
        <v>2</v>
      </c>
      <c r="F110" s="802">
        <v>1.2</v>
      </c>
      <c r="G110" s="802"/>
      <c r="H110" s="802"/>
      <c r="I110" s="803">
        <f t="shared" si="11"/>
        <v>2.4</v>
      </c>
      <c r="J110" s="804"/>
    </row>
    <row r="111" spans="1:10" ht="19.149999999999999" customHeight="1">
      <c r="A111" s="796"/>
      <c r="B111" s="799"/>
      <c r="C111" s="800"/>
      <c r="D111" s="800"/>
      <c r="E111" s="801"/>
      <c r="F111" s="802"/>
      <c r="G111" s="802"/>
      <c r="H111" s="802"/>
      <c r="I111" s="803"/>
      <c r="J111" s="804"/>
    </row>
    <row r="112" spans="1:10" ht="19.149999999999999" customHeight="1">
      <c r="A112" s="818"/>
      <c r="B112" s="819"/>
      <c r="C112" s="812"/>
      <c r="D112" s="812"/>
      <c r="E112" s="812"/>
      <c r="F112" s="825"/>
      <c r="G112" s="825"/>
      <c r="H112" s="826" t="s">
        <v>1827</v>
      </c>
      <c r="I112" s="807">
        <f>SUM(I107:I111)</f>
        <v>160</v>
      </c>
      <c r="J112" s="808" t="s">
        <v>669</v>
      </c>
    </row>
    <row r="113" spans="1:11" ht="19.149999999999999" customHeight="1">
      <c r="A113" s="818">
        <v>12</v>
      </c>
      <c r="B113" s="813" t="s">
        <v>4756</v>
      </c>
      <c r="C113" s="812"/>
      <c r="D113" s="812"/>
      <c r="E113" s="812"/>
      <c r="F113" s="825"/>
      <c r="G113" s="825"/>
      <c r="H113" s="825"/>
      <c r="I113" s="828"/>
      <c r="J113" s="819"/>
    </row>
    <row r="114" spans="1:11" s="837" customFormat="1" ht="19.149999999999999" customHeight="1">
      <c r="A114" s="818"/>
      <c r="B114" s="833" t="s">
        <v>4718</v>
      </c>
      <c r="C114" s="812"/>
      <c r="D114" s="812"/>
      <c r="E114" s="812"/>
      <c r="F114" s="825"/>
      <c r="G114" s="825"/>
      <c r="H114" s="825"/>
      <c r="I114" s="829">
        <f>I97</f>
        <v>616.6</v>
      </c>
      <c r="J114" s="830" t="s">
        <v>1861</v>
      </c>
    </row>
    <row r="115" spans="1:11" ht="34.9" customHeight="1">
      <c r="A115" s="818">
        <v>13</v>
      </c>
      <c r="B115" s="1124" t="s">
        <v>4757</v>
      </c>
      <c r="C115" s="1125"/>
      <c r="D115" s="1125"/>
      <c r="E115" s="1125"/>
      <c r="F115" s="1125"/>
      <c r="G115" s="1125"/>
      <c r="H115" s="1126"/>
      <c r="I115" s="831"/>
      <c r="J115" s="832"/>
    </row>
    <row r="116" spans="1:11" ht="19.149999999999999" customHeight="1">
      <c r="A116" s="818"/>
      <c r="B116" s="833" t="s">
        <v>4758</v>
      </c>
      <c r="C116" s="801">
        <v>1</v>
      </c>
      <c r="D116" s="816" t="s">
        <v>4377</v>
      </c>
      <c r="E116" s="801">
        <v>1</v>
      </c>
      <c r="F116" s="834">
        <v>7.2</v>
      </c>
      <c r="G116" s="834"/>
      <c r="H116" s="834">
        <v>1.65</v>
      </c>
      <c r="I116" s="803">
        <f t="shared" ref="I116" si="12">ROUND(PRODUCT(C116:H116),2)</f>
        <v>11.88</v>
      </c>
      <c r="J116" s="804"/>
    </row>
    <row r="117" spans="1:11" ht="19.149999999999999" customHeight="1">
      <c r="A117" s="818"/>
      <c r="B117" s="833"/>
      <c r="C117" s="801"/>
      <c r="D117" s="816"/>
      <c r="E117" s="801"/>
      <c r="F117" s="834"/>
      <c r="G117" s="834"/>
      <c r="H117" s="825" t="s">
        <v>1827</v>
      </c>
      <c r="I117" s="831">
        <f>SUM(I116)</f>
        <v>11.88</v>
      </c>
      <c r="J117" s="832" t="s">
        <v>1861</v>
      </c>
    </row>
    <row r="118" spans="1:11" ht="19.149999999999999" customHeight="1">
      <c r="A118" s="818"/>
      <c r="B118" s="833" t="s">
        <v>4791</v>
      </c>
      <c r="C118" s="812"/>
      <c r="D118" s="812"/>
      <c r="E118" s="812"/>
      <c r="F118" s="825"/>
      <c r="G118" s="825"/>
      <c r="H118" s="826" t="s">
        <v>2560</v>
      </c>
      <c r="I118" s="829">
        <f>I117*50</f>
        <v>594</v>
      </c>
      <c r="J118" s="830" t="s">
        <v>1341</v>
      </c>
      <c r="K118" s="817">
        <f>I116</f>
        <v>11.88</v>
      </c>
    </row>
    <row r="119" spans="1:11" ht="34.9" customHeight="1">
      <c r="A119" s="818">
        <v>14</v>
      </c>
      <c r="B119" s="1121" t="s">
        <v>4759</v>
      </c>
      <c r="C119" s="1122"/>
      <c r="D119" s="1122"/>
      <c r="E119" s="1122"/>
      <c r="F119" s="1122"/>
      <c r="G119" s="1122"/>
      <c r="H119" s="1123"/>
      <c r="I119" s="831"/>
      <c r="J119" s="832"/>
    </row>
    <row r="120" spans="1:11" ht="19.149999999999999" customHeight="1">
      <c r="A120" s="818"/>
      <c r="B120" s="833" t="s">
        <v>4760</v>
      </c>
      <c r="C120" s="801">
        <v>1</v>
      </c>
      <c r="D120" s="816" t="s">
        <v>4377</v>
      </c>
      <c r="E120" s="801">
        <v>1</v>
      </c>
      <c r="F120" s="834">
        <f>F116</f>
        <v>7.2</v>
      </c>
      <c r="G120" s="834">
        <v>1</v>
      </c>
      <c r="H120" s="834">
        <f>H116</f>
        <v>1.65</v>
      </c>
      <c r="I120" s="803">
        <f t="shared" ref="I120" si="13">ROUND(PRODUCT(C120:H120),2)</f>
        <v>11.88</v>
      </c>
      <c r="J120" s="804"/>
    </row>
    <row r="121" spans="1:11" ht="19.149999999999999" customHeight="1">
      <c r="A121" s="818"/>
      <c r="B121" s="833"/>
      <c r="C121" s="801"/>
      <c r="D121" s="816"/>
      <c r="E121" s="801"/>
      <c r="F121" s="834"/>
      <c r="G121" s="834"/>
      <c r="H121" s="834"/>
      <c r="I121" s="803">
        <v>0.02</v>
      </c>
      <c r="J121" s="804"/>
    </row>
    <row r="122" spans="1:11" ht="19.149999999999999" customHeight="1">
      <c r="A122" s="818"/>
      <c r="B122" s="833"/>
      <c r="C122" s="801"/>
      <c r="D122" s="816"/>
      <c r="E122" s="801"/>
      <c r="F122" s="825"/>
      <c r="G122" s="825"/>
      <c r="H122" s="826" t="s">
        <v>1827</v>
      </c>
      <c r="I122" s="829">
        <f>SUM(I120:I121)</f>
        <v>11.9</v>
      </c>
      <c r="J122" s="830" t="s">
        <v>1861</v>
      </c>
    </row>
    <row r="123" spans="1:11" ht="19.149999999999999" customHeight="1">
      <c r="A123" s="818"/>
      <c r="B123" s="833"/>
      <c r="C123" s="801"/>
      <c r="D123" s="816"/>
      <c r="E123" s="801"/>
      <c r="F123" s="825"/>
      <c r="G123" s="825"/>
      <c r="H123" s="826"/>
      <c r="I123" s="838"/>
      <c r="J123" s="830"/>
    </row>
    <row r="124" spans="1:11" s="839" customFormat="1" ht="25.15" hidden="1" customHeight="1">
      <c r="A124" s="818">
        <v>14</v>
      </c>
      <c r="B124" s="1116" t="s">
        <v>4761</v>
      </c>
      <c r="C124" s="1117"/>
      <c r="D124" s="1117"/>
      <c r="E124" s="1117"/>
      <c r="F124" s="1117"/>
      <c r="G124" s="1117"/>
      <c r="H124" s="1118"/>
      <c r="I124" s="1119" t="s">
        <v>358</v>
      </c>
      <c r="J124" s="1120"/>
    </row>
    <row r="125" spans="1:11" s="839" customFormat="1" ht="25.15" hidden="1" customHeight="1">
      <c r="A125" s="818">
        <v>15</v>
      </c>
      <c r="B125" s="1116" t="s">
        <v>4762</v>
      </c>
      <c r="C125" s="1117"/>
      <c r="D125" s="1117"/>
      <c r="E125" s="1117"/>
      <c r="F125" s="1117"/>
      <c r="G125" s="1117"/>
      <c r="H125" s="1118"/>
      <c r="I125" s="1119" t="s">
        <v>358</v>
      </c>
      <c r="J125" s="1120"/>
    </row>
    <row r="126" spans="1:11" s="839" customFormat="1" ht="25.15" hidden="1" customHeight="1">
      <c r="A126" s="818">
        <v>16</v>
      </c>
      <c r="B126" s="1116" t="s">
        <v>4763</v>
      </c>
      <c r="C126" s="1117"/>
      <c r="D126" s="1117"/>
      <c r="E126" s="1117"/>
      <c r="F126" s="1117"/>
      <c r="G126" s="1117"/>
      <c r="H126" s="1118"/>
      <c r="I126" s="1119" t="s">
        <v>358</v>
      </c>
      <c r="J126" s="1120"/>
    </row>
    <row r="127" spans="1:11" s="839" customFormat="1" ht="25.15" hidden="1" customHeight="1">
      <c r="A127" s="818">
        <v>17</v>
      </c>
      <c r="B127" s="1116" t="s">
        <v>4764</v>
      </c>
      <c r="C127" s="1117"/>
      <c r="D127" s="1117"/>
      <c r="E127" s="1117"/>
      <c r="F127" s="1117"/>
      <c r="G127" s="1117"/>
      <c r="H127" s="1118"/>
      <c r="I127" s="1119" t="s">
        <v>358</v>
      </c>
      <c r="J127" s="1120"/>
    </row>
    <row r="128" spans="1:11" ht="35.1" customHeight="1">
      <c r="A128" s="840"/>
      <c r="B128" s="841"/>
      <c r="C128" s="842"/>
      <c r="D128" s="842"/>
      <c r="E128" s="842"/>
      <c r="F128" s="842"/>
      <c r="G128" s="842"/>
      <c r="H128" s="842"/>
      <c r="I128" s="842"/>
      <c r="J128" s="843"/>
    </row>
    <row r="129" spans="1:10" ht="35.1" customHeight="1">
      <c r="A129" s="840"/>
      <c r="B129" s="841"/>
      <c r="C129" s="842"/>
      <c r="D129" s="842"/>
      <c r="E129" s="842"/>
      <c r="F129" s="842"/>
      <c r="G129" s="842"/>
      <c r="H129" s="842"/>
      <c r="I129" s="842"/>
      <c r="J129" s="843"/>
    </row>
  </sheetData>
  <mergeCells count="30">
    <mergeCell ref="A10:I10"/>
    <mergeCell ref="A1:I1"/>
    <mergeCell ref="A3:I4"/>
    <mergeCell ref="C6:H6"/>
    <mergeCell ref="B8:H8"/>
    <mergeCell ref="C9:H9"/>
    <mergeCell ref="C7:H7"/>
    <mergeCell ref="B88:H88"/>
    <mergeCell ref="C11:E11"/>
    <mergeCell ref="C12:E12"/>
    <mergeCell ref="B13:H13"/>
    <mergeCell ref="B23:H23"/>
    <mergeCell ref="B33:H33"/>
    <mergeCell ref="B43:H43"/>
    <mergeCell ref="B47:H47"/>
    <mergeCell ref="B55:H55"/>
    <mergeCell ref="B60:H60"/>
    <mergeCell ref="B70:H70"/>
    <mergeCell ref="B73:H73"/>
    <mergeCell ref="B126:H126"/>
    <mergeCell ref="I126:J126"/>
    <mergeCell ref="B127:H127"/>
    <mergeCell ref="I127:J127"/>
    <mergeCell ref="B98:H98"/>
    <mergeCell ref="B115:H115"/>
    <mergeCell ref="B119:H119"/>
    <mergeCell ref="B124:H124"/>
    <mergeCell ref="I124:J124"/>
    <mergeCell ref="B125:H125"/>
    <mergeCell ref="I125:J125"/>
  </mergeCells>
  <pageMargins left="0.7" right="0.7" top="1" bottom="0.7" header="0" footer="0"/>
  <pageSetup paperSize="9" orientation="portrait" r:id="rId1"/>
  <headerFooter>
    <oddHeader>Page &amp;P</oddHeader>
  </headerFooter>
</worksheet>
</file>

<file path=xl/worksheets/sheet14.xml><?xml version="1.0" encoding="utf-8"?>
<worksheet xmlns="http://schemas.openxmlformats.org/spreadsheetml/2006/main" xmlns:r="http://schemas.openxmlformats.org/officeDocument/2006/relationships">
  <sheetPr>
    <tabColor rgb="FF00B0F0"/>
  </sheetPr>
  <dimension ref="A1:O1132"/>
  <sheetViews>
    <sheetView view="pageBreakPreview" topLeftCell="A34" zoomScale="90" zoomScaleSheetLayoutView="90" workbookViewId="0">
      <selection activeCell="E88" sqref="E88"/>
    </sheetView>
  </sheetViews>
  <sheetFormatPr defaultColWidth="8.88671875" defaultRowHeight="15.75"/>
  <cols>
    <col min="1" max="1" width="4.109375" style="571" customWidth="1"/>
    <col min="2" max="2" width="33.109375" style="572" customWidth="1"/>
    <col min="3" max="4" width="4" style="570" customWidth="1"/>
    <col min="5" max="8" width="7.88671875" style="573" customWidth="1"/>
    <col min="9" max="29" width="8.88671875" style="542"/>
    <col min="30" max="31" width="0" style="542" hidden="1" customWidth="1"/>
    <col min="32" max="16384" width="8.88671875" style="542"/>
  </cols>
  <sheetData>
    <row r="1" spans="1:14" s="541" customFormat="1" ht="22.15" customHeight="1">
      <c r="A1" s="1144" t="s">
        <v>4384</v>
      </c>
      <c r="B1" s="1144"/>
      <c r="C1" s="1144"/>
      <c r="D1" s="1144"/>
      <c r="E1" s="1144"/>
      <c r="F1" s="1144"/>
      <c r="G1" s="1144"/>
      <c r="H1" s="1144"/>
    </row>
    <row r="2" spans="1:14" s="541" customFormat="1" ht="58.15" customHeight="1">
      <c r="A2" s="1145" t="str">
        <f>'DETAILED-C.WALL'!A3</f>
        <v>Name of work:  Construction of Urban Police Station Building at Nachiyarkoil in Thanjavur District under Announcement made by the Hon’ble Chief Minister for the year 2023 - 2024</v>
      </c>
      <c r="B2" s="1145"/>
      <c r="C2" s="1145"/>
      <c r="D2" s="1145"/>
      <c r="E2" s="1145"/>
      <c r="F2" s="1145"/>
      <c r="G2" s="1145"/>
      <c r="H2" s="1145"/>
    </row>
    <row r="3" spans="1:14" s="541" customFormat="1" ht="19.899999999999999" customHeight="1">
      <c r="A3" s="1146" t="s">
        <v>4385</v>
      </c>
      <c r="B3" s="1146"/>
      <c r="C3" s="1146"/>
      <c r="D3" s="1146"/>
      <c r="E3" s="1146"/>
      <c r="F3" s="1146"/>
      <c r="G3" s="1146"/>
      <c r="H3" s="1146"/>
    </row>
    <row r="4" spans="1:14" s="541" customFormat="1" ht="19.899999999999999" customHeight="1">
      <c r="A4" s="1147" t="s">
        <v>3601</v>
      </c>
      <c r="B4" s="1149" t="s">
        <v>4217</v>
      </c>
      <c r="C4" s="1150" t="s">
        <v>838</v>
      </c>
      <c r="D4" s="1150"/>
      <c r="E4" s="1150" t="s">
        <v>4386</v>
      </c>
      <c r="F4" s="1150"/>
      <c r="G4" s="1150"/>
      <c r="H4" s="1150" t="s">
        <v>1720</v>
      </c>
    </row>
    <row r="5" spans="1:14" s="541" customFormat="1" ht="19.899999999999999" customHeight="1">
      <c r="A5" s="1148"/>
      <c r="B5" s="1149"/>
      <c r="C5" s="1150"/>
      <c r="D5" s="1150"/>
      <c r="E5" s="543" t="s">
        <v>4387</v>
      </c>
      <c r="F5" s="543" t="s">
        <v>4218</v>
      </c>
      <c r="G5" s="543" t="s">
        <v>3294</v>
      </c>
      <c r="H5" s="1150"/>
    </row>
    <row r="6" spans="1:14" ht="19.899999999999999" customHeight="1">
      <c r="A6" s="544">
        <v>1</v>
      </c>
      <c r="B6" s="1143" t="s">
        <v>4388</v>
      </c>
      <c r="C6" s="1143"/>
      <c r="D6" s="1143"/>
      <c r="E6" s="1143"/>
      <c r="F6" s="1143"/>
      <c r="G6" s="1143"/>
      <c r="H6" s="545"/>
    </row>
    <row r="7" spans="1:14" ht="19.899999999999999" customHeight="1">
      <c r="A7" s="544"/>
      <c r="B7" s="546" t="s">
        <v>4389</v>
      </c>
      <c r="C7" s="544"/>
      <c r="D7" s="547"/>
      <c r="E7" s="545"/>
      <c r="F7" s="545"/>
      <c r="G7" s="545"/>
      <c r="H7" s="545"/>
    </row>
    <row r="8" spans="1:14" ht="19.899999999999999" customHeight="1">
      <c r="A8" s="544"/>
      <c r="B8" s="548" t="s">
        <v>4950</v>
      </c>
      <c r="C8" s="544"/>
      <c r="D8" s="547"/>
      <c r="E8" s="545"/>
      <c r="F8" s="545"/>
      <c r="G8" s="545"/>
      <c r="H8" s="545"/>
    </row>
    <row r="9" spans="1:14" ht="19.899999999999999" customHeight="1">
      <c r="A9" s="549"/>
      <c r="B9" s="850" t="s">
        <v>4771</v>
      </c>
      <c r="C9" s="549">
        <v>1</v>
      </c>
      <c r="D9" s="547">
        <v>2</v>
      </c>
      <c r="E9" s="851">
        <v>41.22</v>
      </c>
      <c r="F9" s="545">
        <v>0.38</v>
      </c>
      <c r="G9" s="545">
        <v>0.6</v>
      </c>
      <c r="H9" s="545">
        <f>PRODUCT(C9:G9)</f>
        <v>18.8</v>
      </c>
      <c r="I9" s="551"/>
      <c r="L9" s="552"/>
      <c r="M9" s="553"/>
      <c r="N9" s="554"/>
    </row>
    <row r="10" spans="1:14" ht="19.899999999999999" customHeight="1">
      <c r="A10" s="549"/>
      <c r="B10" s="850" t="s">
        <v>4398</v>
      </c>
      <c r="C10" s="549">
        <v>1</v>
      </c>
      <c r="D10" s="547">
        <v>2</v>
      </c>
      <c r="E10" s="851">
        <v>1.5</v>
      </c>
      <c r="F10" s="545">
        <v>0.38</v>
      </c>
      <c r="G10" s="545">
        <v>0.6</v>
      </c>
      <c r="H10" s="545">
        <f t="shared" ref="H10" si="0">PRODUCT(C10:G10)</f>
        <v>0.68</v>
      </c>
      <c r="I10" s="551"/>
      <c r="L10" s="552"/>
      <c r="M10" s="553"/>
      <c r="N10" s="554"/>
    </row>
    <row r="11" spans="1:14" ht="19.899999999999999" customHeight="1">
      <c r="A11" s="549"/>
      <c r="B11" s="550"/>
      <c r="C11" s="549"/>
      <c r="D11" s="555"/>
      <c r="E11" s="545"/>
      <c r="F11" s="545"/>
      <c r="G11" s="545"/>
      <c r="H11" s="545">
        <v>0.02</v>
      </c>
    </row>
    <row r="12" spans="1:14" ht="19.899999999999999" customHeight="1">
      <c r="A12" s="549"/>
      <c r="B12" s="550"/>
      <c r="C12" s="549"/>
      <c r="D12" s="556"/>
      <c r="E12" s="545"/>
      <c r="F12" s="545"/>
      <c r="G12" s="545"/>
      <c r="H12" s="557">
        <f>SUM(H9:H11)</f>
        <v>19.5</v>
      </c>
    </row>
    <row r="13" spans="1:14" ht="19.899999999999999" customHeight="1">
      <c r="A13" s="549"/>
      <c r="B13" s="550"/>
      <c r="C13" s="549"/>
      <c r="D13" s="556"/>
      <c r="E13" s="545"/>
      <c r="F13" s="557" t="s">
        <v>2560</v>
      </c>
      <c r="G13" s="557">
        <f>H12</f>
        <v>19.5</v>
      </c>
      <c r="H13" s="558" t="s">
        <v>1749</v>
      </c>
    </row>
    <row r="14" spans="1:14" ht="19.899999999999999" customHeight="1">
      <c r="A14" s="544">
        <v>2</v>
      </c>
      <c r="B14" s="1143" t="s">
        <v>4392</v>
      </c>
      <c r="C14" s="1143"/>
      <c r="D14" s="1143"/>
      <c r="E14" s="1143"/>
      <c r="F14" s="1143"/>
      <c r="G14" s="1143"/>
      <c r="H14" s="545"/>
    </row>
    <row r="15" spans="1:14" ht="19.899999999999999" customHeight="1">
      <c r="A15" s="544"/>
      <c r="B15" s="546" t="s">
        <v>4389</v>
      </c>
      <c r="C15" s="544"/>
      <c r="D15" s="547"/>
      <c r="E15" s="545"/>
      <c r="F15" s="545"/>
      <c r="G15" s="545"/>
      <c r="H15" s="545"/>
    </row>
    <row r="16" spans="1:14" ht="19.899999999999999" customHeight="1">
      <c r="A16" s="544"/>
      <c r="B16" s="963" t="s">
        <v>4950</v>
      </c>
      <c r="C16" s="544"/>
      <c r="D16" s="547"/>
      <c r="E16" s="545"/>
      <c r="F16" s="545"/>
      <c r="G16" s="545"/>
      <c r="H16" s="545"/>
    </row>
    <row r="17" spans="1:14" ht="19.899999999999999" customHeight="1">
      <c r="A17" s="549"/>
      <c r="B17" s="850" t="s">
        <v>4771</v>
      </c>
      <c r="C17" s="549">
        <v>1</v>
      </c>
      <c r="D17" s="547">
        <v>2</v>
      </c>
      <c r="E17" s="545">
        <f>E9</f>
        <v>41.22</v>
      </c>
      <c r="F17" s="545">
        <v>0.38</v>
      </c>
      <c r="G17" s="545">
        <v>0.1</v>
      </c>
      <c r="H17" s="545">
        <f>PRODUCT(C17:G17)</f>
        <v>3.13</v>
      </c>
      <c r="I17" s="551"/>
      <c r="L17" s="552"/>
      <c r="M17" s="553"/>
      <c r="N17" s="554"/>
    </row>
    <row r="18" spans="1:14" ht="19.899999999999999" customHeight="1">
      <c r="A18" s="549"/>
      <c r="B18" s="850" t="s">
        <v>4398</v>
      </c>
      <c r="C18" s="549">
        <v>1</v>
      </c>
      <c r="D18" s="547">
        <v>2</v>
      </c>
      <c r="E18" s="545">
        <f>E10</f>
        <v>1.5</v>
      </c>
      <c r="F18" s="545">
        <v>0.38</v>
      </c>
      <c r="G18" s="545">
        <v>0.1</v>
      </c>
      <c r="H18" s="545">
        <f t="shared" ref="H18" si="1">PRODUCT(C18:G18)</f>
        <v>0.11</v>
      </c>
      <c r="I18" s="551"/>
      <c r="L18" s="552"/>
      <c r="M18" s="553"/>
      <c r="N18" s="554"/>
    </row>
    <row r="19" spans="1:14" ht="19.899999999999999" customHeight="1">
      <c r="A19" s="549"/>
      <c r="B19" s="550"/>
      <c r="C19" s="549"/>
      <c r="D19" s="556"/>
      <c r="E19" s="545"/>
      <c r="F19" s="545"/>
      <c r="G19" s="545"/>
      <c r="H19" s="557">
        <f>SUM(H17:H18)</f>
        <v>3.24</v>
      </c>
    </row>
    <row r="20" spans="1:14" ht="19.899999999999999" customHeight="1">
      <c r="A20" s="549"/>
      <c r="B20" s="550"/>
      <c r="C20" s="549"/>
      <c r="D20" s="556"/>
      <c r="E20" s="545"/>
      <c r="F20" s="557" t="s">
        <v>2560</v>
      </c>
      <c r="G20" s="557">
        <f>H19</f>
        <v>3.24</v>
      </c>
      <c r="H20" s="558" t="s">
        <v>1749</v>
      </c>
    </row>
    <row r="21" spans="1:14" s="561" customFormat="1" ht="34.9" customHeight="1">
      <c r="A21" s="559">
        <v>3</v>
      </c>
      <c r="B21" s="1143" t="s">
        <v>4379</v>
      </c>
      <c r="C21" s="1143"/>
      <c r="D21" s="1143"/>
      <c r="E21" s="1143"/>
      <c r="F21" s="1143"/>
      <c r="G21" s="1143"/>
      <c r="H21" s="560"/>
      <c r="I21" s="561" t="e">
        <f>#REF!-K21</f>
        <v>#REF!</v>
      </c>
      <c r="K21" s="561">
        <f>26.5+40.1</f>
        <v>66.599999999999994</v>
      </c>
    </row>
    <row r="22" spans="1:14" ht="19.899999999999999" customHeight="1">
      <c r="A22" s="544"/>
      <c r="B22" s="546" t="s">
        <v>4389</v>
      </c>
      <c r="C22" s="544"/>
      <c r="D22" s="547"/>
      <c r="E22" s="545"/>
      <c r="F22" s="545"/>
      <c r="G22" s="545"/>
      <c r="H22" s="545"/>
    </row>
    <row r="23" spans="1:14" s="561" customFormat="1" ht="19.899999999999999" customHeight="1">
      <c r="A23" s="559"/>
      <c r="B23" s="963" t="s">
        <v>4950</v>
      </c>
      <c r="C23" s="559"/>
      <c r="D23" s="563"/>
      <c r="E23" s="564"/>
      <c r="F23" s="564"/>
      <c r="G23" s="564"/>
      <c r="H23" s="564"/>
    </row>
    <row r="24" spans="1:14" s="561" customFormat="1" ht="19.899999999999999" customHeight="1">
      <c r="A24" s="549"/>
      <c r="B24" s="850" t="s">
        <v>4771</v>
      </c>
      <c r="C24" s="549">
        <v>1</v>
      </c>
      <c r="D24" s="547">
        <v>2</v>
      </c>
      <c r="E24" s="545">
        <f>E17</f>
        <v>41.22</v>
      </c>
      <c r="F24" s="545">
        <v>0.23</v>
      </c>
      <c r="G24" s="545">
        <v>1.03</v>
      </c>
      <c r="H24" s="545">
        <f>PRODUCT(C24:G24)</f>
        <v>19.53</v>
      </c>
    </row>
    <row r="25" spans="1:14" s="561" customFormat="1" ht="19.899999999999999" customHeight="1">
      <c r="A25" s="549"/>
      <c r="B25" s="850" t="s">
        <v>4398</v>
      </c>
      <c r="C25" s="549">
        <v>1</v>
      </c>
      <c r="D25" s="547">
        <v>2</v>
      </c>
      <c r="E25" s="545">
        <f>E18</f>
        <v>1.5</v>
      </c>
      <c r="F25" s="545">
        <v>0.23</v>
      </c>
      <c r="G25" s="545">
        <v>1.03</v>
      </c>
      <c r="H25" s="545">
        <f t="shared" ref="H25" si="2">PRODUCT(C25:G25)</f>
        <v>0.71</v>
      </c>
    </row>
    <row r="26" spans="1:14" s="561" customFormat="1" ht="19.899999999999999" customHeight="1">
      <c r="A26" s="549"/>
      <c r="B26" s="550"/>
      <c r="C26" s="549"/>
      <c r="D26" s="555"/>
      <c r="E26" s="545"/>
      <c r="F26" s="545"/>
      <c r="G26" s="545"/>
      <c r="H26" s="545">
        <v>0.06</v>
      </c>
    </row>
    <row r="27" spans="1:14" s="561" customFormat="1" ht="19.899999999999999" customHeight="1">
      <c r="A27" s="549"/>
      <c r="B27" s="550"/>
      <c r="C27" s="549"/>
      <c r="D27" s="556"/>
      <c r="E27" s="545"/>
      <c r="F27" s="545"/>
      <c r="G27" s="545"/>
      <c r="H27" s="557">
        <f>SUM(H24:H26)</f>
        <v>20.3</v>
      </c>
    </row>
    <row r="28" spans="1:14" s="561" customFormat="1" ht="19.899999999999999" customHeight="1">
      <c r="A28" s="549"/>
      <c r="B28" s="550"/>
      <c r="C28" s="549"/>
      <c r="D28" s="556"/>
      <c r="E28" s="545"/>
      <c r="F28" s="557" t="s">
        <v>2560</v>
      </c>
      <c r="G28" s="557">
        <f>H27</f>
        <v>20.3</v>
      </c>
      <c r="H28" s="558" t="s">
        <v>1749</v>
      </c>
    </row>
    <row r="29" spans="1:14" ht="19.899999999999999" customHeight="1">
      <c r="A29" s="544">
        <v>4</v>
      </c>
      <c r="B29" s="1143" t="s">
        <v>228</v>
      </c>
      <c r="C29" s="1143"/>
      <c r="D29" s="1143"/>
      <c r="E29" s="1143"/>
      <c r="F29" s="1143"/>
      <c r="G29" s="1143"/>
      <c r="H29" s="545"/>
    </row>
    <row r="30" spans="1:14" ht="19.899999999999999" customHeight="1">
      <c r="A30" s="544"/>
      <c r="B30" s="546" t="s">
        <v>4389</v>
      </c>
      <c r="C30" s="544"/>
      <c r="D30" s="547"/>
      <c r="E30" s="545"/>
      <c r="F30" s="545"/>
      <c r="G30" s="545"/>
      <c r="H30" s="545"/>
    </row>
    <row r="31" spans="1:14" ht="19.899999999999999" customHeight="1">
      <c r="A31" s="544"/>
      <c r="B31" s="850" t="s">
        <v>4771</v>
      </c>
      <c r="C31" s="549">
        <v>1</v>
      </c>
      <c r="D31" s="547">
        <v>2</v>
      </c>
      <c r="E31" s="545">
        <f>E24</f>
        <v>41.22</v>
      </c>
      <c r="F31" s="545"/>
      <c r="G31" s="545"/>
      <c r="H31" s="545">
        <f>PRODUCT(C31:G31)</f>
        <v>82.44</v>
      </c>
    </row>
    <row r="32" spans="1:14" ht="19.899999999999999" customHeight="1">
      <c r="A32" s="544"/>
      <c r="B32" s="850" t="s">
        <v>4766</v>
      </c>
      <c r="C32" s="549">
        <v>1</v>
      </c>
      <c r="D32" s="547">
        <v>2</v>
      </c>
      <c r="E32" s="545">
        <f>E25</f>
        <v>1.5</v>
      </c>
      <c r="F32" s="545"/>
      <c r="G32" s="545"/>
      <c r="H32" s="545">
        <f>PRODUCT(C32:G32)</f>
        <v>3</v>
      </c>
    </row>
    <row r="33" spans="1:11" ht="19.899999999999999" customHeight="1">
      <c r="A33" s="544"/>
      <c r="B33" s="850"/>
      <c r="C33" s="549"/>
      <c r="D33" s="547"/>
      <c r="E33" s="545"/>
      <c r="F33" s="545"/>
      <c r="G33" s="545"/>
      <c r="H33" s="545">
        <v>0.06</v>
      </c>
    </row>
    <row r="34" spans="1:11" ht="19.899999999999999" customHeight="1">
      <c r="A34" s="544"/>
      <c r="B34" s="550"/>
      <c r="C34" s="549"/>
      <c r="D34" s="547"/>
      <c r="E34" s="545"/>
      <c r="F34" s="545"/>
      <c r="G34" s="545"/>
      <c r="H34" s="557">
        <f>SUM(H31:H33)</f>
        <v>85.5</v>
      </c>
    </row>
    <row r="35" spans="1:11" ht="19.899999999999999" customHeight="1">
      <c r="A35" s="544"/>
      <c r="B35" s="550"/>
      <c r="C35" s="549"/>
      <c r="D35" s="547"/>
      <c r="E35" s="545"/>
      <c r="F35" s="557" t="s">
        <v>2560</v>
      </c>
      <c r="G35" s="557">
        <f>H34</f>
        <v>85.5</v>
      </c>
      <c r="H35" s="558" t="s">
        <v>669</v>
      </c>
    </row>
    <row r="36" spans="1:11" ht="19.899999999999999" customHeight="1">
      <c r="A36" s="544">
        <v>5</v>
      </c>
      <c r="B36" s="1143" t="s">
        <v>4395</v>
      </c>
      <c r="C36" s="1143"/>
      <c r="D36" s="1143"/>
      <c r="E36" s="1143"/>
      <c r="F36" s="1143"/>
      <c r="G36" s="1143"/>
      <c r="H36" s="545"/>
    </row>
    <row r="37" spans="1:11" ht="19.899999999999999" customHeight="1">
      <c r="A37" s="544"/>
      <c r="B37" s="546" t="s">
        <v>4389</v>
      </c>
      <c r="C37" s="544"/>
      <c r="D37" s="547"/>
      <c r="E37" s="545"/>
      <c r="F37" s="545"/>
      <c r="G37" s="545"/>
      <c r="H37" s="545"/>
    </row>
    <row r="38" spans="1:11" ht="19.899999999999999" customHeight="1">
      <c r="A38" s="544"/>
      <c r="B38" s="850" t="s">
        <v>4771</v>
      </c>
      <c r="C38" s="549">
        <v>1</v>
      </c>
      <c r="D38" s="547">
        <v>2</v>
      </c>
      <c r="E38" s="545">
        <f>E31</f>
        <v>41.22</v>
      </c>
      <c r="F38" s="545"/>
      <c r="G38" s="545">
        <v>0.5</v>
      </c>
      <c r="H38" s="545">
        <f>PRODUCT(C38:G38)</f>
        <v>41.22</v>
      </c>
    </row>
    <row r="39" spans="1:11" ht="19.899999999999999" customHeight="1">
      <c r="A39" s="544"/>
      <c r="B39" s="850" t="s">
        <v>4766</v>
      </c>
      <c r="C39" s="549">
        <v>1</v>
      </c>
      <c r="D39" s="547">
        <v>2</v>
      </c>
      <c r="E39" s="545">
        <f>E32</f>
        <v>1.5</v>
      </c>
      <c r="F39" s="545"/>
      <c r="G39" s="545">
        <v>0.5</v>
      </c>
      <c r="H39" s="545">
        <f>PRODUCT(C39:G39)</f>
        <v>1.5</v>
      </c>
    </row>
    <row r="40" spans="1:11" ht="19.899999999999999" customHeight="1">
      <c r="A40" s="544"/>
      <c r="B40" s="850"/>
      <c r="C40" s="549"/>
      <c r="D40" s="547"/>
      <c r="E40" s="545"/>
      <c r="F40" s="545"/>
      <c r="G40" s="545"/>
      <c r="H40" s="545">
        <v>0.08</v>
      </c>
    </row>
    <row r="41" spans="1:11" ht="19.899999999999999" customHeight="1">
      <c r="A41" s="544"/>
      <c r="B41" s="550"/>
      <c r="C41" s="549"/>
      <c r="D41" s="547"/>
      <c r="E41" s="545"/>
      <c r="F41" s="545"/>
      <c r="G41" s="545"/>
      <c r="H41" s="557">
        <f>SUM(H38:H40)</f>
        <v>42.8</v>
      </c>
    </row>
    <row r="42" spans="1:11" ht="19.899999999999999" customHeight="1">
      <c r="A42" s="544"/>
      <c r="B42" s="550"/>
      <c r="C42" s="549"/>
      <c r="D42" s="547"/>
      <c r="E42" s="545"/>
      <c r="F42" s="557" t="s">
        <v>2560</v>
      </c>
      <c r="G42" s="557">
        <f>H41</f>
        <v>42.8</v>
      </c>
      <c r="H42" s="558" t="s">
        <v>1861</v>
      </c>
      <c r="K42" s="554"/>
    </row>
    <row r="43" spans="1:11" ht="19.899999999999999" customHeight="1">
      <c r="A43" s="565">
        <v>6</v>
      </c>
      <c r="B43" s="1139" t="s">
        <v>4767</v>
      </c>
      <c r="C43" s="1139"/>
      <c r="D43" s="1139"/>
      <c r="E43" s="1139"/>
      <c r="F43" s="1139"/>
      <c r="G43" s="1139"/>
      <c r="H43" s="566"/>
    </row>
    <row r="44" spans="1:11" ht="19.899999999999999" customHeight="1">
      <c r="A44" s="565"/>
      <c r="B44" s="546" t="s">
        <v>4389</v>
      </c>
      <c r="C44" s="567"/>
      <c r="D44" s="567"/>
      <c r="E44" s="566"/>
      <c r="F44" s="566"/>
      <c r="G44" s="566"/>
      <c r="H44" s="566"/>
    </row>
    <row r="45" spans="1:11" ht="19.899999999999999" customHeight="1">
      <c r="A45" s="544"/>
      <c r="B45" s="850" t="s">
        <v>4771</v>
      </c>
      <c r="C45" s="549">
        <v>1</v>
      </c>
      <c r="D45" s="547">
        <v>1</v>
      </c>
      <c r="E45" s="851">
        <v>41.22</v>
      </c>
      <c r="F45" s="851">
        <v>7.2</v>
      </c>
      <c r="G45" s="545">
        <v>0.15</v>
      </c>
      <c r="H45" s="545">
        <f>PRODUCT(C45:G45)</f>
        <v>44.52</v>
      </c>
    </row>
    <row r="46" spans="1:11" ht="19.899999999999999" customHeight="1">
      <c r="A46" s="544"/>
      <c r="B46" s="850" t="s">
        <v>4398</v>
      </c>
      <c r="C46" s="549">
        <v>1</v>
      </c>
      <c r="D46" s="547">
        <v>2</v>
      </c>
      <c r="E46" s="851">
        <v>1.5</v>
      </c>
      <c r="F46" s="851">
        <v>1.5</v>
      </c>
      <c r="G46" s="545">
        <v>0.15</v>
      </c>
      <c r="H46" s="545">
        <f>PRODUCT(C46:G46)</f>
        <v>0.68</v>
      </c>
    </row>
    <row r="47" spans="1:11" ht="19.899999999999999" customHeight="1">
      <c r="A47" s="544"/>
      <c r="B47" s="550"/>
      <c r="C47" s="549"/>
      <c r="D47" s="568"/>
      <c r="E47" s="545"/>
      <c r="F47" s="545"/>
      <c r="G47" s="545"/>
      <c r="H47" s="545"/>
    </row>
    <row r="48" spans="1:11" ht="19.899999999999999" customHeight="1">
      <c r="A48" s="544"/>
      <c r="B48" s="550"/>
      <c r="C48" s="549"/>
      <c r="D48" s="547"/>
      <c r="E48" s="545"/>
      <c r="F48" s="545"/>
      <c r="G48" s="545"/>
      <c r="H48" s="557">
        <f>SUM(H45:H47)</f>
        <v>45.2</v>
      </c>
    </row>
    <row r="49" spans="1:11" ht="19.899999999999999" customHeight="1">
      <c r="A49" s="544"/>
      <c r="B49" s="550"/>
      <c r="C49" s="549"/>
      <c r="D49" s="547"/>
      <c r="E49" s="545"/>
      <c r="F49" s="557" t="s">
        <v>2560</v>
      </c>
      <c r="G49" s="557">
        <f>H48</f>
        <v>45.2</v>
      </c>
      <c r="H49" s="558" t="s">
        <v>1749</v>
      </c>
      <c r="K49" s="554"/>
    </row>
    <row r="50" spans="1:11" ht="49.9" customHeight="1">
      <c r="A50" s="565">
        <v>7</v>
      </c>
      <c r="B50" s="1139" t="s">
        <v>4399</v>
      </c>
      <c r="C50" s="1139"/>
      <c r="D50" s="1139"/>
      <c r="E50" s="1139"/>
      <c r="F50" s="1139"/>
      <c r="G50" s="1139"/>
      <c r="H50" s="566"/>
    </row>
    <row r="51" spans="1:11" ht="19.899999999999999" customHeight="1">
      <c r="A51" s="565"/>
      <c r="B51" s="546" t="s">
        <v>4389</v>
      </c>
      <c r="C51" s="567"/>
      <c r="D51" s="567"/>
      <c r="E51" s="566"/>
      <c r="F51" s="566"/>
      <c r="G51" s="566"/>
      <c r="H51" s="566"/>
    </row>
    <row r="52" spans="1:11" ht="19.899999999999999" customHeight="1">
      <c r="A52" s="544"/>
      <c r="B52" s="850" t="s">
        <v>4765</v>
      </c>
      <c r="C52" s="549">
        <v>1</v>
      </c>
      <c r="D52" s="547">
        <v>1</v>
      </c>
      <c r="E52" s="545">
        <f>E45</f>
        <v>41.22</v>
      </c>
      <c r="F52" s="545">
        <f>F45</f>
        <v>7.2</v>
      </c>
      <c r="G52" s="545"/>
      <c r="H52" s="545">
        <f>PRODUCT(C52:G52)</f>
        <v>296.77999999999997</v>
      </c>
    </row>
    <row r="53" spans="1:11" ht="19.899999999999999" customHeight="1">
      <c r="A53" s="544"/>
      <c r="B53" s="850" t="s">
        <v>4398</v>
      </c>
      <c r="C53" s="549">
        <v>1</v>
      </c>
      <c r="D53" s="547">
        <v>2</v>
      </c>
      <c r="E53" s="545">
        <f>E46</f>
        <v>1.5</v>
      </c>
      <c r="F53" s="545">
        <f>F46</f>
        <v>1.5</v>
      </c>
      <c r="G53" s="545"/>
      <c r="H53" s="545">
        <f>PRODUCT(C53:G53)</f>
        <v>4.5</v>
      </c>
    </row>
    <row r="54" spans="1:11" ht="19.899999999999999" customHeight="1">
      <c r="A54" s="544"/>
      <c r="B54" s="550"/>
      <c r="C54" s="549"/>
      <c r="D54" s="568"/>
      <c r="E54" s="545"/>
      <c r="F54" s="545"/>
      <c r="G54" s="545"/>
      <c r="H54" s="545">
        <v>0.02</v>
      </c>
    </row>
    <row r="55" spans="1:11" ht="19.899999999999999" customHeight="1">
      <c r="A55" s="544"/>
      <c r="B55" s="550"/>
      <c r="C55" s="549"/>
      <c r="D55" s="547"/>
      <c r="E55" s="545"/>
      <c r="F55" s="545"/>
      <c r="G55" s="545"/>
      <c r="H55" s="557">
        <f>SUM(H52:H54)</f>
        <v>301.3</v>
      </c>
    </row>
    <row r="56" spans="1:11" ht="19.899999999999999" customHeight="1">
      <c r="A56" s="544"/>
      <c r="B56" s="550"/>
      <c r="C56" s="549"/>
      <c r="D56" s="547"/>
      <c r="E56" s="545"/>
      <c r="F56" s="557" t="s">
        <v>2560</v>
      </c>
      <c r="G56" s="557">
        <f>H55</f>
        <v>301.3</v>
      </c>
      <c r="H56" s="558" t="s">
        <v>1861</v>
      </c>
      <c r="K56" s="554"/>
    </row>
    <row r="57" spans="1:11" ht="64.900000000000006" customHeight="1">
      <c r="A57" s="565">
        <v>8</v>
      </c>
      <c r="B57" s="1139" t="s">
        <v>4768</v>
      </c>
      <c r="C57" s="1139"/>
      <c r="D57" s="1139"/>
      <c r="E57" s="1139"/>
      <c r="F57" s="1139"/>
      <c r="G57" s="1139"/>
      <c r="H57" s="566"/>
    </row>
    <row r="58" spans="1:11" ht="19.899999999999999" customHeight="1">
      <c r="A58" s="565"/>
      <c r="B58" s="546" t="s">
        <v>4389</v>
      </c>
      <c r="C58" s="567"/>
      <c r="D58" s="567"/>
      <c r="E58" s="566"/>
      <c r="F58" s="566"/>
      <c r="G58" s="566"/>
      <c r="H58" s="566"/>
    </row>
    <row r="59" spans="1:11" ht="19.899999999999999" customHeight="1">
      <c r="A59" s="544"/>
      <c r="B59" s="850" t="s">
        <v>4765</v>
      </c>
      <c r="C59" s="549">
        <v>1</v>
      </c>
      <c r="D59" s="547">
        <v>1</v>
      </c>
      <c r="E59" s="545">
        <f>E52</f>
        <v>41.22</v>
      </c>
      <c r="F59" s="545">
        <f>F52</f>
        <v>7.2</v>
      </c>
      <c r="G59" s="545">
        <v>0.08</v>
      </c>
      <c r="H59" s="545">
        <f>PRODUCT(C59:G59)</f>
        <v>23.74</v>
      </c>
    </row>
    <row r="60" spans="1:11" ht="19.899999999999999" customHeight="1">
      <c r="A60" s="544"/>
      <c r="B60" s="850" t="s">
        <v>4398</v>
      </c>
      <c r="C60" s="549">
        <v>1</v>
      </c>
      <c r="D60" s="547">
        <v>2</v>
      </c>
      <c r="E60" s="545">
        <f>E53</f>
        <v>1.5</v>
      </c>
      <c r="F60" s="545">
        <f>F53</f>
        <v>1.5</v>
      </c>
      <c r="G60" s="545">
        <v>0.08</v>
      </c>
      <c r="H60" s="545">
        <f>PRODUCT(C60:G60)</f>
        <v>0.36</v>
      </c>
    </row>
    <row r="61" spans="1:11" ht="19.899999999999999" customHeight="1">
      <c r="A61" s="544"/>
      <c r="B61" s="550"/>
      <c r="C61" s="549"/>
      <c r="D61" s="568"/>
      <c r="E61" s="545"/>
      <c r="F61" s="545"/>
      <c r="G61" s="545"/>
      <c r="H61" s="545"/>
    </row>
    <row r="62" spans="1:11" ht="19.899999999999999" customHeight="1">
      <c r="A62" s="544"/>
      <c r="B62" s="550"/>
      <c r="C62" s="549"/>
      <c r="D62" s="547"/>
      <c r="E62" s="545"/>
      <c r="F62" s="545"/>
      <c r="G62" s="545"/>
      <c r="H62" s="557">
        <f>SUM(H59:H61)</f>
        <v>24.1</v>
      </c>
    </row>
    <row r="63" spans="1:11" ht="19.899999999999999" customHeight="1">
      <c r="A63" s="544"/>
      <c r="B63" s="550"/>
      <c r="C63" s="549"/>
      <c r="D63" s="547"/>
      <c r="E63" s="545"/>
      <c r="F63" s="557" t="s">
        <v>2560</v>
      </c>
      <c r="G63" s="557">
        <f>H62</f>
        <v>24.1</v>
      </c>
      <c r="H63" s="558" t="s">
        <v>1749</v>
      </c>
      <c r="K63" s="554"/>
    </row>
    <row r="64" spans="1:11" ht="19.899999999999999" customHeight="1">
      <c r="A64" s="565">
        <v>9</v>
      </c>
      <c r="B64" s="1139" t="s">
        <v>4401</v>
      </c>
      <c r="C64" s="1139"/>
      <c r="D64" s="1139"/>
      <c r="E64" s="1139"/>
      <c r="F64" s="1139"/>
      <c r="G64" s="1139"/>
      <c r="H64" s="566"/>
    </row>
    <row r="65" spans="1:9" ht="19.899999999999999" customHeight="1">
      <c r="A65" s="565"/>
      <c r="B65" s="546" t="s">
        <v>4389</v>
      </c>
      <c r="C65" s="567"/>
      <c r="D65" s="567"/>
      <c r="E65" s="566"/>
      <c r="F65" s="566"/>
      <c r="G65" s="566"/>
      <c r="H65" s="566"/>
    </row>
    <row r="66" spans="1:9" ht="19.899999999999999" customHeight="1">
      <c r="A66" s="544"/>
      <c r="B66" s="850" t="s">
        <v>4765</v>
      </c>
      <c r="C66" s="549">
        <v>1</v>
      </c>
      <c r="D66" s="547">
        <v>1</v>
      </c>
      <c r="E66" s="545">
        <f>E59</f>
        <v>41.22</v>
      </c>
      <c r="F66" s="545">
        <f>F59</f>
        <v>7.2</v>
      </c>
      <c r="G66" s="545"/>
      <c r="H66" s="545">
        <f>PRODUCT(C66:G66)</f>
        <v>296.77999999999997</v>
      </c>
    </row>
    <row r="67" spans="1:9" ht="19.899999999999999" customHeight="1">
      <c r="A67" s="544"/>
      <c r="B67" s="850" t="s">
        <v>4398</v>
      </c>
      <c r="C67" s="549">
        <v>1</v>
      </c>
      <c r="D67" s="547">
        <v>2</v>
      </c>
      <c r="E67" s="545">
        <f>E60</f>
        <v>1.5</v>
      </c>
      <c r="F67" s="545">
        <f>F60</f>
        <v>1.5</v>
      </c>
      <c r="G67" s="545"/>
      <c r="H67" s="545">
        <f>PRODUCT(C67:G67)</f>
        <v>4.5</v>
      </c>
    </row>
    <row r="68" spans="1:9" ht="19.899999999999999" customHeight="1">
      <c r="A68" s="544"/>
      <c r="B68" s="550"/>
      <c r="C68" s="549"/>
      <c r="D68" s="568"/>
      <c r="E68" s="545"/>
      <c r="F68" s="545"/>
      <c r="G68" s="545"/>
      <c r="H68" s="545">
        <v>0.02</v>
      </c>
    </row>
    <row r="69" spans="1:9" ht="19.899999999999999" customHeight="1">
      <c r="A69" s="544"/>
      <c r="B69" s="550"/>
      <c r="C69" s="549"/>
      <c r="D69" s="547"/>
      <c r="E69" s="545"/>
      <c r="F69" s="545"/>
      <c r="G69" s="545"/>
      <c r="H69" s="557">
        <f>SUM(H66:H68)</f>
        <v>301.3</v>
      </c>
    </row>
    <row r="70" spans="1:9" ht="19.899999999999999" customHeight="1">
      <c r="A70" s="565"/>
      <c r="B70" s="569"/>
      <c r="C70" s="567"/>
      <c r="D70" s="567"/>
      <c r="E70" s="566"/>
      <c r="F70" s="557" t="s">
        <v>2560</v>
      </c>
      <c r="G70" s="557">
        <f>H69</f>
        <v>301.3</v>
      </c>
      <c r="H70" s="558" t="s">
        <v>1861</v>
      </c>
    </row>
    <row r="71" spans="1:9" s="854" customFormat="1" ht="19.899999999999999" customHeight="1">
      <c r="A71" s="852">
        <v>10</v>
      </c>
      <c r="B71" s="1140" t="s">
        <v>4769</v>
      </c>
      <c r="C71" s="1141"/>
      <c r="D71" s="1141"/>
      <c r="E71" s="1141"/>
      <c r="F71" s="1141"/>
      <c r="G71" s="1142"/>
      <c r="H71" s="853"/>
    </row>
    <row r="72" spans="1:9" ht="19.899999999999999" customHeight="1">
      <c r="A72" s="565"/>
      <c r="B72" s="546" t="s">
        <v>4389</v>
      </c>
      <c r="C72" s="567"/>
      <c r="D72" s="567"/>
      <c r="E72" s="566"/>
      <c r="F72" s="566"/>
      <c r="G72" s="566"/>
      <c r="H72" s="566"/>
    </row>
    <row r="73" spans="1:9" ht="19.899999999999999" customHeight="1">
      <c r="A73" s="544"/>
      <c r="B73" s="850" t="s">
        <v>4765</v>
      </c>
      <c r="C73" s="549">
        <v>1</v>
      </c>
      <c r="D73" s="547">
        <v>1</v>
      </c>
      <c r="E73" s="851">
        <v>41.22</v>
      </c>
      <c r="F73" s="851">
        <f>F66</f>
        <v>7.2</v>
      </c>
      <c r="G73" s="545">
        <v>0.15</v>
      </c>
      <c r="H73" s="545">
        <f>PRODUCT(C73:G73)</f>
        <v>44.52</v>
      </c>
    </row>
    <row r="74" spans="1:9" ht="19.899999999999999" customHeight="1">
      <c r="A74" s="544"/>
      <c r="B74" s="850" t="s">
        <v>4398</v>
      </c>
      <c r="C74" s="549">
        <v>1</v>
      </c>
      <c r="D74" s="547">
        <v>2</v>
      </c>
      <c r="E74" s="851">
        <v>1.5</v>
      </c>
      <c r="F74" s="851">
        <v>1.5</v>
      </c>
      <c r="G74" s="545">
        <v>0.15</v>
      </c>
      <c r="H74" s="545">
        <f t="shared" ref="H74" si="3">PRODUCT(C74:G74)</f>
        <v>0.68</v>
      </c>
    </row>
    <row r="75" spans="1:9" ht="19.899999999999999" customHeight="1">
      <c r="A75" s="544"/>
      <c r="B75" s="550"/>
      <c r="C75" s="549"/>
      <c r="D75" s="568"/>
      <c r="E75" s="545"/>
      <c r="F75" s="545"/>
      <c r="G75" s="545"/>
      <c r="H75" s="545"/>
    </row>
    <row r="76" spans="1:9" s="854" customFormat="1" ht="19.899999999999999" customHeight="1">
      <c r="A76" s="855"/>
      <c r="B76" s="857"/>
      <c r="C76" s="852"/>
      <c r="D76" s="852"/>
      <c r="E76" s="856"/>
      <c r="F76" s="856"/>
      <c r="G76" s="856" t="s">
        <v>1827</v>
      </c>
      <c r="H76" s="856">
        <f>SUM(H73:H75)</f>
        <v>45.2</v>
      </c>
    </row>
    <row r="77" spans="1:9" s="854" customFormat="1" ht="19.899999999999999" customHeight="1">
      <c r="A77" s="855"/>
      <c r="B77" s="857"/>
      <c r="C77" s="852"/>
      <c r="D77" s="852"/>
      <c r="E77" s="856"/>
      <c r="F77" s="858" t="s">
        <v>2560</v>
      </c>
      <c r="G77" s="859">
        <f>H76</f>
        <v>45.2</v>
      </c>
      <c r="H77" s="860" t="s">
        <v>1749</v>
      </c>
    </row>
    <row r="78" spans="1:9" s="854" customFormat="1" ht="19.899999999999999" customHeight="1">
      <c r="A78" s="852">
        <v>11</v>
      </c>
      <c r="B78" s="1140" t="s">
        <v>4798</v>
      </c>
      <c r="C78" s="1141"/>
      <c r="D78" s="1141"/>
      <c r="E78" s="1141"/>
      <c r="F78" s="1141"/>
      <c r="G78" s="1142"/>
      <c r="H78" s="853"/>
    </row>
    <row r="79" spans="1:9" ht="19.899999999999999" customHeight="1">
      <c r="A79" s="565"/>
      <c r="B79" s="546" t="s">
        <v>4389</v>
      </c>
      <c r="C79" s="567"/>
      <c r="D79" s="567"/>
      <c r="E79" s="566"/>
      <c r="F79" s="566"/>
      <c r="G79" s="566"/>
      <c r="H79" s="566"/>
    </row>
    <row r="80" spans="1:9" ht="30" customHeight="1">
      <c r="A80" s="544"/>
      <c r="B80" s="850" t="s">
        <v>4800</v>
      </c>
      <c r="C80" s="549">
        <v>1</v>
      </c>
      <c r="D80" s="547">
        <v>1</v>
      </c>
      <c r="E80" s="851">
        <f>E73</f>
        <v>41.22</v>
      </c>
      <c r="F80" s="851">
        <f>F73</f>
        <v>7.2</v>
      </c>
      <c r="G80" s="871" t="s">
        <v>4799</v>
      </c>
      <c r="H80" s="545">
        <f>I80*F80*E80*D80*C80</f>
        <v>157.30000000000001</v>
      </c>
      <c r="I80" s="542">
        <f>(0.6+0.45)/2</f>
        <v>0.53</v>
      </c>
    </row>
    <row r="81" spans="1:11" ht="30" customHeight="1">
      <c r="A81" s="544"/>
      <c r="B81" s="850" t="s">
        <v>4398</v>
      </c>
      <c r="C81" s="549">
        <v>1</v>
      </c>
      <c r="D81" s="547">
        <v>2</v>
      </c>
      <c r="E81" s="851">
        <f>E74</f>
        <v>1.5</v>
      </c>
      <c r="F81" s="851">
        <v>1.5</v>
      </c>
      <c r="G81" s="871" t="s">
        <v>4799</v>
      </c>
      <c r="H81" s="545">
        <f>I81*F81*E81*D81*C81</f>
        <v>2.39</v>
      </c>
      <c r="I81" s="542">
        <f>(0.6+0.45)/2</f>
        <v>0.53</v>
      </c>
    </row>
    <row r="82" spans="1:11" ht="19.899999999999999" customHeight="1">
      <c r="A82" s="544"/>
      <c r="B82" s="550"/>
      <c r="C82" s="549"/>
      <c r="D82" s="568"/>
      <c r="E82" s="545"/>
      <c r="F82" s="545"/>
      <c r="G82" s="545"/>
      <c r="H82" s="545">
        <v>0.01</v>
      </c>
    </row>
    <row r="83" spans="1:11" s="854" customFormat="1" ht="19.899999999999999" customHeight="1">
      <c r="A83" s="855"/>
      <c r="B83" s="857"/>
      <c r="C83" s="852"/>
      <c r="D83" s="852"/>
      <c r="E83" s="856"/>
      <c r="F83" s="856"/>
      <c r="G83" s="856" t="s">
        <v>1827</v>
      </c>
      <c r="H83" s="856">
        <f>SUM(H80:H82)</f>
        <v>159.69999999999999</v>
      </c>
    </row>
    <row r="84" spans="1:11" s="854" customFormat="1" ht="19.899999999999999" customHeight="1">
      <c r="A84" s="855"/>
      <c r="B84" s="857"/>
      <c r="C84" s="852"/>
      <c r="D84" s="852"/>
      <c r="E84" s="856"/>
      <c r="F84" s="858" t="s">
        <v>2560</v>
      </c>
      <c r="G84" s="859">
        <f>H83</f>
        <v>159.69999999999999</v>
      </c>
      <c r="H84" s="860" t="s">
        <v>1749</v>
      </c>
    </row>
    <row r="85" spans="1:11" ht="19.899999999999999" customHeight="1">
      <c r="A85" s="565"/>
      <c r="B85" s="569"/>
      <c r="C85" s="567"/>
      <c r="D85" s="567"/>
      <c r="E85" s="566"/>
      <c r="F85" s="566"/>
      <c r="G85" s="566"/>
      <c r="H85" s="566"/>
    </row>
    <row r="86" spans="1:11" s="561" customFormat="1" ht="34.9" customHeight="1">
      <c r="A86" s="559">
        <v>12</v>
      </c>
      <c r="B86" s="1143" t="s">
        <v>4951</v>
      </c>
      <c r="C86" s="1143"/>
      <c r="D86" s="1143"/>
      <c r="E86" s="1143"/>
      <c r="F86" s="1143"/>
      <c r="G86" s="1143"/>
      <c r="H86" s="560"/>
      <c r="I86" s="561" t="e">
        <f>#REF!-K86</f>
        <v>#REF!</v>
      </c>
      <c r="K86" s="561">
        <f>26.5+40.1</f>
        <v>66.599999999999994</v>
      </c>
    </row>
    <row r="87" spans="1:11" ht="19.899999999999999" customHeight="1">
      <c r="A87" s="544"/>
      <c r="B87" s="546" t="s">
        <v>4389</v>
      </c>
      <c r="C87" s="544"/>
      <c r="D87" s="547"/>
      <c r="E87" s="545"/>
      <c r="F87" s="545"/>
      <c r="G87" s="545"/>
      <c r="H87" s="545"/>
    </row>
    <row r="88" spans="1:11" s="561" customFormat="1" ht="19.899999999999999" customHeight="1">
      <c r="A88" s="559"/>
      <c r="B88" s="963" t="s">
        <v>4950</v>
      </c>
      <c r="C88" s="559"/>
      <c r="D88" s="563"/>
      <c r="E88" s="564"/>
      <c r="F88" s="564"/>
      <c r="G88" s="564"/>
      <c r="H88" s="564"/>
    </row>
    <row r="89" spans="1:11" s="561" customFormat="1" ht="19.899999999999999" customHeight="1">
      <c r="A89" s="549"/>
      <c r="B89" s="850" t="s">
        <v>4771</v>
      </c>
      <c r="C89" s="549">
        <v>2</v>
      </c>
      <c r="D89" s="547">
        <v>2</v>
      </c>
      <c r="E89" s="545">
        <v>41.22</v>
      </c>
      <c r="F89" s="545"/>
      <c r="G89" s="545">
        <v>1.03</v>
      </c>
      <c r="H89" s="545">
        <f>PRODUCT(C89:G89)</f>
        <v>169.83</v>
      </c>
    </row>
    <row r="90" spans="1:11" s="561" customFormat="1" ht="19.899999999999999" customHeight="1">
      <c r="A90" s="549"/>
      <c r="B90" s="850" t="s">
        <v>4398</v>
      </c>
      <c r="C90" s="549">
        <v>2</v>
      </c>
      <c r="D90" s="547">
        <v>2</v>
      </c>
      <c r="E90" s="545">
        <v>1.5</v>
      </c>
      <c r="F90" s="545"/>
      <c r="G90" s="545">
        <v>1.03</v>
      </c>
      <c r="H90" s="545">
        <f t="shared" ref="H90" si="4">PRODUCT(C90:G90)</f>
        <v>6.18</v>
      </c>
    </row>
    <row r="91" spans="1:11" s="561" customFormat="1" ht="19.899999999999999" customHeight="1">
      <c r="A91" s="549"/>
      <c r="B91" s="550"/>
      <c r="C91" s="549"/>
      <c r="D91" s="555"/>
      <c r="E91" s="545"/>
      <c r="F91" s="545"/>
      <c r="G91" s="545"/>
      <c r="H91" s="545">
        <v>0.09</v>
      </c>
    </row>
    <row r="92" spans="1:11" s="561" customFormat="1" ht="19.899999999999999" customHeight="1">
      <c r="A92" s="549"/>
      <c r="B92" s="550"/>
      <c r="C92" s="549"/>
      <c r="D92" s="556"/>
      <c r="E92" s="545"/>
      <c r="F92" s="545"/>
      <c r="G92" s="545"/>
      <c r="H92" s="557">
        <f>SUM(H89:H91)</f>
        <v>176.1</v>
      </c>
    </row>
    <row r="93" spans="1:11" s="561" customFormat="1" ht="19.899999999999999" customHeight="1">
      <c r="A93" s="549"/>
      <c r="B93" s="550"/>
      <c r="C93" s="549"/>
      <c r="D93" s="556"/>
      <c r="E93" s="545"/>
      <c r="F93" s="557" t="s">
        <v>2560</v>
      </c>
      <c r="G93" s="557">
        <f>H92</f>
        <v>176.1</v>
      </c>
      <c r="H93" s="558" t="s">
        <v>1749</v>
      </c>
    </row>
    <row r="1132" spans="1:15" s="570" customFormat="1">
      <c r="A1132" s="571"/>
      <c r="B1132" s="572"/>
      <c r="E1132" s="573"/>
      <c r="F1132" s="573"/>
      <c r="G1132" s="573"/>
      <c r="H1132" s="573"/>
      <c r="I1132" s="542"/>
      <c r="J1132" s="542"/>
      <c r="K1132" s="542"/>
      <c r="L1132" s="542"/>
      <c r="M1132" s="542"/>
      <c r="N1132" s="542"/>
      <c r="O1132" s="542"/>
    </row>
  </sheetData>
  <mergeCells count="20">
    <mergeCell ref="B43:G43"/>
    <mergeCell ref="A1:H1"/>
    <mergeCell ref="A2:H2"/>
    <mergeCell ref="A3:H3"/>
    <mergeCell ref="A4:A5"/>
    <mergeCell ref="B4:B5"/>
    <mergeCell ref="C4:D5"/>
    <mergeCell ref="E4:G4"/>
    <mergeCell ref="H4:H5"/>
    <mergeCell ref="B6:G6"/>
    <mergeCell ref="B14:G14"/>
    <mergeCell ref="B21:G21"/>
    <mergeCell ref="B29:G29"/>
    <mergeCell ref="B36:G36"/>
    <mergeCell ref="B50:G50"/>
    <mergeCell ref="B57:G57"/>
    <mergeCell ref="B64:G64"/>
    <mergeCell ref="B71:G71"/>
    <mergeCell ref="B86:G86"/>
    <mergeCell ref="B78:G78"/>
  </mergeCells>
  <printOptions horizontalCentered="1"/>
  <pageMargins left="0.7" right="0.7" top="0.8" bottom="0.7" header="0.31496062992126" footer="0.31496062992126"/>
  <pageSetup paperSize="9" scale="95" orientation="portrait" r:id="rId1"/>
  <headerFooter>
    <oddHeader>Page &amp;P</oddHeader>
  </headerFooter>
</worksheet>
</file>

<file path=xl/worksheets/sheet15.xml><?xml version="1.0" encoding="utf-8"?>
<worksheet xmlns="http://schemas.openxmlformats.org/spreadsheetml/2006/main" xmlns:r="http://schemas.openxmlformats.org/officeDocument/2006/relationships">
  <dimension ref="A1:IV1109"/>
  <sheetViews>
    <sheetView topLeftCell="A64" workbookViewId="0">
      <selection activeCell="E4" sqref="E4:G4"/>
    </sheetView>
  </sheetViews>
  <sheetFormatPr defaultColWidth="8.88671875" defaultRowHeight="15.75"/>
  <cols>
    <col min="1" max="1" width="4.109375" style="571" customWidth="1"/>
    <col min="2" max="2" width="30.6640625" style="572" customWidth="1"/>
    <col min="3" max="4" width="3.6640625" style="570" customWidth="1"/>
    <col min="5" max="8" width="7.6640625" style="573" customWidth="1"/>
    <col min="9" max="29" width="8.88671875" style="542"/>
    <col min="30" max="31" width="0" style="542" hidden="1" customWidth="1"/>
    <col min="32" max="256" width="8.88671875" style="542"/>
    <col min="257" max="257" width="4.109375" style="542" customWidth="1"/>
    <col min="258" max="258" width="30.6640625" style="542" customWidth="1"/>
    <col min="259" max="260" width="3.6640625" style="542" customWidth="1"/>
    <col min="261" max="264" width="7.6640625" style="542" customWidth="1"/>
    <col min="265" max="285" width="8.88671875" style="542"/>
    <col min="286" max="287" width="0" style="542" hidden="1" customWidth="1"/>
    <col min="288" max="512" width="8.88671875" style="542"/>
    <col min="513" max="513" width="4.109375" style="542" customWidth="1"/>
    <col min="514" max="514" width="30.6640625" style="542" customWidth="1"/>
    <col min="515" max="516" width="3.6640625" style="542" customWidth="1"/>
    <col min="517" max="520" width="7.6640625" style="542" customWidth="1"/>
    <col min="521" max="541" width="8.88671875" style="542"/>
    <col min="542" max="543" width="0" style="542" hidden="1" customWidth="1"/>
    <col min="544" max="768" width="8.88671875" style="542"/>
    <col min="769" max="769" width="4.109375" style="542" customWidth="1"/>
    <col min="770" max="770" width="30.6640625" style="542" customWidth="1"/>
    <col min="771" max="772" width="3.6640625" style="542" customWidth="1"/>
    <col min="773" max="776" width="7.6640625" style="542" customWidth="1"/>
    <col min="777" max="797" width="8.88671875" style="542"/>
    <col min="798" max="799" width="0" style="542" hidden="1" customWidth="1"/>
    <col min="800" max="1024" width="8.88671875" style="542"/>
    <col min="1025" max="1025" width="4.109375" style="542" customWidth="1"/>
    <col min="1026" max="1026" width="30.6640625" style="542" customWidth="1"/>
    <col min="1027" max="1028" width="3.6640625" style="542" customWidth="1"/>
    <col min="1029" max="1032" width="7.6640625" style="542" customWidth="1"/>
    <col min="1033" max="1053" width="8.88671875" style="542"/>
    <col min="1054" max="1055" width="0" style="542" hidden="1" customWidth="1"/>
    <col min="1056" max="1280" width="8.88671875" style="542"/>
    <col min="1281" max="1281" width="4.109375" style="542" customWidth="1"/>
    <col min="1282" max="1282" width="30.6640625" style="542" customWidth="1"/>
    <col min="1283" max="1284" width="3.6640625" style="542" customWidth="1"/>
    <col min="1285" max="1288" width="7.6640625" style="542" customWidth="1"/>
    <col min="1289" max="1309" width="8.88671875" style="542"/>
    <col min="1310" max="1311" width="0" style="542" hidden="1" customWidth="1"/>
    <col min="1312" max="1536" width="8.88671875" style="542"/>
    <col min="1537" max="1537" width="4.109375" style="542" customWidth="1"/>
    <col min="1538" max="1538" width="30.6640625" style="542" customWidth="1"/>
    <col min="1539" max="1540" width="3.6640625" style="542" customWidth="1"/>
    <col min="1541" max="1544" width="7.6640625" style="542" customWidth="1"/>
    <col min="1545" max="1565" width="8.88671875" style="542"/>
    <col min="1566" max="1567" width="0" style="542" hidden="1" customWidth="1"/>
    <col min="1568" max="1792" width="8.88671875" style="542"/>
    <col min="1793" max="1793" width="4.109375" style="542" customWidth="1"/>
    <col min="1794" max="1794" width="30.6640625" style="542" customWidth="1"/>
    <col min="1795" max="1796" width="3.6640625" style="542" customWidth="1"/>
    <col min="1797" max="1800" width="7.6640625" style="542" customWidth="1"/>
    <col min="1801" max="1821" width="8.88671875" style="542"/>
    <col min="1822" max="1823" width="0" style="542" hidden="1" customWidth="1"/>
    <col min="1824" max="2048" width="8.88671875" style="542"/>
    <col min="2049" max="2049" width="4.109375" style="542" customWidth="1"/>
    <col min="2050" max="2050" width="30.6640625" style="542" customWidth="1"/>
    <col min="2051" max="2052" width="3.6640625" style="542" customWidth="1"/>
    <col min="2053" max="2056" width="7.6640625" style="542" customWidth="1"/>
    <col min="2057" max="2077" width="8.88671875" style="542"/>
    <col min="2078" max="2079" width="0" style="542" hidden="1" customWidth="1"/>
    <col min="2080" max="2304" width="8.88671875" style="542"/>
    <col min="2305" max="2305" width="4.109375" style="542" customWidth="1"/>
    <col min="2306" max="2306" width="30.6640625" style="542" customWidth="1"/>
    <col min="2307" max="2308" width="3.6640625" style="542" customWidth="1"/>
    <col min="2309" max="2312" width="7.6640625" style="542" customWidth="1"/>
    <col min="2313" max="2333" width="8.88671875" style="542"/>
    <col min="2334" max="2335" width="0" style="542" hidden="1" customWidth="1"/>
    <col min="2336" max="2560" width="8.88671875" style="542"/>
    <col min="2561" max="2561" width="4.109375" style="542" customWidth="1"/>
    <col min="2562" max="2562" width="30.6640625" style="542" customWidth="1"/>
    <col min="2563" max="2564" width="3.6640625" style="542" customWidth="1"/>
    <col min="2565" max="2568" width="7.6640625" style="542" customWidth="1"/>
    <col min="2569" max="2589" width="8.88671875" style="542"/>
    <col min="2590" max="2591" width="0" style="542" hidden="1" customWidth="1"/>
    <col min="2592" max="2816" width="8.88671875" style="542"/>
    <col min="2817" max="2817" width="4.109375" style="542" customWidth="1"/>
    <col min="2818" max="2818" width="30.6640625" style="542" customWidth="1"/>
    <col min="2819" max="2820" width="3.6640625" style="542" customWidth="1"/>
    <col min="2821" max="2824" width="7.6640625" style="542" customWidth="1"/>
    <col min="2825" max="2845" width="8.88671875" style="542"/>
    <col min="2846" max="2847" width="0" style="542" hidden="1" customWidth="1"/>
    <col min="2848" max="3072" width="8.88671875" style="542"/>
    <col min="3073" max="3073" width="4.109375" style="542" customWidth="1"/>
    <col min="3074" max="3074" width="30.6640625" style="542" customWidth="1"/>
    <col min="3075" max="3076" width="3.6640625" style="542" customWidth="1"/>
    <col min="3077" max="3080" width="7.6640625" style="542" customWidth="1"/>
    <col min="3081" max="3101" width="8.88671875" style="542"/>
    <col min="3102" max="3103" width="0" style="542" hidden="1" customWidth="1"/>
    <col min="3104" max="3328" width="8.88671875" style="542"/>
    <col min="3329" max="3329" width="4.109375" style="542" customWidth="1"/>
    <col min="3330" max="3330" width="30.6640625" style="542" customWidth="1"/>
    <col min="3331" max="3332" width="3.6640625" style="542" customWidth="1"/>
    <col min="3333" max="3336" width="7.6640625" style="542" customWidth="1"/>
    <col min="3337" max="3357" width="8.88671875" style="542"/>
    <col min="3358" max="3359" width="0" style="542" hidden="1" customWidth="1"/>
    <col min="3360" max="3584" width="8.88671875" style="542"/>
    <col min="3585" max="3585" width="4.109375" style="542" customWidth="1"/>
    <col min="3586" max="3586" width="30.6640625" style="542" customWidth="1"/>
    <col min="3587" max="3588" width="3.6640625" style="542" customWidth="1"/>
    <col min="3589" max="3592" width="7.6640625" style="542" customWidth="1"/>
    <col min="3593" max="3613" width="8.88671875" style="542"/>
    <col min="3614" max="3615" width="0" style="542" hidden="1" customWidth="1"/>
    <col min="3616" max="3840" width="8.88671875" style="542"/>
    <col min="3841" max="3841" width="4.109375" style="542" customWidth="1"/>
    <col min="3842" max="3842" width="30.6640625" style="542" customWidth="1"/>
    <col min="3843" max="3844" width="3.6640625" style="542" customWidth="1"/>
    <col min="3845" max="3848" width="7.6640625" style="542" customWidth="1"/>
    <col min="3849" max="3869" width="8.88671875" style="542"/>
    <col min="3870" max="3871" width="0" style="542" hidden="1" customWidth="1"/>
    <col min="3872" max="4096" width="8.88671875" style="542"/>
    <col min="4097" max="4097" width="4.109375" style="542" customWidth="1"/>
    <col min="4098" max="4098" width="30.6640625" style="542" customWidth="1"/>
    <col min="4099" max="4100" width="3.6640625" style="542" customWidth="1"/>
    <col min="4101" max="4104" width="7.6640625" style="542" customWidth="1"/>
    <col min="4105" max="4125" width="8.88671875" style="542"/>
    <col min="4126" max="4127" width="0" style="542" hidden="1" customWidth="1"/>
    <col min="4128" max="4352" width="8.88671875" style="542"/>
    <col min="4353" max="4353" width="4.109375" style="542" customWidth="1"/>
    <col min="4354" max="4354" width="30.6640625" style="542" customWidth="1"/>
    <col min="4355" max="4356" width="3.6640625" style="542" customWidth="1"/>
    <col min="4357" max="4360" width="7.6640625" style="542" customWidth="1"/>
    <col min="4361" max="4381" width="8.88671875" style="542"/>
    <col min="4382" max="4383" width="0" style="542" hidden="1" customWidth="1"/>
    <col min="4384" max="4608" width="8.88671875" style="542"/>
    <col min="4609" max="4609" width="4.109375" style="542" customWidth="1"/>
    <col min="4610" max="4610" width="30.6640625" style="542" customWidth="1"/>
    <col min="4611" max="4612" width="3.6640625" style="542" customWidth="1"/>
    <col min="4613" max="4616" width="7.6640625" style="542" customWidth="1"/>
    <col min="4617" max="4637" width="8.88671875" style="542"/>
    <col min="4638" max="4639" width="0" style="542" hidden="1" customWidth="1"/>
    <col min="4640" max="4864" width="8.88671875" style="542"/>
    <col min="4865" max="4865" width="4.109375" style="542" customWidth="1"/>
    <col min="4866" max="4866" width="30.6640625" style="542" customWidth="1"/>
    <col min="4867" max="4868" width="3.6640625" style="542" customWidth="1"/>
    <col min="4869" max="4872" width="7.6640625" style="542" customWidth="1"/>
    <col min="4873" max="4893" width="8.88671875" style="542"/>
    <col min="4894" max="4895" width="0" style="542" hidden="1" customWidth="1"/>
    <col min="4896" max="5120" width="8.88671875" style="542"/>
    <col min="5121" max="5121" width="4.109375" style="542" customWidth="1"/>
    <col min="5122" max="5122" width="30.6640625" style="542" customWidth="1"/>
    <col min="5123" max="5124" width="3.6640625" style="542" customWidth="1"/>
    <col min="5125" max="5128" width="7.6640625" style="542" customWidth="1"/>
    <col min="5129" max="5149" width="8.88671875" style="542"/>
    <col min="5150" max="5151" width="0" style="542" hidden="1" customWidth="1"/>
    <col min="5152" max="5376" width="8.88671875" style="542"/>
    <col min="5377" max="5377" width="4.109375" style="542" customWidth="1"/>
    <col min="5378" max="5378" width="30.6640625" style="542" customWidth="1"/>
    <col min="5379" max="5380" width="3.6640625" style="542" customWidth="1"/>
    <col min="5381" max="5384" width="7.6640625" style="542" customWidth="1"/>
    <col min="5385" max="5405" width="8.88671875" style="542"/>
    <col min="5406" max="5407" width="0" style="542" hidden="1" customWidth="1"/>
    <col min="5408" max="5632" width="8.88671875" style="542"/>
    <col min="5633" max="5633" width="4.109375" style="542" customWidth="1"/>
    <col min="5634" max="5634" width="30.6640625" style="542" customWidth="1"/>
    <col min="5635" max="5636" width="3.6640625" style="542" customWidth="1"/>
    <col min="5637" max="5640" width="7.6640625" style="542" customWidth="1"/>
    <col min="5641" max="5661" width="8.88671875" style="542"/>
    <col min="5662" max="5663" width="0" style="542" hidden="1" customWidth="1"/>
    <col min="5664" max="5888" width="8.88671875" style="542"/>
    <col min="5889" max="5889" width="4.109375" style="542" customWidth="1"/>
    <col min="5890" max="5890" width="30.6640625" style="542" customWidth="1"/>
    <col min="5891" max="5892" width="3.6640625" style="542" customWidth="1"/>
    <col min="5893" max="5896" width="7.6640625" style="542" customWidth="1"/>
    <col min="5897" max="5917" width="8.88671875" style="542"/>
    <col min="5918" max="5919" width="0" style="542" hidden="1" customWidth="1"/>
    <col min="5920" max="6144" width="8.88671875" style="542"/>
    <col min="6145" max="6145" width="4.109375" style="542" customWidth="1"/>
    <col min="6146" max="6146" width="30.6640625" style="542" customWidth="1"/>
    <col min="6147" max="6148" width="3.6640625" style="542" customWidth="1"/>
    <col min="6149" max="6152" width="7.6640625" style="542" customWidth="1"/>
    <col min="6153" max="6173" width="8.88671875" style="542"/>
    <col min="6174" max="6175" width="0" style="542" hidden="1" customWidth="1"/>
    <col min="6176" max="6400" width="8.88671875" style="542"/>
    <col min="6401" max="6401" width="4.109375" style="542" customWidth="1"/>
    <col min="6402" max="6402" width="30.6640625" style="542" customWidth="1"/>
    <col min="6403" max="6404" width="3.6640625" style="542" customWidth="1"/>
    <col min="6405" max="6408" width="7.6640625" style="542" customWidth="1"/>
    <col min="6409" max="6429" width="8.88671875" style="542"/>
    <col min="6430" max="6431" width="0" style="542" hidden="1" customWidth="1"/>
    <col min="6432" max="6656" width="8.88671875" style="542"/>
    <col min="6657" max="6657" width="4.109375" style="542" customWidth="1"/>
    <col min="6658" max="6658" width="30.6640625" style="542" customWidth="1"/>
    <col min="6659" max="6660" width="3.6640625" style="542" customWidth="1"/>
    <col min="6661" max="6664" width="7.6640625" style="542" customWidth="1"/>
    <col min="6665" max="6685" width="8.88671875" style="542"/>
    <col min="6686" max="6687" width="0" style="542" hidden="1" customWidth="1"/>
    <col min="6688" max="6912" width="8.88671875" style="542"/>
    <col min="6913" max="6913" width="4.109375" style="542" customWidth="1"/>
    <col min="6914" max="6914" width="30.6640625" style="542" customWidth="1"/>
    <col min="6915" max="6916" width="3.6640625" style="542" customWidth="1"/>
    <col min="6917" max="6920" width="7.6640625" style="542" customWidth="1"/>
    <col min="6921" max="6941" width="8.88671875" style="542"/>
    <col min="6942" max="6943" width="0" style="542" hidden="1" customWidth="1"/>
    <col min="6944" max="7168" width="8.88671875" style="542"/>
    <col min="7169" max="7169" width="4.109375" style="542" customWidth="1"/>
    <col min="7170" max="7170" width="30.6640625" style="542" customWidth="1"/>
    <col min="7171" max="7172" width="3.6640625" style="542" customWidth="1"/>
    <col min="7173" max="7176" width="7.6640625" style="542" customWidth="1"/>
    <col min="7177" max="7197" width="8.88671875" style="542"/>
    <col min="7198" max="7199" width="0" style="542" hidden="1" customWidth="1"/>
    <col min="7200" max="7424" width="8.88671875" style="542"/>
    <col min="7425" max="7425" width="4.109375" style="542" customWidth="1"/>
    <col min="7426" max="7426" width="30.6640625" style="542" customWidth="1"/>
    <col min="7427" max="7428" width="3.6640625" style="542" customWidth="1"/>
    <col min="7429" max="7432" width="7.6640625" style="542" customWidth="1"/>
    <col min="7433" max="7453" width="8.88671875" style="542"/>
    <col min="7454" max="7455" width="0" style="542" hidden="1" customWidth="1"/>
    <col min="7456" max="7680" width="8.88671875" style="542"/>
    <col min="7681" max="7681" width="4.109375" style="542" customWidth="1"/>
    <col min="7682" max="7682" width="30.6640625" style="542" customWidth="1"/>
    <col min="7683" max="7684" width="3.6640625" style="542" customWidth="1"/>
    <col min="7685" max="7688" width="7.6640625" style="542" customWidth="1"/>
    <col min="7689" max="7709" width="8.88671875" style="542"/>
    <col min="7710" max="7711" width="0" style="542" hidden="1" customWidth="1"/>
    <col min="7712" max="7936" width="8.88671875" style="542"/>
    <col min="7937" max="7937" width="4.109375" style="542" customWidth="1"/>
    <col min="7938" max="7938" width="30.6640625" style="542" customWidth="1"/>
    <col min="7939" max="7940" width="3.6640625" style="542" customWidth="1"/>
    <col min="7941" max="7944" width="7.6640625" style="542" customWidth="1"/>
    <col min="7945" max="7965" width="8.88671875" style="542"/>
    <col min="7966" max="7967" width="0" style="542" hidden="1" customWidth="1"/>
    <col min="7968" max="8192" width="8.88671875" style="542"/>
    <col min="8193" max="8193" width="4.109375" style="542" customWidth="1"/>
    <col min="8194" max="8194" width="30.6640625" style="542" customWidth="1"/>
    <col min="8195" max="8196" width="3.6640625" style="542" customWidth="1"/>
    <col min="8197" max="8200" width="7.6640625" style="542" customWidth="1"/>
    <col min="8201" max="8221" width="8.88671875" style="542"/>
    <col min="8222" max="8223" width="0" style="542" hidden="1" customWidth="1"/>
    <col min="8224" max="8448" width="8.88671875" style="542"/>
    <col min="8449" max="8449" width="4.109375" style="542" customWidth="1"/>
    <col min="8450" max="8450" width="30.6640625" style="542" customWidth="1"/>
    <col min="8451" max="8452" width="3.6640625" style="542" customWidth="1"/>
    <col min="8453" max="8456" width="7.6640625" style="542" customWidth="1"/>
    <col min="8457" max="8477" width="8.88671875" style="542"/>
    <col min="8478" max="8479" width="0" style="542" hidden="1" customWidth="1"/>
    <col min="8480" max="8704" width="8.88671875" style="542"/>
    <col min="8705" max="8705" width="4.109375" style="542" customWidth="1"/>
    <col min="8706" max="8706" width="30.6640625" style="542" customWidth="1"/>
    <col min="8707" max="8708" width="3.6640625" style="542" customWidth="1"/>
    <col min="8709" max="8712" width="7.6640625" style="542" customWidth="1"/>
    <col min="8713" max="8733" width="8.88671875" style="542"/>
    <col min="8734" max="8735" width="0" style="542" hidden="1" customWidth="1"/>
    <col min="8736" max="8960" width="8.88671875" style="542"/>
    <col min="8961" max="8961" width="4.109375" style="542" customWidth="1"/>
    <col min="8962" max="8962" width="30.6640625" style="542" customWidth="1"/>
    <col min="8963" max="8964" width="3.6640625" style="542" customWidth="1"/>
    <col min="8965" max="8968" width="7.6640625" style="542" customWidth="1"/>
    <col min="8969" max="8989" width="8.88671875" style="542"/>
    <col min="8990" max="8991" width="0" style="542" hidden="1" customWidth="1"/>
    <col min="8992" max="9216" width="8.88671875" style="542"/>
    <col min="9217" max="9217" width="4.109375" style="542" customWidth="1"/>
    <col min="9218" max="9218" width="30.6640625" style="542" customWidth="1"/>
    <col min="9219" max="9220" width="3.6640625" style="542" customWidth="1"/>
    <col min="9221" max="9224" width="7.6640625" style="542" customWidth="1"/>
    <col min="9225" max="9245" width="8.88671875" style="542"/>
    <col min="9246" max="9247" width="0" style="542" hidden="1" customWidth="1"/>
    <col min="9248" max="9472" width="8.88671875" style="542"/>
    <col min="9473" max="9473" width="4.109375" style="542" customWidth="1"/>
    <col min="9474" max="9474" width="30.6640625" style="542" customWidth="1"/>
    <col min="9475" max="9476" width="3.6640625" style="542" customWidth="1"/>
    <col min="9477" max="9480" width="7.6640625" style="542" customWidth="1"/>
    <col min="9481" max="9501" width="8.88671875" style="542"/>
    <col min="9502" max="9503" width="0" style="542" hidden="1" customWidth="1"/>
    <col min="9504" max="9728" width="8.88671875" style="542"/>
    <col min="9729" max="9729" width="4.109375" style="542" customWidth="1"/>
    <col min="9730" max="9730" width="30.6640625" style="542" customWidth="1"/>
    <col min="9731" max="9732" width="3.6640625" style="542" customWidth="1"/>
    <col min="9733" max="9736" width="7.6640625" style="542" customWidth="1"/>
    <col min="9737" max="9757" width="8.88671875" style="542"/>
    <col min="9758" max="9759" width="0" style="542" hidden="1" customWidth="1"/>
    <col min="9760" max="9984" width="8.88671875" style="542"/>
    <col min="9985" max="9985" width="4.109375" style="542" customWidth="1"/>
    <col min="9986" max="9986" width="30.6640625" style="542" customWidth="1"/>
    <col min="9987" max="9988" width="3.6640625" style="542" customWidth="1"/>
    <col min="9989" max="9992" width="7.6640625" style="542" customWidth="1"/>
    <col min="9993" max="10013" width="8.88671875" style="542"/>
    <col min="10014" max="10015" width="0" style="542" hidden="1" customWidth="1"/>
    <col min="10016" max="10240" width="8.88671875" style="542"/>
    <col min="10241" max="10241" width="4.109375" style="542" customWidth="1"/>
    <col min="10242" max="10242" width="30.6640625" style="542" customWidth="1"/>
    <col min="10243" max="10244" width="3.6640625" style="542" customWidth="1"/>
    <col min="10245" max="10248" width="7.6640625" style="542" customWidth="1"/>
    <col min="10249" max="10269" width="8.88671875" style="542"/>
    <col min="10270" max="10271" width="0" style="542" hidden="1" customWidth="1"/>
    <col min="10272" max="10496" width="8.88671875" style="542"/>
    <col min="10497" max="10497" width="4.109375" style="542" customWidth="1"/>
    <col min="10498" max="10498" width="30.6640625" style="542" customWidth="1"/>
    <col min="10499" max="10500" width="3.6640625" style="542" customWidth="1"/>
    <col min="10501" max="10504" width="7.6640625" style="542" customWidth="1"/>
    <col min="10505" max="10525" width="8.88671875" style="542"/>
    <col min="10526" max="10527" width="0" style="542" hidden="1" customWidth="1"/>
    <col min="10528" max="10752" width="8.88671875" style="542"/>
    <col min="10753" max="10753" width="4.109375" style="542" customWidth="1"/>
    <col min="10754" max="10754" width="30.6640625" style="542" customWidth="1"/>
    <col min="10755" max="10756" width="3.6640625" style="542" customWidth="1"/>
    <col min="10757" max="10760" width="7.6640625" style="542" customWidth="1"/>
    <col min="10761" max="10781" width="8.88671875" style="542"/>
    <col min="10782" max="10783" width="0" style="542" hidden="1" customWidth="1"/>
    <col min="10784" max="11008" width="8.88671875" style="542"/>
    <col min="11009" max="11009" width="4.109375" style="542" customWidth="1"/>
    <col min="11010" max="11010" width="30.6640625" style="542" customWidth="1"/>
    <col min="11011" max="11012" width="3.6640625" style="542" customWidth="1"/>
    <col min="11013" max="11016" width="7.6640625" style="542" customWidth="1"/>
    <col min="11017" max="11037" width="8.88671875" style="542"/>
    <col min="11038" max="11039" width="0" style="542" hidden="1" customWidth="1"/>
    <col min="11040" max="11264" width="8.88671875" style="542"/>
    <col min="11265" max="11265" width="4.109375" style="542" customWidth="1"/>
    <col min="11266" max="11266" width="30.6640625" style="542" customWidth="1"/>
    <col min="11267" max="11268" width="3.6640625" style="542" customWidth="1"/>
    <col min="11269" max="11272" width="7.6640625" style="542" customWidth="1"/>
    <col min="11273" max="11293" width="8.88671875" style="542"/>
    <col min="11294" max="11295" width="0" style="542" hidden="1" customWidth="1"/>
    <col min="11296" max="11520" width="8.88671875" style="542"/>
    <col min="11521" max="11521" width="4.109375" style="542" customWidth="1"/>
    <col min="11522" max="11522" width="30.6640625" style="542" customWidth="1"/>
    <col min="11523" max="11524" width="3.6640625" style="542" customWidth="1"/>
    <col min="11525" max="11528" width="7.6640625" style="542" customWidth="1"/>
    <col min="11529" max="11549" width="8.88671875" style="542"/>
    <col min="11550" max="11551" width="0" style="542" hidden="1" customWidth="1"/>
    <col min="11552" max="11776" width="8.88671875" style="542"/>
    <col min="11777" max="11777" width="4.109375" style="542" customWidth="1"/>
    <col min="11778" max="11778" width="30.6640625" style="542" customWidth="1"/>
    <col min="11779" max="11780" width="3.6640625" style="542" customWidth="1"/>
    <col min="11781" max="11784" width="7.6640625" style="542" customWidth="1"/>
    <col min="11785" max="11805" width="8.88671875" style="542"/>
    <col min="11806" max="11807" width="0" style="542" hidden="1" customWidth="1"/>
    <col min="11808" max="12032" width="8.88671875" style="542"/>
    <col min="12033" max="12033" width="4.109375" style="542" customWidth="1"/>
    <col min="12034" max="12034" width="30.6640625" style="542" customWidth="1"/>
    <col min="12035" max="12036" width="3.6640625" style="542" customWidth="1"/>
    <col min="12037" max="12040" width="7.6640625" style="542" customWidth="1"/>
    <col min="12041" max="12061" width="8.88671875" style="542"/>
    <col min="12062" max="12063" width="0" style="542" hidden="1" customWidth="1"/>
    <col min="12064" max="12288" width="8.88671875" style="542"/>
    <col min="12289" max="12289" width="4.109375" style="542" customWidth="1"/>
    <col min="12290" max="12290" width="30.6640625" style="542" customWidth="1"/>
    <col min="12291" max="12292" width="3.6640625" style="542" customWidth="1"/>
    <col min="12293" max="12296" width="7.6640625" style="542" customWidth="1"/>
    <col min="12297" max="12317" width="8.88671875" style="542"/>
    <col min="12318" max="12319" width="0" style="542" hidden="1" customWidth="1"/>
    <col min="12320" max="12544" width="8.88671875" style="542"/>
    <col min="12545" max="12545" width="4.109375" style="542" customWidth="1"/>
    <col min="12546" max="12546" width="30.6640625" style="542" customWidth="1"/>
    <col min="12547" max="12548" width="3.6640625" style="542" customWidth="1"/>
    <col min="12549" max="12552" width="7.6640625" style="542" customWidth="1"/>
    <col min="12553" max="12573" width="8.88671875" style="542"/>
    <col min="12574" max="12575" width="0" style="542" hidden="1" customWidth="1"/>
    <col min="12576" max="12800" width="8.88671875" style="542"/>
    <col min="12801" max="12801" width="4.109375" style="542" customWidth="1"/>
    <col min="12802" max="12802" width="30.6640625" style="542" customWidth="1"/>
    <col min="12803" max="12804" width="3.6640625" style="542" customWidth="1"/>
    <col min="12805" max="12808" width="7.6640625" style="542" customWidth="1"/>
    <col min="12809" max="12829" width="8.88671875" style="542"/>
    <col min="12830" max="12831" width="0" style="542" hidden="1" customWidth="1"/>
    <col min="12832" max="13056" width="8.88671875" style="542"/>
    <col min="13057" max="13057" width="4.109375" style="542" customWidth="1"/>
    <col min="13058" max="13058" width="30.6640625" style="542" customWidth="1"/>
    <col min="13059" max="13060" width="3.6640625" style="542" customWidth="1"/>
    <col min="13061" max="13064" width="7.6640625" style="542" customWidth="1"/>
    <col min="13065" max="13085" width="8.88671875" style="542"/>
    <col min="13086" max="13087" width="0" style="542" hidden="1" customWidth="1"/>
    <col min="13088" max="13312" width="8.88671875" style="542"/>
    <col min="13313" max="13313" width="4.109375" style="542" customWidth="1"/>
    <col min="13314" max="13314" width="30.6640625" style="542" customWidth="1"/>
    <col min="13315" max="13316" width="3.6640625" style="542" customWidth="1"/>
    <col min="13317" max="13320" width="7.6640625" style="542" customWidth="1"/>
    <col min="13321" max="13341" width="8.88671875" style="542"/>
    <col min="13342" max="13343" width="0" style="542" hidden="1" customWidth="1"/>
    <col min="13344" max="13568" width="8.88671875" style="542"/>
    <col min="13569" max="13569" width="4.109375" style="542" customWidth="1"/>
    <col min="13570" max="13570" width="30.6640625" style="542" customWidth="1"/>
    <col min="13571" max="13572" width="3.6640625" style="542" customWidth="1"/>
    <col min="13573" max="13576" width="7.6640625" style="542" customWidth="1"/>
    <col min="13577" max="13597" width="8.88671875" style="542"/>
    <col min="13598" max="13599" width="0" style="542" hidden="1" customWidth="1"/>
    <col min="13600" max="13824" width="8.88671875" style="542"/>
    <col min="13825" max="13825" width="4.109375" style="542" customWidth="1"/>
    <col min="13826" max="13826" width="30.6640625" style="542" customWidth="1"/>
    <col min="13827" max="13828" width="3.6640625" style="542" customWidth="1"/>
    <col min="13829" max="13832" width="7.6640625" style="542" customWidth="1"/>
    <col min="13833" max="13853" width="8.88671875" style="542"/>
    <col min="13854" max="13855" width="0" style="542" hidden="1" customWidth="1"/>
    <col min="13856" max="14080" width="8.88671875" style="542"/>
    <col min="14081" max="14081" width="4.109375" style="542" customWidth="1"/>
    <col min="14082" max="14082" width="30.6640625" style="542" customWidth="1"/>
    <col min="14083" max="14084" width="3.6640625" style="542" customWidth="1"/>
    <col min="14085" max="14088" width="7.6640625" style="542" customWidth="1"/>
    <col min="14089" max="14109" width="8.88671875" style="542"/>
    <col min="14110" max="14111" width="0" style="542" hidden="1" customWidth="1"/>
    <col min="14112" max="14336" width="8.88671875" style="542"/>
    <col min="14337" max="14337" width="4.109375" style="542" customWidth="1"/>
    <col min="14338" max="14338" width="30.6640625" style="542" customWidth="1"/>
    <col min="14339" max="14340" width="3.6640625" style="542" customWidth="1"/>
    <col min="14341" max="14344" width="7.6640625" style="542" customWidth="1"/>
    <col min="14345" max="14365" width="8.88671875" style="542"/>
    <col min="14366" max="14367" width="0" style="542" hidden="1" customWidth="1"/>
    <col min="14368" max="14592" width="8.88671875" style="542"/>
    <col min="14593" max="14593" width="4.109375" style="542" customWidth="1"/>
    <col min="14594" max="14594" width="30.6640625" style="542" customWidth="1"/>
    <col min="14595" max="14596" width="3.6640625" style="542" customWidth="1"/>
    <col min="14597" max="14600" width="7.6640625" style="542" customWidth="1"/>
    <col min="14601" max="14621" width="8.88671875" style="542"/>
    <col min="14622" max="14623" width="0" style="542" hidden="1" customWidth="1"/>
    <col min="14624" max="14848" width="8.88671875" style="542"/>
    <col min="14849" max="14849" width="4.109375" style="542" customWidth="1"/>
    <col min="14850" max="14850" width="30.6640625" style="542" customWidth="1"/>
    <col min="14851" max="14852" width="3.6640625" style="542" customWidth="1"/>
    <col min="14853" max="14856" width="7.6640625" style="542" customWidth="1"/>
    <col min="14857" max="14877" width="8.88671875" style="542"/>
    <col min="14878" max="14879" width="0" style="542" hidden="1" customWidth="1"/>
    <col min="14880" max="15104" width="8.88671875" style="542"/>
    <col min="15105" max="15105" width="4.109375" style="542" customWidth="1"/>
    <col min="15106" max="15106" width="30.6640625" style="542" customWidth="1"/>
    <col min="15107" max="15108" width="3.6640625" style="542" customWidth="1"/>
    <col min="15109" max="15112" width="7.6640625" style="542" customWidth="1"/>
    <col min="15113" max="15133" width="8.88671875" style="542"/>
    <col min="15134" max="15135" width="0" style="542" hidden="1" customWidth="1"/>
    <col min="15136" max="15360" width="8.88671875" style="542"/>
    <col min="15361" max="15361" width="4.109375" style="542" customWidth="1"/>
    <col min="15362" max="15362" width="30.6640625" style="542" customWidth="1"/>
    <col min="15363" max="15364" width="3.6640625" style="542" customWidth="1"/>
    <col min="15365" max="15368" width="7.6640625" style="542" customWidth="1"/>
    <col min="15369" max="15389" width="8.88671875" style="542"/>
    <col min="15390" max="15391" width="0" style="542" hidden="1" customWidth="1"/>
    <col min="15392" max="15616" width="8.88671875" style="542"/>
    <col min="15617" max="15617" width="4.109375" style="542" customWidth="1"/>
    <col min="15618" max="15618" width="30.6640625" style="542" customWidth="1"/>
    <col min="15619" max="15620" width="3.6640625" style="542" customWidth="1"/>
    <col min="15621" max="15624" width="7.6640625" style="542" customWidth="1"/>
    <col min="15625" max="15645" width="8.88671875" style="542"/>
    <col min="15646" max="15647" width="0" style="542" hidden="1" customWidth="1"/>
    <col min="15648" max="15872" width="8.88671875" style="542"/>
    <col min="15873" max="15873" width="4.109375" style="542" customWidth="1"/>
    <col min="15874" max="15874" width="30.6640625" style="542" customWidth="1"/>
    <col min="15875" max="15876" width="3.6640625" style="542" customWidth="1"/>
    <col min="15877" max="15880" width="7.6640625" style="542" customWidth="1"/>
    <col min="15881" max="15901" width="8.88671875" style="542"/>
    <col min="15902" max="15903" width="0" style="542" hidden="1" customWidth="1"/>
    <col min="15904" max="16128" width="8.88671875" style="542"/>
    <col min="16129" max="16129" width="4.109375" style="542" customWidth="1"/>
    <col min="16130" max="16130" width="30.6640625" style="542" customWidth="1"/>
    <col min="16131" max="16132" width="3.6640625" style="542" customWidth="1"/>
    <col min="16133" max="16136" width="7.6640625" style="542" customWidth="1"/>
    <col min="16137" max="16157" width="8.88671875" style="542"/>
    <col min="16158" max="16159" width="0" style="542" hidden="1" customWidth="1"/>
    <col min="16160" max="16384" width="8.88671875" style="542"/>
  </cols>
  <sheetData>
    <row r="1" spans="1:256" ht="19.899999999999999" customHeight="1">
      <c r="A1" s="1146" t="s">
        <v>4384</v>
      </c>
      <c r="B1" s="1146"/>
      <c r="C1" s="1146"/>
      <c r="D1" s="1146"/>
      <c r="E1" s="1146"/>
      <c r="F1" s="1146"/>
      <c r="G1" s="1146"/>
      <c r="H1" s="1146"/>
      <c r="I1" s="541"/>
      <c r="J1" s="541"/>
      <c r="K1" s="541"/>
      <c r="L1" s="541"/>
      <c r="M1" s="541"/>
      <c r="N1" s="541"/>
      <c r="O1" s="541"/>
      <c r="P1" s="541"/>
      <c r="Q1" s="541"/>
      <c r="R1" s="541"/>
      <c r="S1" s="541"/>
      <c r="T1" s="541"/>
      <c r="U1" s="541"/>
      <c r="V1" s="541"/>
      <c r="W1" s="541"/>
      <c r="X1" s="541"/>
      <c r="Y1" s="541"/>
      <c r="Z1" s="541"/>
      <c r="AA1" s="541"/>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41"/>
      <c r="AZ1" s="541"/>
      <c r="BA1" s="541"/>
      <c r="BB1" s="541"/>
      <c r="BC1" s="541"/>
      <c r="BD1" s="541"/>
      <c r="BE1" s="541"/>
      <c r="BF1" s="541"/>
      <c r="BG1" s="541"/>
      <c r="BH1" s="541"/>
      <c r="BI1" s="541"/>
      <c r="BJ1" s="541"/>
      <c r="BK1" s="541"/>
      <c r="BL1" s="541"/>
      <c r="BM1" s="541"/>
      <c r="BN1" s="541"/>
      <c r="BO1" s="541"/>
      <c r="BP1" s="541"/>
      <c r="BQ1" s="541"/>
      <c r="BR1" s="541"/>
      <c r="BS1" s="541"/>
      <c r="BT1" s="541"/>
      <c r="BU1" s="541"/>
      <c r="BV1" s="541"/>
      <c r="BW1" s="541"/>
      <c r="BX1" s="541"/>
      <c r="BY1" s="541"/>
      <c r="BZ1" s="541"/>
      <c r="CA1" s="541"/>
      <c r="CB1" s="541"/>
      <c r="CC1" s="541"/>
      <c r="CD1" s="541"/>
      <c r="CE1" s="541"/>
      <c r="CF1" s="541"/>
      <c r="CG1" s="541"/>
      <c r="CH1" s="541"/>
      <c r="CI1" s="541"/>
      <c r="CJ1" s="541"/>
      <c r="CK1" s="541"/>
      <c r="CL1" s="541"/>
      <c r="CM1" s="541"/>
      <c r="CN1" s="541"/>
      <c r="CO1" s="541"/>
      <c r="CP1" s="541"/>
      <c r="CQ1" s="541"/>
      <c r="CR1" s="541"/>
      <c r="CS1" s="541"/>
      <c r="CT1" s="541"/>
      <c r="CU1" s="541"/>
      <c r="CV1" s="541"/>
      <c r="CW1" s="541"/>
      <c r="CX1" s="541"/>
      <c r="CY1" s="541"/>
      <c r="CZ1" s="541"/>
      <c r="DA1" s="541"/>
      <c r="DB1" s="541"/>
      <c r="DC1" s="541"/>
      <c r="DD1" s="541"/>
      <c r="DE1" s="541"/>
      <c r="DF1" s="541"/>
      <c r="DG1" s="541"/>
      <c r="DH1" s="541"/>
      <c r="DI1" s="541"/>
      <c r="DJ1" s="541"/>
      <c r="DK1" s="541"/>
      <c r="DL1" s="541"/>
      <c r="DM1" s="541"/>
      <c r="DN1" s="541"/>
      <c r="DO1" s="541"/>
      <c r="DP1" s="541"/>
      <c r="DQ1" s="541"/>
      <c r="DR1" s="541"/>
      <c r="DS1" s="541"/>
      <c r="DT1" s="541"/>
      <c r="DU1" s="541"/>
      <c r="DV1" s="541"/>
      <c r="DW1" s="541"/>
      <c r="DX1" s="541"/>
      <c r="DY1" s="541"/>
      <c r="DZ1" s="541"/>
      <c r="EA1" s="541"/>
      <c r="EB1" s="541"/>
      <c r="EC1" s="541"/>
      <c r="ED1" s="541"/>
      <c r="EE1" s="541"/>
      <c r="EF1" s="541"/>
      <c r="EG1" s="541"/>
      <c r="EH1" s="541"/>
      <c r="EI1" s="541"/>
      <c r="EJ1" s="541"/>
      <c r="EK1" s="541"/>
      <c r="EL1" s="541"/>
      <c r="EM1" s="541"/>
      <c r="EN1" s="541"/>
      <c r="EO1" s="541"/>
      <c r="EP1" s="541"/>
      <c r="EQ1" s="541"/>
      <c r="ER1" s="541"/>
      <c r="ES1" s="541"/>
      <c r="ET1" s="541"/>
      <c r="EU1" s="541"/>
      <c r="EV1" s="541"/>
      <c r="EW1" s="541"/>
      <c r="EX1" s="541"/>
      <c r="EY1" s="541"/>
      <c r="EZ1" s="541"/>
      <c r="FA1" s="541"/>
      <c r="FB1" s="541"/>
      <c r="FC1" s="541"/>
      <c r="FD1" s="541"/>
      <c r="FE1" s="541"/>
      <c r="FF1" s="541"/>
      <c r="FG1" s="541"/>
      <c r="FH1" s="541"/>
      <c r="FI1" s="541"/>
      <c r="FJ1" s="541"/>
      <c r="FK1" s="541"/>
      <c r="FL1" s="541"/>
      <c r="FM1" s="541"/>
      <c r="FN1" s="541"/>
      <c r="FO1" s="541"/>
      <c r="FP1" s="541"/>
      <c r="FQ1" s="541"/>
      <c r="FR1" s="541"/>
      <c r="FS1" s="541"/>
      <c r="FT1" s="541"/>
      <c r="FU1" s="541"/>
      <c r="FV1" s="541"/>
      <c r="FW1" s="541"/>
      <c r="FX1" s="541"/>
      <c r="FY1" s="541"/>
      <c r="FZ1" s="541"/>
      <c r="GA1" s="541"/>
      <c r="GB1" s="541"/>
      <c r="GC1" s="541"/>
      <c r="GD1" s="541"/>
      <c r="GE1" s="541"/>
      <c r="GF1" s="541"/>
      <c r="GG1" s="541"/>
      <c r="GH1" s="541"/>
      <c r="GI1" s="541"/>
      <c r="GJ1" s="541"/>
      <c r="GK1" s="541"/>
      <c r="GL1" s="541"/>
      <c r="GM1" s="541"/>
      <c r="GN1" s="541"/>
      <c r="GO1" s="541"/>
      <c r="GP1" s="541"/>
      <c r="GQ1" s="541"/>
      <c r="GR1" s="541"/>
      <c r="GS1" s="541"/>
      <c r="GT1" s="541"/>
      <c r="GU1" s="541"/>
      <c r="GV1" s="541"/>
      <c r="GW1" s="541"/>
      <c r="GX1" s="541"/>
      <c r="GY1" s="541"/>
      <c r="GZ1" s="541"/>
      <c r="HA1" s="541"/>
      <c r="HB1" s="541"/>
      <c r="HC1" s="541"/>
      <c r="HD1" s="541"/>
      <c r="HE1" s="541"/>
      <c r="HF1" s="541"/>
      <c r="HG1" s="541"/>
      <c r="HH1" s="541"/>
      <c r="HI1" s="541"/>
      <c r="HJ1" s="541"/>
      <c r="HK1" s="541"/>
      <c r="HL1" s="541"/>
      <c r="HM1" s="541"/>
      <c r="HN1" s="541"/>
      <c r="HO1" s="541"/>
      <c r="HP1" s="541"/>
      <c r="HQ1" s="541"/>
      <c r="HR1" s="541"/>
      <c r="HS1" s="541"/>
      <c r="HT1" s="541"/>
      <c r="HU1" s="541"/>
      <c r="HV1" s="541"/>
      <c r="HW1" s="541"/>
      <c r="HX1" s="541"/>
      <c r="HY1" s="541"/>
      <c r="HZ1" s="541"/>
      <c r="IA1" s="541"/>
      <c r="IB1" s="541"/>
      <c r="IC1" s="541"/>
      <c r="ID1" s="541"/>
      <c r="IE1" s="541"/>
      <c r="IF1" s="541"/>
      <c r="IG1" s="541"/>
      <c r="IH1" s="541"/>
      <c r="II1" s="541"/>
      <c r="IJ1" s="541"/>
      <c r="IK1" s="541"/>
      <c r="IL1" s="541"/>
      <c r="IM1" s="541"/>
      <c r="IN1" s="541"/>
      <c r="IO1" s="541"/>
      <c r="IP1" s="541"/>
      <c r="IQ1" s="541"/>
      <c r="IR1" s="541"/>
      <c r="IS1" s="541"/>
      <c r="IT1" s="541"/>
      <c r="IU1" s="541"/>
      <c r="IV1" s="541"/>
    </row>
    <row r="2" spans="1:256" ht="60" customHeight="1">
      <c r="A2" s="1145" t="str">
        <f>'Plinth Protection'!A6:J6</f>
        <v>Name of work:  Construction of Urban Police Station Building at Nachiyarkoil in Thanjavur District under Announcement made by the Hon’ble Chief Minister for the year 2023 - 2024</v>
      </c>
      <c r="B2" s="1145"/>
      <c r="C2" s="1145"/>
      <c r="D2" s="1145"/>
      <c r="E2" s="1145"/>
      <c r="F2" s="1145"/>
      <c r="G2" s="1145"/>
      <c r="H2" s="1145"/>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c r="BK2" s="541"/>
      <c r="BL2" s="541"/>
      <c r="BM2" s="541"/>
      <c r="BN2" s="541"/>
      <c r="BO2" s="541"/>
      <c r="BP2" s="541"/>
      <c r="BQ2" s="541"/>
      <c r="BR2" s="541"/>
      <c r="BS2" s="541"/>
      <c r="BT2" s="541"/>
      <c r="BU2" s="541"/>
      <c r="BV2" s="541"/>
      <c r="BW2" s="541"/>
      <c r="BX2" s="541"/>
      <c r="BY2" s="541"/>
      <c r="BZ2" s="541"/>
      <c r="CA2" s="541"/>
      <c r="CB2" s="541"/>
      <c r="CC2" s="541"/>
      <c r="CD2" s="541"/>
      <c r="CE2" s="541"/>
      <c r="CF2" s="541"/>
      <c r="CG2" s="541"/>
      <c r="CH2" s="541"/>
      <c r="CI2" s="541"/>
      <c r="CJ2" s="541"/>
      <c r="CK2" s="541"/>
      <c r="CL2" s="541"/>
      <c r="CM2" s="541"/>
      <c r="CN2" s="541"/>
      <c r="CO2" s="541"/>
      <c r="CP2" s="541"/>
      <c r="CQ2" s="541"/>
      <c r="CR2" s="541"/>
      <c r="CS2" s="541"/>
      <c r="CT2" s="541"/>
      <c r="CU2" s="541"/>
      <c r="CV2" s="541"/>
      <c r="CW2" s="541"/>
      <c r="CX2" s="541"/>
      <c r="CY2" s="541"/>
      <c r="CZ2" s="541"/>
      <c r="DA2" s="541"/>
      <c r="DB2" s="541"/>
      <c r="DC2" s="541"/>
      <c r="DD2" s="541"/>
      <c r="DE2" s="541"/>
      <c r="DF2" s="541"/>
      <c r="DG2" s="541"/>
      <c r="DH2" s="541"/>
      <c r="DI2" s="541"/>
      <c r="DJ2" s="541"/>
      <c r="DK2" s="541"/>
      <c r="DL2" s="541"/>
      <c r="DM2" s="541"/>
      <c r="DN2" s="541"/>
      <c r="DO2" s="541"/>
      <c r="DP2" s="541"/>
      <c r="DQ2" s="541"/>
      <c r="DR2" s="541"/>
      <c r="DS2" s="541"/>
      <c r="DT2" s="541"/>
      <c r="DU2" s="541"/>
      <c r="DV2" s="541"/>
      <c r="DW2" s="541"/>
      <c r="DX2" s="541"/>
      <c r="DY2" s="541"/>
      <c r="DZ2" s="541"/>
      <c r="EA2" s="541"/>
      <c r="EB2" s="541"/>
      <c r="EC2" s="541"/>
      <c r="ED2" s="541"/>
      <c r="EE2" s="541"/>
      <c r="EF2" s="541"/>
      <c r="EG2" s="541"/>
      <c r="EH2" s="541"/>
      <c r="EI2" s="541"/>
      <c r="EJ2" s="541"/>
      <c r="EK2" s="541"/>
      <c r="EL2" s="541"/>
      <c r="EM2" s="541"/>
      <c r="EN2" s="541"/>
      <c r="EO2" s="541"/>
      <c r="EP2" s="541"/>
      <c r="EQ2" s="541"/>
      <c r="ER2" s="541"/>
      <c r="ES2" s="541"/>
      <c r="ET2" s="541"/>
      <c r="EU2" s="541"/>
      <c r="EV2" s="541"/>
      <c r="EW2" s="541"/>
      <c r="EX2" s="541"/>
      <c r="EY2" s="541"/>
      <c r="EZ2" s="541"/>
      <c r="FA2" s="541"/>
      <c r="FB2" s="541"/>
      <c r="FC2" s="541"/>
      <c r="FD2" s="541"/>
      <c r="FE2" s="541"/>
      <c r="FF2" s="541"/>
      <c r="FG2" s="541"/>
      <c r="FH2" s="541"/>
      <c r="FI2" s="541"/>
      <c r="FJ2" s="541"/>
      <c r="FK2" s="541"/>
      <c r="FL2" s="541"/>
      <c r="FM2" s="541"/>
      <c r="FN2" s="541"/>
      <c r="FO2" s="541"/>
      <c r="FP2" s="541"/>
      <c r="FQ2" s="541"/>
      <c r="FR2" s="541"/>
      <c r="FS2" s="541"/>
      <c r="FT2" s="541"/>
      <c r="FU2" s="541"/>
      <c r="FV2" s="541"/>
      <c r="FW2" s="541"/>
      <c r="FX2" s="541"/>
      <c r="FY2" s="541"/>
      <c r="FZ2" s="541"/>
      <c r="GA2" s="541"/>
      <c r="GB2" s="541"/>
      <c r="GC2" s="541"/>
      <c r="GD2" s="541"/>
      <c r="GE2" s="541"/>
      <c r="GF2" s="541"/>
      <c r="GG2" s="541"/>
      <c r="GH2" s="541"/>
      <c r="GI2" s="541"/>
      <c r="GJ2" s="541"/>
      <c r="GK2" s="541"/>
      <c r="GL2" s="541"/>
      <c r="GM2" s="541"/>
      <c r="GN2" s="541"/>
      <c r="GO2" s="541"/>
      <c r="GP2" s="541"/>
      <c r="GQ2" s="541"/>
      <c r="GR2" s="541"/>
      <c r="GS2" s="541"/>
      <c r="GT2" s="541"/>
      <c r="GU2" s="541"/>
      <c r="GV2" s="541"/>
      <c r="GW2" s="541"/>
      <c r="GX2" s="541"/>
      <c r="GY2" s="541"/>
      <c r="GZ2" s="541"/>
      <c r="HA2" s="541"/>
      <c r="HB2" s="541"/>
      <c r="HC2" s="541"/>
      <c r="HD2" s="541"/>
      <c r="HE2" s="541"/>
      <c r="HF2" s="541"/>
      <c r="HG2" s="541"/>
      <c r="HH2" s="541"/>
      <c r="HI2" s="541"/>
      <c r="HJ2" s="541"/>
      <c r="HK2" s="541"/>
      <c r="HL2" s="541"/>
      <c r="HM2" s="541"/>
      <c r="HN2" s="541"/>
      <c r="HO2" s="541"/>
      <c r="HP2" s="541"/>
      <c r="HQ2" s="541"/>
      <c r="HR2" s="541"/>
      <c r="HS2" s="541"/>
      <c r="HT2" s="541"/>
      <c r="HU2" s="541"/>
      <c r="HV2" s="541"/>
      <c r="HW2" s="541"/>
      <c r="HX2" s="541"/>
      <c r="HY2" s="541"/>
      <c r="HZ2" s="541"/>
      <c r="IA2" s="541"/>
      <c r="IB2" s="541"/>
      <c r="IC2" s="541"/>
      <c r="ID2" s="541"/>
      <c r="IE2" s="541"/>
      <c r="IF2" s="541"/>
      <c r="IG2" s="541"/>
      <c r="IH2" s="541"/>
      <c r="II2" s="541"/>
      <c r="IJ2" s="541"/>
      <c r="IK2" s="541"/>
      <c r="IL2" s="541"/>
      <c r="IM2" s="541"/>
      <c r="IN2" s="541"/>
      <c r="IO2" s="541"/>
      <c r="IP2" s="541"/>
      <c r="IQ2" s="541"/>
      <c r="IR2" s="541"/>
      <c r="IS2" s="541"/>
      <c r="IT2" s="541"/>
      <c r="IU2" s="541"/>
      <c r="IV2" s="541"/>
    </row>
    <row r="3" spans="1:256" ht="19.899999999999999" customHeight="1">
      <c r="A3" s="1146" t="s">
        <v>4385</v>
      </c>
      <c r="B3" s="1146"/>
      <c r="C3" s="1146"/>
      <c r="D3" s="1146"/>
      <c r="E3" s="1146"/>
      <c r="F3" s="1146"/>
      <c r="G3" s="1146"/>
      <c r="H3" s="1146"/>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c r="BK3" s="541"/>
      <c r="BL3" s="541"/>
      <c r="BM3" s="541"/>
      <c r="BN3" s="541"/>
      <c r="BO3" s="541"/>
      <c r="BP3" s="541"/>
      <c r="BQ3" s="541"/>
      <c r="BR3" s="541"/>
      <c r="BS3" s="541"/>
      <c r="BT3" s="541"/>
      <c r="BU3" s="541"/>
      <c r="BV3" s="541"/>
      <c r="BW3" s="541"/>
      <c r="BX3" s="541"/>
      <c r="BY3" s="541"/>
      <c r="BZ3" s="541"/>
      <c r="CA3" s="541"/>
      <c r="CB3" s="541"/>
      <c r="CC3" s="541"/>
      <c r="CD3" s="541"/>
      <c r="CE3" s="541"/>
      <c r="CF3" s="541"/>
      <c r="CG3" s="541"/>
      <c r="CH3" s="541"/>
      <c r="CI3" s="541"/>
      <c r="CJ3" s="541"/>
      <c r="CK3" s="541"/>
      <c r="CL3" s="541"/>
      <c r="CM3" s="541"/>
      <c r="CN3" s="541"/>
      <c r="CO3" s="541"/>
      <c r="CP3" s="541"/>
      <c r="CQ3" s="541"/>
      <c r="CR3" s="541"/>
      <c r="CS3" s="541"/>
      <c r="CT3" s="541"/>
      <c r="CU3" s="541"/>
      <c r="CV3" s="541"/>
      <c r="CW3" s="541"/>
      <c r="CX3" s="541"/>
      <c r="CY3" s="541"/>
      <c r="CZ3" s="541"/>
      <c r="DA3" s="541"/>
      <c r="DB3" s="541"/>
      <c r="DC3" s="541"/>
      <c r="DD3" s="541"/>
      <c r="DE3" s="541"/>
      <c r="DF3" s="541"/>
      <c r="DG3" s="541"/>
      <c r="DH3" s="541"/>
      <c r="DI3" s="541"/>
      <c r="DJ3" s="541"/>
      <c r="DK3" s="541"/>
      <c r="DL3" s="541"/>
      <c r="DM3" s="541"/>
      <c r="DN3" s="541"/>
      <c r="DO3" s="541"/>
      <c r="DP3" s="541"/>
      <c r="DQ3" s="541"/>
      <c r="DR3" s="541"/>
      <c r="DS3" s="541"/>
      <c r="DT3" s="541"/>
      <c r="DU3" s="541"/>
      <c r="DV3" s="541"/>
      <c r="DW3" s="541"/>
      <c r="DX3" s="541"/>
      <c r="DY3" s="541"/>
      <c r="DZ3" s="541"/>
      <c r="EA3" s="541"/>
      <c r="EB3" s="541"/>
      <c r="EC3" s="541"/>
      <c r="ED3" s="541"/>
      <c r="EE3" s="541"/>
      <c r="EF3" s="541"/>
      <c r="EG3" s="541"/>
      <c r="EH3" s="541"/>
      <c r="EI3" s="541"/>
      <c r="EJ3" s="541"/>
      <c r="EK3" s="541"/>
      <c r="EL3" s="541"/>
      <c r="EM3" s="541"/>
      <c r="EN3" s="541"/>
      <c r="EO3" s="541"/>
      <c r="EP3" s="541"/>
      <c r="EQ3" s="541"/>
      <c r="ER3" s="541"/>
      <c r="ES3" s="541"/>
      <c r="ET3" s="541"/>
      <c r="EU3" s="541"/>
      <c r="EV3" s="541"/>
      <c r="EW3" s="541"/>
      <c r="EX3" s="541"/>
      <c r="EY3" s="541"/>
      <c r="EZ3" s="541"/>
      <c r="FA3" s="541"/>
      <c r="FB3" s="541"/>
      <c r="FC3" s="541"/>
      <c r="FD3" s="541"/>
      <c r="FE3" s="541"/>
      <c r="FF3" s="541"/>
      <c r="FG3" s="541"/>
      <c r="FH3" s="541"/>
      <c r="FI3" s="541"/>
      <c r="FJ3" s="541"/>
      <c r="FK3" s="541"/>
      <c r="FL3" s="541"/>
      <c r="FM3" s="541"/>
      <c r="FN3" s="541"/>
      <c r="FO3" s="541"/>
      <c r="FP3" s="541"/>
      <c r="FQ3" s="541"/>
      <c r="FR3" s="541"/>
      <c r="FS3" s="541"/>
      <c r="FT3" s="541"/>
      <c r="FU3" s="541"/>
      <c r="FV3" s="541"/>
      <c r="FW3" s="541"/>
      <c r="FX3" s="541"/>
      <c r="FY3" s="541"/>
      <c r="FZ3" s="541"/>
      <c r="GA3" s="541"/>
      <c r="GB3" s="541"/>
      <c r="GC3" s="541"/>
      <c r="GD3" s="541"/>
      <c r="GE3" s="541"/>
      <c r="GF3" s="541"/>
      <c r="GG3" s="541"/>
      <c r="GH3" s="541"/>
      <c r="GI3" s="541"/>
      <c r="GJ3" s="541"/>
      <c r="GK3" s="541"/>
      <c r="GL3" s="541"/>
      <c r="GM3" s="541"/>
      <c r="GN3" s="541"/>
      <c r="GO3" s="541"/>
      <c r="GP3" s="541"/>
      <c r="GQ3" s="541"/>
      <c r="GR3" s="541"/>
      <c r="GS3" s="541"/>
      <c r="GT3" s="541"/>
      <c r="GU3" s="541"/>
      <c r="GV3" s="541"/>
      <c r="GW3" s="541"/>
      <c r="GX3" s="541"/>
      <c r="GY3" s="541"/>
      <c r="GZ3" s="541"/>
      <c r="HA3" s="541"/>
      <c r="HB3" s="541"/>
      <c r="HC3" s="541"/>
      <c r="HD3" s="541"/>
      <c r="HE3" s="541"/>
      <c r="HF3" s="541"/>
      <c r="HG3" s="541"/>
      <c r="HH3" s="541"/>
      <c r="HI3" s="541"/>
      <c r="HJ3" s="541"/>
      <c r="HK3" s="541"/>
      <c r="HL3" s="541"/>
      <c r="HM3" s="541"/>
      <c r="HN3" s="541"/>
      <c r="HO3" s="541"/>
      <c r="HP3" s="541"/>
      <c r="HQ3" s="541"/>
      <c r="HR3" s="541"/>
      <c r="HS3" s="541"/>
      <c r="HT3" s="541"/>
      <c r="HU3" s="541"/>
      <c r="HV3" s="541"/>
      <c r="HW3" s="541"/>
      <c r="HX3" s="541"/>
      <c r="HY3" s="541"/>
      <c r="HZ3" s="541"/>
      <c r="IA3" s="541"/>
      <c r="IB3" s="541"/>
      <c r="IC3" s="541"/>
      <c r="ID3" s="541"/>
      <c r="IE3" s="541"/>
      <c r="IF3" s="541"/>
      <c r="IG3" s="541"/>
      <c r="IH3" s="541"/>
      <c r="II3" s="541"/>
      <c r="IJ3" s="541"/>
      <c r="IK3" s="541"/>
      <c r="IL3" s="541"/>
      <c r="IM3" s="541"/>
      <c r="IN3" s="541"/>
      <c r="IO3" s="541"/>
      <c r="IP3" s="541"/>
      <c r="IQ3" s="541"/>
      <c r="IR3" s="541"/>
      <c r="IS3" s="541"/>
      <c r="IT3" s="541"/>
      <c r="IU3" s="541"/>
      <c r="IV3" s="541"/>
    </row>
    <row r="4" spans="1:256" ht="18" customHeight="1">
      <c r="A4" s="1147" t="s">
        <v>3601</v>
      </c>
      <c r="B4" s="1149" t="s">
        <v>4217</v>
      </c>
      <c r="C4" s="1150" t="s">
        <v>838</v>
      </c>
      <c r="D4" s="1150"/>
      <c r="E4" s="1150" t="s">
        <v>4386</v>
      </c>
      <c r="F4" s="1150"/>
      <c r="G4" s="1150"/>
      <c r="H4" s="1150" t="s">
        <v>1720</v>
      </c>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c r="BK4" s="541"/>
      <c r="BL4" s="541"/>
      <c r="BM4" s="541"/>
      <c r="BN4" s="541"/>
      <c r="BO4" s="541"/>
      <c r="BP4" s="541"/>
      <c r="BQ4" s="541"/>
      <c r="BR4" s="541"/>
      <c r="BS4" s="541"/>
      <c r="BT4" s="541"/>
      <c r="BU4" s="541"/>
      <c r="BV4" s="541"/>
      <c r="BW4" s="541"/>
      <c r="BX4" s="541"/>
      <c r="BY4" s="541"/>
      <c r="BZ4" s="541"/>
      <c r="CA4" s="541"/>
      <c r="CB4" s="541"/>
      <c r="CC4" s="541"/>
      <c r="CD4" s="541"/>
      <c r="CE4" s="541"/>
      <c r="CF4" s="541"/>
      <c r="CG4" s="541"/>
      <c r="CH4" s="541"/>
      <c r="CI4" s="541"/>
      <c r="CJ4" s="541"/>
      <c r="CK4" s="541"/>
      <c r="CL4" s="541"/>
      <c r="CM4" s="541"/>
      <c r="CN4" s="541"/>
      <c r="CO4" s="541"/>
      <c r="CP4" s="541"/>
      <c r="CQ4" s="541"/>
      <c r="CR4" s="541"/>
      <c r="CS4" s="541"/>
      <c r="CT4" s="541"/>
      <c r="CU4" s="541"/>
      <c r="CV4" s="541"/>
      <c r="CW4" s="541"/>
      <c r="CX4" s="541"/>
      <c r="CY4" s="541"/>
      <c r="CZ4" s="541"/>
      <c r="DA4" s="541"/>
      <c r="DB4" s="541"/>
      <c r="DC4" s="541"/>
      <c r="DD4" s="541"/>
      <c r="DE4" s="541"/>
      <c r="DF4" s="541"/>
      <c r="DG4" s="541"/>
      <c r="DH4" s="541"/>
      <c r="DI4" s="541"/>
      <c r="DJ4" s="541"/>
      <c r="DK4" s="541"/>
      <c r="DL4" s="541"/>
      <c r="DM4" s="541"/>
      <c r="DN4" s="541"/>
      <c r="DO4" s="541"/>
      <c r="DP4" s="541"/>
      <c r="DQ4" s="541"/>
      <c r="DR4" s="541"/>
      <c r="DS4" s="541"/>
      <c r="DT4" s="541"/>
      <c r="DU4" s="541"/>
      <c r="DV4" s="541"/>
      <c r="DW4" s="541"/>
      <c r="DX4" s="541"/>
      <c r="DY4" s="541"/>
      <c r="DZ4" s="541"/>
      <c r="EA4" s="541"/>
      <c r="EB4" s="541"/>
      <c r="EC4" s="541"/>
      <c r="ED4" s="541"/>
      <c r="EE4" s="541"/>
      <c r="EF4" s="541"/>
      <c r="EG4" s="541"/>
      <c r="EH4" s="541"/>
      <c r="EI4" s="541"/>
      <c r="EJ4" s="541"/>
      <c r="EK4" s="541"/>
      <c r="EL4" s="541"/>
      <c r="EM4" s="541"/>
      <c r="EN4" s="541"/>
      <c r="EO4" s="541"/>
      <c r="EP4" s="541"/>
      <c r="EQ4" s="541"/>
      <c r="ER4" s="541"/>
      <c r="ES4" s="541"/>
      <c r="ET4" s="541"/>
      <c r="EU4" s="541"/>
      <c r="EV4" s="541"/>
      <c r="EW4" s="541"/>
      <c r="EX4" s="541"/>
      <c r="EY4" s="541"/>
      <c r="EZ4" s="541"/>
      <c r="FA4" s="541"/>
      <c r="FB4" s="541"/>
      <c r="FC4" s="541"/>
      <c r="FD4" s="541"/>
      <c r="FE4" s="541"/>
      <c r="FF4" s="541"/>
      <c r="FG4" s="541"/>
      <c r="FH4" s="541"/>
      <c r="FI4" s="541"/>
      <c r="FJ4" s="541"/>
      <c r="FK4" s="541"/>
      <c r="FL4" s="541"/>
      <c r="FM4" s="541"/>
      <c r="FN4" s="541"/>
      <c r="FO4" s="541"/>
      <c r="FP4" s="541"/>
      <c r="FQ4" s="541"/>
      <c r="FR4" s="541"/>
      <c r="FS4" s="541"/>
      <c r="FT4" s="541"/>
      <c r="FU4" s="541"/>
      <c r="FV4" s="541"/>
      <c r="FW4" s="541"/>
      <c r="FX4" s="541"/>
      <c r="FY4" s="541"/>
      <c r="FZ4" s="541"/>
      <c r="GA4" s="541"/>
      <c r="GB4" s="541"/>
      <c r="GC4" s="541"/>
      <c r="GD4" s="541"/>
      <c r="GE4" s="541"/>
      <c r="GF4" s="541"/>
      <c r="GG4" s="541"/>
      <c r="GH4" s="541"/>
      <c r="GI4" s="541"/>
      <c r="GJ4" s="541"/>
      <c r="GK4" s="541"/>
      <c r="GL4" s="541"/>
      <c r="GM4" s="541"/>
      <c r="GN4" s="541"/>
      <c r="GO4" s="541"/>
      <c r="GP4" s="541"/>
      <c r="GQ4" s="541"/>
      <c r="GR4" s="541"/>
      <c r="GS4" s="541"/>
      <c r="GT4" s="541"/>
      <c r="GU4" s="541"/>
      <c r="GV4" s="541"/>
      <c r="GW4" s="541"/>
      <c r="GX4" s="541"/>
      <c r="GY4" s="541"/>
      <c r="GZ4" s="541"/>
      <c r="HA4" s="541"/>
      <c r="HB4" s="541"/>
      <c r="HC4" s="541"/>
      <c r="HD4" s="541"/>
      <c r="HE4" s="541"/>
      <c r="HF4" s="541"/>
      <c r="HG4" s="541"/>
      <c r="HH4" s="541"/>
      <c r="HI4" s="541"/>
      <c r="HJ4" s="541"/>
      <c r="HK4" s="541"/>
      <c r="HL4" s="541"/>
      <c r="HM4" s="541"/>
      <c r="HN4" s="541"/>
      <c r="HO4" s="541"/>
      <c r="HP4" s="541"/>
      <c r="HQ4" s="541"/>
      <c r="HR4" s="541"/>
      <c r="HS4" s="541"/>
      <c r="HT4" s="541"/>
      <c r="HU4" s="541"/>
      <c r="HV4" s="541"/>
      <c r="HW4" s="541"/>
      <c r="HX4" s="541"/>
      <c r="HY4" s="541"/>
      <c r="HZ4" s="541"/>
      <c r="IA4" s="541"/>
      <c r="IB4" s="541"/>
      <c r="IC4" s="541"/>
      <c r="ID4" s="541"/>
      <c r="IE4" s="541"/>
      <c r="IF4" s="541"/>
      <c r="IG4" s="541"/>
      <c r="IH4" s="541"/>
      <c r="II4" s="541"/>
      <c r="IJ4" s="541"/>
      <c r="IK4" s="541"/>
      <c r="IL4" s="541"/>
      <c r="IM4" s="541"/>
      <c r="IN4" s="541"/>
      <c r="IO4" s="541"/>
      <c r="IP4" s="541"/>
      <c r="IQ4" s="541"/>
      <c r="IR4" s="541"/>
      <c r="IS4" s="541"/>
      <c r="IT4" s="541"/>
      <c r="IU4" s="541"/>
      <c r="IV4" s="541"/>
    </row>
    <row r="5" spans="1:256">
      <c r="A5" s="1148"/>
      <c r="B5" s="1149"/>
      <c r="C5" s="1150"/>
      <c r="D5" s="1150"/>
      <c r="E5" s="543" t="s">
        <v>4387</v>
      </c>
      <c r="F5" s="543" t="s">
        <v>4218</v>
      </c>
      <c r="G5" s="543" t="s">
        <v>3294</v>
      </c>
      <c r="H5" s="1150"/>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c r="BK5" s="541"/>
      <c r="BL5" s="541"/>
      <c r="BM5" s="541"/>
      <c r="BN5" s="541"/>
      <c r="BO5" s="541"/>
      <c r="BP5" s="541"/>
      <c r="BQ5" s="541"/>
      <c r="BR5" s="541"/>
      <c r="BS5" s="541"/>
      <c r="BT5" s="541"/>
      <c r="BU5" s="541"/>
      <c r="BV5" s="541"/>
      <c r="BW5" s="541"/>
      <c r="BX5" s="541"/>
      <c r="BY5" s="541"/>
      <c r="BZ5" s="541"/>
      <c r="CA5" s="541"/>
      <c r="CB5" s="541"/>
      <c r="CC5" s="541"/>
      <c r="CD5" s="541"/>
      <c r="CE5" s="541"/>
      <c r="CF5" s="541"/>
      <c r="CG5" s="541"/>
      <c r="CH5" s="541"/>
      <c r="CI5" s="541"/>
      <c r="CJ5" s="541"/>
      <c r="CK5" s="541"/>
      <c r="CL5" s="541"/>
      <c r="CM5" s="541"/>
      <c r="CN5" s="541"/>
      <c r="CO5" s="541"/>
      <c r="CP5" s="541"/>
      <c r="CQ5" s="541"/>
      <c r="CR5" s="541"/>
      <c r="CS5" s="541"/>
      <c r="CT5" s="541"/>
      <c r="CU5" s="541"/>
      <c r="CV5" s="541"/>
      <c r="CW5" s="541"/>
      <c r="CX5" s="541"/>
      <c r="CY5" s="541"/>
      <c r="CZ5" s="541"/>
      <c r="DA5" s="541"/>
      <c r="DB5" s="541"/>
      <c r="DC5" s="541"/>
      <c r="DD5" s="541"/>
      <c r="DE5" s="541"/>
      <c r="DF5" s="541"/>
      <c r="DG5" s="541"/>
      <c r="DH5" s="541"/>
      <c r="DI5" s="541"/>
      <c r="DJ5" s="541"/>
      <c r="DK5" s="541"/>
      <c r="DL5" s="541"/>
      <c r="DM5" s="541"/>
      <c r="DN5" s="541"/>
      <c r="DO5" s="541"/>
      <c r="DP5" s="541"/>
      <c r="DQ5" s="541"/>
      <c r="DR5" s="541"/>
      <c r="DS5" s="541"/>
      <c r="DT5" s="541"/>
      <c r="DU5" s="541"/>
      <c r="DV5" s="541"/>
      <c r="DW5" s="541"/>
      <c r="DX5" s="541"/>
      <c r="DY5" s="541"/>
      <c r="DZ5" s="541"/>
      <c r="EA5" s="541"/>
      <c r="EB5" s="541"/>
      <c r="EC5" s="541"/>
      <c r="ED5" s="541"/>
      <c r="EE5" s="541"/>
      <c r="EF5" s="541"/>
      <c r="EG5" s="541"/>
      <c r="EH5" s="541"/>
      <c r="EI5" s="541"/>
      <c r="EJ5" s="541"/>
      <c r="EK5" s="541"/>
      <c r="EL5" s="541"/>
      <c r="EM5" s="541"/>
      <c r="EN5" s="541"/>
      <c r="EO5" s="541"/>
      <c r="EP5" s="541"/>
      <c r="EQ5" s="541"/>
      <c r="ER5" s="541"/>
      <c r="ES5" s="541"/>
      <c r="ET5" s="541"/>
      <c r="EU5" s="541"/>
      <c r="EV5" s="541"/>
      <c r="EW5" s="541"/>
      <c r="EX5" s="541"/>
      <c r="EY5" s="541"/>
      <c r="EZ5" s="541"/>
      <c r="FA5" s="541"/>
      <c r="FB5" s="541"/>
      <c r="FC5" s="541"/>
      <c r="FD5" s="541"/>
      <c r="FE5" s="541"/>
      <c r="FF5" s="541"/>
      <c r="FG5" s="541"/>
      <c r="FH5" s="541"/>
      <c r="FI5" s="541"/>
      <c r="FJ5" s="541"/>
      <c r="FK5" s="541"/>
      <c r="FL5" s="541"/>
      <c r="FM5" s="541"/>
      <c r="FN5" s="541"/>
      <c r="FO5" s="541"/>
      <c r="FP5" s="541"/>
      <c r="FQ5" s="541"/>
      <c r="FR5" s="541"/>
      <c r="FS5" s="541"/>
      <c r="FT5" s="541"/>
      <c r="FU5" s="541"/>
      <c r="FV5" s="541"/>
      <c r="FW5" s="541"/>
      <c r="FX5" s="541"/>
      <c r="FY5" s="541"/>
      <c r="FZ5" s="541"/>
      <c r="GA5" s="541"/>
      <c r="GB5" s="541"/>
      <c r="GC5" s="541"/>
      <c r="GD5" s="541"/>
      <c r="GE5" s="541"/>
      <c r="GF5" s="541"/>
      <c r="GG5" s="541"/>
      <c r="GH5" s="541"/>
      <c r="GI5" s="541"/>
      <c r="GJ5" s="541"/>
      <c r="GK5" s="541"/>
      <c r="GL5" s="541"/>
      <c r="GM5" s="541"/>
      <c r="GN5" s="541"/>
      <c r="GO5" s="541"/>
      <c r="GP5" s="541"/>
      <c r="GQ5" s="541"/>
      <c r="GR5" s="541"/>
      <c r="GS5" s="541"/>
      <c r="GT5" s="541"/>
      <c r="GU5" s="541"/>
      <c r="GV5" s="541"/>
      <c r="GW5" s="541"/>
      <c r="GX5" s="541"/>
      <c r="GY5" s="541"/>
      <c r="GZ5" s="541"/>
      <c r="HA5" s="541"/>
      <c r="HB5" s="541"/>
      <c r="HC5" s="541"/>
      <c r="HD5" s="541"/>
      <c r="HE5" s="541"/>
      <c r="HF5" s="541"/>
      <c r="HG5" s="541"/>
      <c r="HH5" s="541"/>
      <c r="HI5" s="541"/>
      <c r="HJ5" s="541"/>
      <c r="HK5" s="541"/>
      <c r="HL5" s="541"/>
      <c r="HM5" s="541"/>
      <c r="HN5" s="541"/>
      <c r="HO5" s="541"/>
      <c r="HP5" s="541"/>
      <c r="HQ5" s="541"/>
      <c r="HR5" s="541"/>
      <c r="HS5" s="541"/>
      <c r="HT5" s="541"/>
      <c r="HU5" s="541"/>
      <c r="HV5" s="541"/>
      <c r="HW5" s="541"/>
      <c r="HX5" s="541"/>
      <c r="HY5" s="541"/>
      <c r="HZ5" s="541"/>
      <c r="IA5" s="541"/>
      <c r="IB5" s="541"/>
      <c r="IC5" s="541"/>
      <c r="ID5" s="541"/>
      <c r="IE5" s="541"/>
      <c r="IF5" s="541"/>
      <c r="IG5" s="541"/>
      <c r="IH5" s="541"/>
      <c r="II5" s="541"/>
      <c r="IJ5" s="541"/>
      <c r="IK5" s="541"/>
      <c r="IL5" s="541"/>
      <c r="IM5" s="541"/>
      <c r="IN5" s="541"/>
      <c r="IO5" s="541"/>
      <c r="IP5" s="541"/>
      <c r="IQ5" s="541"/>
      <c r="IR5" s="541"/>
      <c r="IS5" s="541"/>
      <c r="IT5" s="541"/>
      <c r="IU5" s="541"/>
      <c r="IV5" s="541"/>
    </row>
    <row r="6" spans="1:256" ht="19.899999999999999" customHeight="1">
      <c r="A6" s="544">
        <v>1</v>
      </c>
      <c r="B6" s="1143" t="s">
        <v>4388</v>
      </c>
      <c r="C6" s="1143"/>
      <c r="D6" s="1143"/>
      <c r="E6" s="1143"/>
      <c r="F6" s="1143"/>
      <c r="G6" s="1143"/>
      <c r="H6" s="545"/>
    </row>
    <row r="7" spans="1:256" ht="19.899999999999999" customHeight="1">
      <c r="A7" s="544"/>
      <c r="B7" s="546" t="s">
        <v>4389</v>
      </c>
      <c r="C7" s="544"/>
      <c r="D7" s="547"/>
      <c r="E7" s="545"/>
      <c r="F7" s="545"/>
      <c r="G7" s="545"/>
      <c r="H7" s="545"/>
    </row>
    <row r="8" spans="1:256" ht="19.899999999999999" customHeight="1">
      <c r="A8" s="544"/>
      <c r="B8" s="548" t="s">
        <v>4390</v>
      </c>
      <c r="C8" s="544"/>
      <c r="D8" s="547"/>
      <c r="E8" s="545"/>
      <c r="F8" s="545"/>
      <c r="G8" s="545"/>
      <c r="H8" s="545"/>
    </row>
    <row r="9" spans="1:256" ht="19.899999999999999" customHeight="1">
      <c r="A9" s="549"/>
      <c r="B9" s="550" t="s">
        <v>4391</v>
      </c>
      <c r="C9" s="549">
        <v>1</v>
      </c>
      <c r="D9" s="547">
        <v>1</v>
      </c>
      <c r="E9" s="545">
        <v>50</v>
      </c>
      <c r="F9" s="545">
        <v>0.35</v>
      </c>
      <c r="G9" s="545">
        <v>0.2</v>
      </c>
      <c r="H9" s="545">
        <f>PRODUCT(C9:G9)</f>
        <v>3.5</v>
      </c>
      <c r="I9" s="551"/>
      <c r="L9" s="552"/>
      <c r="M9" s="553"/>
      <c r="N9" s="554"/>
    </row>
    <row r="10" spans="1:256" ht="19.899999999999999" customHeight="1">
      <c r="A10" s="549"/>
      <c r="B10" s="550"/>
      <c r="C10" s="549"/>
      <c r="D10" s="555"/>
      <c r="E10" s="545"/>
      <c r="F10" s="545"/>
      <c r="G10" s="545"/>
      <c r="H10" s="545"/>
    </row>
    <row r="11" spans="1:256" ht="19.899999999999999" customHeight="1">
      <c r="A11" s="549"/>
      <c r="B11" s="550"/>
      <c r="C11" s="549"/>
      <c r="D11" s="556"/>
      <c r="E11" s="545"/>
      <c r="F11" s="545"/>
      <c r="G11" s="545"/>
      <c r="H11" s="557">
        <f>SUM(H9:H10)</f>
        <v>3.5</v>
      </c>
    </row>
    <row r="12" spans="1:256" ht="19.899999999999999" customHeight="1">
      <c r="A12" s="549"/>
      <c r="B12" s="550"/>
      <c r="C12" s="549"/>
      <c r="D12" s="556"/>
      <c r="E12" s="545"/>
      <c r="F12" s="557" t="s">
        <v>2560</v>
      </c>
      <c r="G12" s="557">
        <f>H11</f>
        <v>3.5</v>
      </c>
      <c r="H12" s="558" t="s">
        <v>1749</v>
      </c>
    </row>
    <row r="13" spans="1:256" ht="19.899999999999999" customHeight="1">
      <c r="A13" s="544">
        <v>2</v>
      </c>
      <c r="B13" s="1143" t="s">
        <v>4392</v>
      </c>
      <c r="C13" s="1143"/>
      <c r="D13" s="1143"/>
      <c r="E13" s="1143"/>
      <c r="F13" s="1143"/>
      <c r="G13" s="1143"/>
      <c r="H13" s="545"/>
    </row>
    <row r="14" spans="1:256" ht="19.899999999999999" customHeight="1">
      <c r="A14" s="544"/>
      <c r="B14" s="546" t="s">
        <v>4389</v>
      </c>
      <c r="C14" s="544"/>
      <c r="D14" s="547"/>
      <c r="E14" s="545"/>
      <c r="F14" s="545"/>
      <c r="G14" s="545"/>
      <c r="H14" s="545"/>
    </row>
    <row r="15" spans="1:256" ht="19.899999999999999" customHeight="1">
      <c r="A15" s="544"/>
      <c r="B15" s="548" t="s">
        <v>4390</v>
      </c>
      <c r="C15" s="544"/>
      <c r="D15" s="547"/>
      <c r="E15" s="545"/>
      <c r="F15" s="545"/>
      <c r="G15" s="545"/>
      <c r="H15" s="545"/>
    </row>
    <row r="16" spans="1:256" ht="19.899999999999999" customHeight="1">
      <c r="A16" s="549"/>
      <c r="B16" s="550" t="s">
        <v>4391</v>
      </c>
      <c r="C16" s="549">
        <v>1</v>
      </c>
      <c r="D16" s="547">
        <v>1</v>
      </c>
      <c r="E16" s="545">
        <f>E9</f>
        <v>50</v>
      </c>
      <c r="F16" s="545">
        <v>0.35</v>
      </c>
      <c r="G16" s="545">
        <v>0.1</v>
      </c>
      <c r="H16" s="545">
        <f>PRODUCT(C16:G16)</f>
        <v>1.75</v>
      </c>
      <c r="I16" s="551"/>
      <c r="L16" s="552"/>
      <c r="M16" s="553"/>
      <c r="N16" s="554"/>
    </row>
    <row r="17" spans="1:256" ht="19.899999999999999" customHeight="1">
      <c r="A17" s="549"/>
      <c r="B17" s="550"/>
      <c r="C17" s="549"/>
      <c r="D17" s="555"/>
      <c r="E17" s="545"/>
      <c r="F17" s="545"/>
      <c r="G17" s="545"/>
      <c r="H17" s="545">
        <v>0.05</v>
      </c>
    </row>
    <row r="18" spans="1:256" ht="19.899999999999999" customHeight="1">
      <c r="A18" s="549"/>
      <c r="B18" s="550"/>
      <c r="C18" s="549"/>
      <c r="D18" s="556"/>
      <c r="E18" s="545"/>
      <c r="F18" s="545"/>
      <c r="G18" s="545"/>
      <c r="H18" s="557">
        <f>SUM(H16:H17)</f>
        <v>1.8</v>
      </c>
    </row>
    <row r="19" spans="1:256" ht="19.899999999999999" customHeight="1">
      <c r="A19" s="549"/>
      <c r="B19" s="550"/>
      <c r="C19" s="549"/>
      <c r="D19" s="556"/>
      <c r="E19" s="545"/>
      <c r="F19" s="557" t="s">
        <v>2560</v>
      </c>
      <c r="G19" s="557">
        <f>H18</f>
        <v>1.8</v>
      </c>
      <c r="H19" s="558" t="s">
        <v>1749</v>
      </c>
    </row>
    <row r="20" spans="1:256" ht="33" customHeight="1">
      <c r="A20" s="559">
        <v>3</v>
      </c>
      <c r="B20" s="1143" t="s">
        <v>4379</v>
      </c>
      <c r="C20" s="1143"/>
      <c r="D20" s="1143"/>
      <c r="E20" s="1143"/>
      <c r="F20" s="1143"/>
      <c r="G20" s="1143"/>
      <c r="H20" s="560"/>
      <c r="I20" s="561" t="e">
        <f>#REF!-K20</f>
        <v>#REF!</v>
      </c>
      <c r="J20" s="561"/>
      <c r="K20" s="561">
        <f>26.5+40.1</f>
        <v>66.599999999999994</v>
      </c>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c r="BA20" s="561"/>
      <c r="BB20" s="561"/>
      <c r="BC20" s="561"/>
      <c r="BD20" s="561"/>
      <c r="BE20" s="561"/>
      <c r="BF20" s="561"/>
      <c r="BG20" s="561"/>
      <c r="BH20" s="561"/>
      <c r="BI20" s="561"/>
      <c r="BJ20" s="561"/>
      <c r="BK20" s="561"/>
      <c r="BL20" s="561"/>
      <c r="BM20" s="561"/>
      <c r="BN20" s="561"/>
      <c r="BO20" s="561"/>
      <c r="BP20" s="561"/>
      <c r="BQ20" s="561"/>
      <c r="BR20" s="561"/>
      <c r="BS20" s="561"/>
      <c r="BT20" s="561"/>
      <c r="BU20" s="561"/>
      <c r="BV20" s="561"/>
      <c r="BW20" s="561"/>
      <c r="BX20" s="561"/>
      <c r="BY20" s="561"/>
      <c r="BZ20" s="561"/>
      <c r="CA20" s="561"/>
      <c r="CB20" s="561"/>
      <c r="CC20" s="561"/>
      <c r="CD20" s="561"/>
      <c r="CE20" s="561"/>
      <c r="CF20" s="561"/>
      <c r="CG20" s="561"/>
      <c r="CH20" s="561"/>
      <c r="CI20" s="561"/>
      <c r="CJ20" s="561"/>
      <c r="CK20" s="561"/>
      <c r="CL20" s="561"/>
      <c r="CM20" s="561"/>
      <c r="CN20" s="561"/>
      <c r="CO20" s="561"/>
      <c r="CP20" s="561"/>
      <c r="CQ20" s="561"/>
      <c r="CR20" s="561"/>
      <c r="CS20" s="561"/>
      <c r="CT20" s="561"/>
      <c r="CU20" s="561"/>
      <c r="CV20" s="561"/>
      <c r="CW20" s="561"/>
      <c r="CX20" s="561"/>
      <c r="CY20" s="561"/>
      <c r="CZ20" s="561"/>
      <c r="DA20" s="561"/>
      <c r="DB20" s="561"/>
      <c r="DC20" s="561"/>
      <c r="DD20" s="561"/>
      <c r="DE20" s="561"/>
      <c r="DF20" s="561"/>
      <c r="DG20" s="561"/>
      <c r="DH20" s="561"/>
      <c r="DI20" s="561"/>
      <c r="DJ20" s="561"/>
      <c r="DK20" s="561"/>
      <c r="DL20" s="561"/>
      <c r="DM20" s="561"/>
      <c r="DN20" s="561"/>
      <c r="DO20" s="561"/>
      <c r="DP20" s="561"/>
      <c r="DQ20" s="561"/>
      <c r="DR20" s="561"/>
      <c r="DS20" s="561"/>
      <c r="DT20" s="561"/>
      <c r="DU20" s="561"/>
      <c r="DV20" s="561"/>
      <c r="DW20" s="561"/>
      <c r="DX20" s="561"/>
      <c r="DY20" s="561"/>
      <c r="DZ20" s="561"/>
      <c r="EA20" s="561"/>
      <c r="EB20" s="561"/>
      <c r="EC20" s="561"/>
      <c r="ED20" s="561"/>
      <c r="EE20" s="561"/>
      <c r="EF20" s="561"/>
      <c r="EG20" s="561"/>
      <c r="EH20" s="561"/>
      <c r="EI20" s="561"/>
      <c r="EJ20" s="561"/>
      <c r="EK20" s="561"/>
      <c r="EL20" s="561"/>
      <c r="EM20" s="561"/>
      <c r="EN20" s="561"/>
      <c r="EO20" s="561"/>
      <c r="EP20" s="561"/>
      <c r="EQ20" s="561"/>
      <c r="ER20" s="561"/>
      <c r="ES20" s="561"/>
      <c r="ET20" s="561"/>
      <c r="EU20" s="561"/>
      <c r="EV20" s="561"/>
      <c r="EW20" s="561"/>
      <c r="EX20" s="561"/>
      <c r="EY20" s="561"/>
      <c r="EZ20" s="561"/>
      <c r="FA20" s="561"/>
      <c r="FB20" s="561"/>
      <c r="FC20" s="561"/>
      <c r="FD20" s="561"/>
      <c r="FE20" s="561"/>
      <c r="FF20" s="561"/>
      <c r="FG20" s="561"/>
      <c r="FH20" s="561"/>
      <c r="FI20" s="561"/>
      <c r="FJ20" s="561"/>
      <c r="FK20" s="561"/>
      <c r="FL20" s="561"/>
      <c r="FM20" s="561"/>
      <c r="FN20" s="561"/>
      <c r="FO20" s="561"/>
      <c r="FP20" s="561"/>
      <c r="FQ20" s="561"/>
      <c r="FR20" s="561"/>
      <c r="FS20" s="561"/>
      <c r="FT20" s="561"/>
      <c r="FU20" s="561"/>
      <c r="FV20" s="561"/>
      <c r="FW20" s="561"/>
      <c r="FX20" s="561"/>
      <c r="FY20" s="561"/>
      <c r="FZ20" s="561"/>
      <c r="GA20" s="561"/>
      <c r="GB20" s="561"/>
      <c r="GC20" s="561"/>
      <c r="GD20" s="561"/>
      <c r="GE20" s="561"/>
      <c r="GF20" s="561"/>
      <c r="GG20" s="561"/>
      <c r="GH20" s="561"/>
      <c r="GI20" s="561"/>
      <c r="GJ20" s="561"/>
      <c r="GK20" s="561"/>
      <c r="GL20" s="561"/>
      <c r="GM20" s="561"/>
      <c r="GN20" s="561"/>
      <c r="GO20" s="561"/>
      <c r="GP20" s="561"/>
      <c r="GQ20" s="561"/>
      <c r="GR20" s="561"/>
      <c r="GS20" s="561"/>
      <c r="GT20" s="561"/>
      <c r="GU20" s="561"/>
      <c r="GV20" s="561"/>
      <c r="GW20" s="561"/>
      <c r="GX20" s="561"/>
      <c r="GY20" s="561"/>
      <c r="GZ20" s="561"/>
      <c r="HA20" s="561"/>
      <c r="HB20" s="561"/>
      <c r="HC20" s="561"/>
      <c r="HD20" s="561"/>
      <c r="HE20" s="561"/>
      <c r="HF20" s="561"/>
      <c r="HG20" s="561"/>
      <c r="HH20" s="561"/>
      <c r="HI20" s="561"/>
      <c r="HJ20" s="561"/>
      <c r="HK20" s="561"/>
      <c r="HL20" s="561"/>
      <c r="HM20" s="561"/>
      <c r="HN20" s="561"/>
      <c r="HO20" s="561"/>
      <c r="HP20" s="561"/>
      <c r="HQ20" s="561"/>
      <c r="HR20" s="561"/>
      <c r="HS20" s="561"/>
      <c r="HT20" s="561"/>
      <c r="HU20" s="561"/>
      <c r="HV20" s="561"/>
      <c r="HW20" s="561"/>
      <c r="HX20" s="561"/>
      <c r="HY20" s="561"/>
      <c r="HZ20" s="561"/>
      <c r="IA20" s="561"/>
      <c r="IB20" s="561"/>
      <c r="IC20" s="561"/>
      <c r="ID20" s="561"/>
      <c r="IE20" s="561"/>
      <c r="IF20" s="561"/>
      <c r="IG20" s="561"/>
      <c r="IH20" s="561"/>
      <c r="II20" s="561"/>
      <c r="IJ20" s="561"/>
      <c r="IK20" s="561"/>
      <c r="IL20" s="561"/>
      <c r="IM20" s="561"/>
      <c r="IN20" s="561"/>
      <c r="IO20" s="561"/>
      <c r="IP20" s="561"/>
      <c r="IQ20" s="561"/>
      <c r="IR20" s="561"/>
      <c r="IS20" s="561"/>
      <c r="IT20" s="561"/>
      <c r="IU20" s="561"/>
      <c r="IV20" s="561"/>
    </row>
    <row r="21" spans="1:256" ht="19.899999999999999" customHeight="1">
      <c r="A21" s="544"/>
      <c r="B21" s="546" t="s">
        <v>4389</v>
      </c>
      <c r="C21" s="544"/>
      <c r="D21" s="547"/>
      <c r="E21" s="545"/>
      <c r="F21" s="545"/>
      <c r="G21" s="545"/>
      <c r="H21" s="545"/>
    </row>
    <row r="22" spans="1:256" ht="19.899999999999999" customHeight="1">
      <c r="A22" s="559"/>
      <c r="B22" s="562" t="s">
        <v>4393</v>
      </c>
      <c r="C22" s="559"/>
      <c r="D22" s="563"/>
      <c r="E22" s="564"/>
      <c r="F22" s="564"/>
      <c r="G22" s="564"/>
      <c r="H22" s="564"/>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c r="BA22" s="561"/>
      <c r="BB22" s="561"/>
      <c r="BC22" s="561"/>
      <c r="BD22" s="561"/>
      <c r="BE22" s="561"/>
      <c r="BF22" s="561"/>
      <c r="BG22" s="561"/>
      <c r="BH22" s="561"/>
      <c r="BI22" s="561"/>
      <c r="BJ22" s="561"/>
      <c r="BK22" s="561"/>
      <c r="BL22" s="561"/>
      <c r="BM22" s="561"/>
      <c r="BN22" s="561"/>
      <c r="BO22" s="561"/>
      <c r="BP22" s="561"/>
      <c r="BQ22" s="561"/>
      <c r="BR22" s="561"/>
      <c r="BS22" s="561"/>
      <c r="BT22" s="561"/>
      <c r="BU22" s="561"/>
      <c r="BV22" s="561"/>
      <c r="BW22" s="561"/>
      <c r="BX22" s="561"/>
      <c r="BY22" s="561"/>
      <c r="BZ22" s="561"/>
      <c r="CA22" s="561"/>
      <c r="CB22" s="561"/>
      <c r="CC22" s="561"/>
      <c r="CD22" s="561"/>
      <c r="CE22" s="561"/>
      <c r="CF22" s="561"/>
      <c r="CG22" s="561"/>
      <c r="CH22" s="561"/>
      <c r="CI22" s="561"/>
      <c r="CJ22" s="561"/>
      <c r="CK22" s="561"/>
      <c r="CL22" s="561"/>
      <c r="CM22" s="561"/>
      <c r="CN22" s="561"/>
      <c r="CO22" s="561"/>
      <c r="CP22" s="561"/>
      <c r="CQ22" s="561"/>
      <c r="CR22" s="561"/>
      <c r="CS22" s="561"/>
      <c r="CT22" s="561"/>
      <c r="CU22" s="561"/>
      <c r="CV22" s="561"/>
      <c r="CW22" s="561"/>
      <c r="CX22" s="561"/>
      <c r="CY22" s="561"/>
      <c r="CZ22" s="561"/>
      <c r="DA22" s="561"/>
      <c r="DB22" s="561"/>
      <c r="DC22" s="561"/>
      <c r="DD22" s="561"/>
      <c r="DE22" s="561"/>
      <c r="DF22" s="561"/>
      <c r="DG22" s="561"/>
      <c r="DH22" s="561"/>
      <c r="DI22" s="561"/>
      <c r="DJ22" s="561"/>
      <c r="DK22" s="561"/>
      <c r="DL22" s="561"/>
      <c r="DM22" s="561"/>
      <c r="DN22" s="561"/>
      <c r="DO22" s="561"/>
      <c r="DP22" s="561"/>
      <c r="DQ22" s="561"/>
      <c r="DR22" s="561"/>
      <c r="DS22" s="561"/>
      <c r="DT22" s="561"/>
      <c r="DU22" s="561"/>
      <c r="DV22" s="561"/>
      <c r="DW22" s="561"/>
      <c r="DX22" s="561"/>
      <c r="DY22" s="561"/>
      <c r="DZ22" s="561"/>
      <c r="EA22" s="561"/>
      <c r="EB22" s="561"/>
      <c r="EC22" s="561"/>
      <c r="ED22" s="561"/>
      <c r="EE22" s="561"/>
      <c r="EF22" s="561"/>
      <c r="EG22" s="561"/>
      <c r="EH22" s="561"/>
      <c r="EI22" s="561"/>
      <c r="EJ22" s="561"/>
      <c r="EK22" s="561"/>
      <c r="EL22" s="561"/>
      <c r="EM22" s="561"/>
      <c r="EN22" s="561"/>
      <c r="EO22" s="561"/>
      <c r="EP22" s="561"/>
      <c r="EQ22" s="561"/>
      <c r="ER22" s="561"/>
      <c r="ES22" s="561"/>
      <c r="ET22" s="561"/>
      <c r="EU22" s="561"/>
      <c r="EV22" s="561"/>
      <c r="EW22" s="561"/>
      <c r="EX22" s="561"/>
      <c r="EY22" s="561"/>
      <c r="EZ22" s="561"/>
      <c r="FA22" s="561"/>
      <c r="FB22" s="561"/>
      <c r="FC22" s="561"/>
      <c r="FD22" s="561"/>
      <c r="FE22" s="561"/>
      <c r="FF22" s="561"/>
      <c r="FG22" s="561"/>
      <c r="FH22" s="561"/>
      <c r="FI22" s="561"/>
      <c r="FJ22" s="561"/>
      <c r="FK22" s="561"/>
      <c r="FL22" s="561"/>
      <c r="FM22" s="561"/>
      <c r="FN22" s="561"/>
      <c r="FO22" s="561"/>
      <c r="FP22" s="561"/>
      <c r="FQ22" s="561"/>
      <c r="FR22" s="561"/>
      <c r="FS22" s="561"/>
      <c r="FT22" s="561"/>
      <c r="FU22" s="561"/>
      <c r="FV22" s="561"/>
      <c r="FW22" s="561"/>
      <c r="FX22" s="561"/>
      <c r="FY22" s="561"/>
      <c r="FZ22" s="561"/>
      <c r="GA22" s="561"/>
      <c r="GB22" s="561"/>
      <c r="GC22" s="561"/>
      <c r="GD22" s="561"/>
      <c r="GE22" s="561"/>
      <c r="GF22" s="561"/>
      <c r="GG22" s="561"/>
      <c r="GH22" s="561"/>
      <c r="GI22" s="561"/>
      <c r="GJ22" s="561"/>
      <c r="GK22" s="561"/>
      <c r="GL22" s="561"/>
      <c r="GM22" s="561"/>
      <c r="GN22" s="561"/>
      <c r="GO22" s="561"/>
      <c r="GP22" s="561"/>
      <c r="GQ22" s="561"/>
      <c r="GR22" s="561"/>
      <c r="GS22" s="561"/>
      <c r="GT22" s="561"/>
      <c r="GU22" s="561"/>
      <c r="GV22" s="561"/>
      <c r="GW22" s="561"/>
      <c r="GX22" s="561"/>
      <c r="GY22" s="561"/>
      <c r="GZ22" s="561"/>
      <c r="HA22" s="561"/>
      <c r="HB22" s="561"/>
      <c r="HC22" s="561"/>
      <c r="HD22" s="561"/>
      <c r="HE22" s="561"/>
      <c r="HF22" s="561"/>
      <c r="HG22" s="561"/>
      <c r="HH22" s="561"/>
      <c r="HI22" s="561"/>
      <c r="HJ22" s="561"/>
      <c r="HK22" s="561"/>
      <c r="HL22" s="561"/>
      <c r="HM22" s="561"/>
      <c r="HN22" s="561"/>
      <c r="HO22" s="561"/>
      <c r="HP22" s="561"/>
      <c r="HQ22" s="561"/>
      <c r="HR22" s="561"/>
      <c r="HS22" s="561"/>
      <c r="HT22" s="561"/>
      <c r="HU22" s="561"/>
      <c r="HV22" s="561"/>
      <c r="HW22" s="561"/>
      <c r="HX22" s="561"/>
      <c r="HY22" s="561"/>
      <c r="HZ22" s="561"/>
      <c r="IA22" s="561"/>
      <c r="IB22" s="561"/>
      <c r="IC22" s="561"/>
      <c r="ID22" s="561"/>
      <c r="IE22" s="561"/>
      <c r="IF22" s="561"/>
      <c r="IG22" s="561"/>
      <c r="IH22" s="561"/>
      <c r="II22" s="561"/>
      <c r="IJ22" s="561"/>
      <c r="IK22" s="561"/>
      <c r="IL22" s="561"/>
      <c r="IM22" s="561"/>
      <c r="IN22" s="561"/>
      <c r="IO22" s="561"/>
      <c r="IP22" s="561"/>
      <c r="IQ22" s="561"/>
      <c r="IR22" s="561"/>
      <c r="IS22" s="561"/>
      <c r="IT22" s="561"/>
      <c r="IU22" s="561"/>
      <c r="IV22" s="561"/>
    </row>
    <row r="23" spans="1:256" ht="19.899999999999999" customHeight="1">
      <c r="A23" s="549"/>
      <c r="B23" s="550" t="s">
        <v>4391</v>
      </c>
      <c r="C23" s="549">
        <v>1</v>
      </c>
      <c r="D23" s="547">
        <v>1</v>
      </c>
      <c r="E23" s="545">
        <f>E16</f>
        <v>50</v>
      </c>
      <c r="F23" s="545">
        <v>0.23</v>
      </c>
      <c r="G23" s="545">
        <v>0.3</v>
      </c>
      <c r="H23" s="545">
        <f>PRODUCT(C23:G23)</f>
        <v>3.45</v>
      </c>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c r="BA23" s="561"/>
      <c r="BB23" s="561"/>
      <c r="BC23" s="561"/>
      <c r="BD23" s="561"/>
      <c r="BE23" s="561"/>
      <c r="BF23" s="561"/>
      <c r="BG23" s="561"/>
      <c r="BH23" s="561"/>
      <c r="BI23" s="561"/>
      <c r="BJ23" s="561"/>
      <c r="BK23" s="561"/>
      <c r="BL23" s="561"/>
      <c r="BM23" s="561"/>
      <c r="BN23" s="561"/>
      <c r="BO23" s="561"/>
      <c r="BP23" s="561"/>
      <c r="BQ23" s="561"/>
      <c r="BR23" s="561"/>
      <c r="BS23" s="561"/>
      <c r="BT23" s="561"/>
      <c r="BU23" s="561"/>
      <c r="BV23" s="561"/>
      <c r="BW23" s="561"/>
      <c r="BX23" s="561"/>
      <c r="BY23" s="561"/>
      <c r="BZ23" s="561"/>
      <c r="CA23" s="561"/>
      <c r="CB23" s="561"/>
      <c r="CC23" s="561"/>
      <c r="CD23" s="561"/>
      <c r="CE23" s="561"/>
      <c r="CF23" s="561"/>
      <c r="CG23" s="561"/>
      <c r="CH23" s="561"/>
      <c r="CI23" s="561"/>
      <c r="CJ23" s="561"/>
      <c r="CK23" s="561"/>
      <c r="CL23" s="561"/>
      <c r="CM23" s="561"/>
      <c r="CN23" s="561"/>
      <c r="CO23" s="561"/>
      <c r="CP23" s="561"/>
      <c r="CQ23" s="561"/>
      <c r="CR23" s="561"/>
      <c r="CS23" s="561"/>
      <c r="CT23" s="561"/>
      <c r="CU23" s="561"/>
      <c r="CV23" s="561"/>
      <c r="CW23" s="561"/>
      <c r="CX23" s="561"/>
      <c r="CY23" s="561"/>
      <c r="CZ23" s="561"/>
      <c r="DA23" s="561"/>
      <c r="DB23" s="561"/>
      <c r="DC23" s="561"/>
      <c r="DD23" s="561"/>
      <c r="DE23" s="561"/>
      <c r="DF23" s="561"/>
      <c r="DG23" s="561"/>
      <c r="DH23" s="561"/>
      <c r="DI23" s="561"/>
      <c r="DJ23" s="561"/>
      <c r="DK23" s="561"/>
      <c r="DL23" s="561"/>
      <c r="DM23" s="561"/>
      <c r="DN23" s="561"/>
      <c r="DO23" s="561"/>
      <c r="DP23" s="561"/>
      <c r="DQ23" s="561"/>
      <c r="DR23" s="561"/>
      <c r="DS23" s="561"/>
      <c r="DT23" s="561"/>
      <c r="DU23" s="561"/>
      <c r="DV23" s="561"/>
      <c r="DW23" s="561"/>
      <c r="DX23" s="561"/>
      <c r="DY23" s="561"/>
      <c r="DZ23" s="561"/>
      <c r="EA23" s="561"/>
      <c r="EB23" s="561"/>
      <c r="EC23" s="561"/>
      <c r="ED23" s="561"/>
      <c r="EE23" s="561"/>
      <c r="EF23" s="561"/>
      <c r="EG23" s="561"/>
      <c r="EH23" s="561"/>
      <c r="EI23" s="561"/>
      <c r="EJ23" s="561"/>
      <c r="EK23" s="561"/>
      <c r="EL23" s="561"/>
      <c r="EM23" s="561"/>
      <c r="EN23" s="561"/>
      <c r="EO23" s="561"/>
      <c r="EP23" s="561"/>
      <c r="EQ23" s="561"/>
      <c r="ER23" s="561"/>
      <c r="ES23" s="561"/>
      <c r="ET23" s="561"/>
      <c r="EU23" s="561"/>
      <c r="EV23" s="561"/>
      <c r="EW23" s="561"/>
      <c r="EX23" s="561"/>
      <c r="EY23" s="561"/>
      <c r="EZ23" s="561"/>
      <c r="FA23" s="561"/>
      <c r="FB23" s="561"/>
      <c r="FC23" s="561"/>
      <c r="FD23" s="561"/>
      <c r="FE23" s="561"/>
      <c r="FF23" s="561"/>
      <c r="FG23" s="561"/>
      <c r="FH23" s="561"/>
      <c r="FI23" s="561"/>
      <c r="FJ23" s="561"/>
      <c r="FK23" s="561"/>
      <c r="FL23" s="561"/>
      <c r="FM23" s="561"/>
      <c r="FN23" s="561"/>
      <c r="FO23" s="561"/>
      <c r="FP23" s="561"/>
      <c r="FQ23" s="561"/>
      <c r="FR23" s="561"/>
      <c r="FS23" s="561"/>
      <c r="FT23" s="561"/>
      <c r="FU23" s="561"/>
      <c r="FV23" s="561"/>
      <c r="FW23" s="561"/>
      <c r="FX23" s="561"/>
      <c r="FY23" s="561"/>
      <c r="FZ23" s="561"/>
      <c r="GA23" s="561"/>
      <c r="GB23" s="561"/>
      <c r="GC23" s="561"/>
      <c r="GD23" s="561"/>
      <c r="GE23" s="561"/>
      <c r="GF23" s="561"/>
      <c r="GG23" s="561"/>
      <c r="GH23" s="561"/>
      <c r="GI23" s="561"/>
      <c r="GJ23" s="561"/>
      <c r="GK23" s="561"/>
      <c r="GL23" s="561"/>
      <c r="GM23" s="561"/>
      <c r="GN23" s="561"/>
      <c r="GO23" s="561"/>
      <c r="GP23" s="561"/>
      <c r="GQ23" s="561"/>
      <c r="GR23" s="561"/>
      <c r="GS23" s="561"/>
      <c r="GT23" s="561"/>
      <c r="GU23" s="561"/>
      <c r="GV23" s="561"/>
      <c r="GW23" s="561"/>
      <c r="GX23" s="561"/>
      <c r="GY23" s="561"/>
      <c r="GZ23" s="561"/>
      <c r="HA23" s="561"/>
      <c r="HB23" s="561"/>
      <c r="HC23" s="561"/>
      <c r="HD23" s="561"/>
      <c r="HE23" s="561"/>
      <c r="HF23" s="561"/>
      <c r="HG23" s="561"/>
      <c r="HH23" s="561"/>
      <c r="HI23" s="561"/>
      <c r="HJ23" s="561"/>
      <c r="HK23" s="561"/>
      <c r="HL23" s="561"/>
      <c r="HM23" s="561"/>
      <c r="HN23" s="561"/>
      <c r="HO23" s="561"/>
      <c r="HP23" s="561"/>
      <c r="HQ23" s="561"/>
      <c r="HR23" s="561"/>
      <c r="HS23" s="561"/>
      <c r="HT23" s="561"/>
      <c r="HU23" s="561"/>
      <c r="HV23" s="561"/>
      <c r="HW23" s="561"/>
      <c r="HX23" s="561"/>
      <c r="HY23" s="561"/>
      <c r="HZ23" s="561"/>
      <c r="IA23" s="561"/>
      <c r="IB23" s="561"/>
      <c r="IC23" s="561"/>
      <c r="ID23" s="561"/>
      <c r="IE23" s="561"/>
      <c r="IF23" s="561"/>
      <c r="IG23" s="561"/>
      <c r="IH23" s="561"/>
      <c r="II23" s="561"/>
      <c r="IJ23" s="561"/>
      <c r="IK23" s="561"/>
      <c r="IL23" s="561"/>
      <c r="IM23" s="561"/>
      <c r="IN23" s="561"/>
      <c r="IO23" s="561"/>
      <c r="IP23" s="561"/>
      <c r="IQ23" s="561"/>
      <c r="IR23" s="561"/>
      <c r="IS23" s="561"/>
      <c r="IT23" s="561"/>
      <c r="IU23" s="561"/>
      <c r="IV23" s="561"/>
    </row>
    <row r="24" spans="1:256" ht="19.899999999999999" customHeight="1">
      <c r="A24" s="549"/>
      <c r="B24" s="550"/>
      <c r="C24" s="549"/>
      <c r="D24" s="555"/>
      <c r="E24" s="545"/>
      <c r="F24" s="545"/>
      <c r="G24" s="545"/>
      <c r="H24" s="545">
        <v>0.05</v>
      </c>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c r="BA24" s="561"/>
      <c r="BB24" s="561"/>
      <c r="BC24" s="561"/>
      <c r="BD24" s="561"/>
      <c r="BE24" s="561"/>
      <c r="BF24" s="561"/>
      <c r="BG24" s="561"/>
      <c r="BH24" s="561"/>
      <c r="BI24" s="561"/>
      <c r="BJ24" s="561"/>
      <c r="BK24" s="561"/>
      <c r="BL24" s="561"/>
      <c r="BM24" s="561"/>
      <c r="BN24" s="561"/>
      <c r="BO24" s="561"/>
      <c r="BP24" s="561"/>
      <c r="BQ24" s="561"/>
      <c r="BR24" s="561"/>
      <c r="BS24" s="561"/>
      <c r="BT24" s="561"/>
      <c r="BU24" s="561"/>
      <c r="BV24" s="561"/>
      <c r="BW24" s="561"/>
      <c r="BX24" s="561"/>
      <c r="BY24" s="561"/>
      <c r="BZ24" s="561"/>
      <c r="CA24" s="561"/>
      <c r="CB24" s="561"/>
      <c r="CC24" s="561"/>
      <c r="CD24" s="561"/>
      <c r="CE24" s="561"/>
      <c r="CF24" s="561"/>
      <c r="CG24" s="561"/>
      <c r="CH24" s="561"/>
      <c r="CI24" s="561"/>
      <c r="CJ24" s="561"/>
      <c r="CK24" s="561"/>
      <c r="CL24" s="561"/>
      <c r="CM24" s="561"/>
      <c r="CN24" s="561"/>
      <c r="CO24" s="561"/>
      <c r="CP24" s="561"/>
      <c r="CQ24" s="561"/>
      <c r="CR24" s="561"/>
      <c r="CS24" s="561"/>
      <c r="CT24" s="561"/>
      <c r="CU24" s="561"/>
      <c r="CV24" s="561"/>
      <c r="CW24" s="561"/>
      <c r="CX24" s="561"/>
      <c r="CY24" s="561"/>
      <c r="CZ24" s="561"/>
      <c r="DA24" s="561"/>
      <c r="DB24" s="561"/>
      <c r="DC24" s="561"/>
      <c r="DD24" s="561"/>
      <c r="DE24" s="561"/>
      <c r="DF24" s="561"/>
      <c r="DG24" s="561"/>
      <c r="DH24" s="561"/>
      <c r="DI24" s="561"/>
      <c r="DJ24" s="561"/>
      <c r="DK24" s="561"/>
      <c r="DL24" s="561"/>
      <c r="DM24" s="561"/>
      <c r="DN24" s="561"/>
      <c r="DO24" s="561"/>
      <c r="DP24" s="561"/>
      <c r="DQ24" s="561"/>
      <c r="DR24" s="561"/>
      <c r="DS24" s="561"/>
      <c r="DT24" s="561"/>
      <c r="DU24" s="561"/>
      <c r="DV24" s="561"/>
      <c r="DW24" s="561"/>
      <c r="DX24" s="561"/>
      <c r="DY24" s="561"/>
      <c r="DZ24" s="561"/>
      <c r="EA24" s="561"/>
      <c r="EB24" s="561"/>
      <c r="EC24" s="561"/>
      <c r="ED24" s="561"/>
      <c r="EE24" s="561"/>
      <c r="EF24" s="561"/>
      <c r="EG24" s="561"/>
      <c r="EH24" s="561"/>
      <c r="EI24" s="561"/>
      <c r="EJ24" s="561"/>
      <c r="EK24" s="561"/>
      <c r="EL24" s="561"/>
      <c r="EM24" s="561"/>
      <c r="EN24" s="561"/>
      <c r="EO24" s="561"/>
      <c r="EP24" s="561"/>
      <c r="EQ24" s="561"/>
      <c r="ER24" s="561"/>
      <c r="ES24" s="561"/>
      <c r="ET24" s="561"/>
      <c r="EU24" s="561"/>
      <c r="EV24" s="561"/>
      <c r="EW24" s="561"/>
      <c r="EX24" s="561"/>
      <c r="EY24" s="561"/>
      <c r="EZ24" s="561"/>
      <c r="FA24" s="561"/>
      <c r="FB24" s="561"/>
      <c r="FC24" s="561"/>
      <c r="FD24" s="561"/>
      <c r="FE24" s="561"/>
      <c r="FF24" s="561"/>
      <c r="FG24" s="561"/>
      <c r="FH24" s="561"/>
      <c r="FI24" s="561"/>
      <c r="FJ24" s="561"/>
      <c r="FK24" s="561"/>
      <c r="FL24" s="561"/>
      <c r="FM24" s="561"/>
      <c r="FN24" s="561"/>
      <c r="FO24" s="561"/>
      <c r="FP24" s="561"/>
      <c r="FQ24" s="561"/>
      <c r="FR24" s="561"/>
      <c r="FS24" s="561"/>
      <c r="FT24" s="561"/>
      <c r="FU24" s="561"/>
      <c r="FV24" s="561"/>
      <c r="FW24" s="561"/>
      <c r="FX24" s="561"/>
      <c r="FY24" s="561"/>
      <c r="FZ24" s="561"/>
      <c r="GA24" s="561"/>
      <c r="GB24" s="561"/>
      <c r="GC24" s="561"/>
      <c r="GD24" s="561"/>
      <c r="GE24" s="561"/>
      <c r="GF24" s="561"/>
      <c r="GG24" s="561"/>
      <c r="GH24" s="561"/>
      <c r="GI24" s="561"/>
      <c r="GJ24" s="561"/>
      <c r="GK24" s="561"/>
      <c r="GL24" s="561"/>
      <c r="GM24" s="561"/>
      <c r="GN24" s="561"/>
      <c r="GO24" s="561"/>
      <c r="GP24" s="561"/>
      <c r="GQ24" s="561"/>
      <c r="GR24" s="561"/>
      <c r="GS24" s="561"/>
      <c r="GT24" s="561"/>
      <c r="GU24" s="561"/>
      <c r="GV24" s="561"/>
      <c r="GW24" s="561"/>
      <c r="GX24" s="561"/>
      <c r="GY24" s="561"/>
      <c r="GZ24" s="561"/>
      <c r="HA24" s="561"/>
      <c r="HB24" s="561"/>
      <c r="HC24" s="561"/>
      <c r="HD24" s="561"/>
      <c r="HE24" s="561"/>
      <c r="HF24" s="561"/>
      <c r="HG24" s="561"/>
      <c r="HH24" s="561"/>
      <c r="HI24" s="561"/>
      <c r="HJ24" s="561"/>
      <c r="HK24" s="561"/>
      <c r="HL24" s="561"/>
      <c r="HM24" s="561"/>
      <c r="HN24" s="561"/>
      <c r="HO24" s="561"/>
      <c r="HP24" s="561"/>
      <c r="HQ24" s="561"/>
      <c r="HR24" s="561"/>
      <c r="HS24" s="561"/>
      <c r="HT24" s="561"/>
      <c r="HU24" s="561"/>
      <c r="HV24" s="561"/>
      <c r="HW24" s="561"/>
      <c r="HX24" s="561"/>
      <c r="HY24" s="561"/>
      <c r="HZ24" s="561"/>
      <c r="IA24" s="561"/>
      <c r="IB24" s="561"/>
      <c r="IC24" s="561"/>
      <c r="ID24" s="561"/>
      <c r="IE24" s="561"/>
      <c r="IF24" s="561"/>
      <c r="IG24" s="561"/>
      <c r="IH24" s="561"/>
      <c r="II24" s="561"/>
      <c r="IJ24" s="561"/>
      <c r="IK24" s="561"/>
      <c r="IL24" s="561"/>
      <c r="IM24" s="561"/>
      <c r="IN24" s="561"/>
      <c r="IO24" s="561"/>
      <c r="IP24" s="561"/>
      <c r="IQ24" s="561"/>
      <c r="IR24" s="561"/>
      <c r="IS24" s="561"/>
      <c r="IT24" s="561"/>
      <c r="IU24" s="561"/>
      <c r="IV24" s="561"/>
    </row>
    <row r="25" spans="1:256" ht="19.899999999999999" customHeight="1">
      <c r="A25" s="549"/>
      <c r="B25" s="550"/>
      <c r="C25" s="549"/>
      <c r="D25" s="556"/>
      <c r="E25" s="545"/>
      <c r="F25" s="545"/>
      <c r="G25" s="545"/>
      <c r="H25" s="557">
        <f>SUM(H23:H24)</f>
        <v>3.5</v>
      </c>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c r="BA25" s="561"/>
      <c r="BB25" s="561"/>
      <c r="BC25" s="561"/>
      <c r="BD25" s="561"/>
      <c r="BE25" s="561"/>
      <c r="BF25" s="561"/>
      <c r="BG25" s="561"/>
      <c r="BH25" s="561"/>
      <c r="BI25" s="561"/>
      <c r="BJ25" s="561"/>
      <c r="BK25" s="561"/>
      <c r="BL25" s="561"/>
      <c r="BM25" s="561"/>
      <c r="BN25" s="561"/>
      <c r="BO25" s="561"/>
      <c r="BP25" s="561"/>
      <c r="BQ25" s="561"/>
      <c r="BR25" s="561"/>
      <c r="BS25" s="561"/>
      <c r="BT25" s="561"/>
      <c r="BU25" s="561"/>
      <c r="BV25" s="561"/>
      <c r="BW25" s="561"/>
      <c r="BX25" s="561"/>
      <c r="BY25" s="561"/>
      <c r="BZ25" s="561"/>
      <c r="CA25" s="561"/>
      <c r="CB25" s="561"/>
      <c r="CC25" s="561"/>
      <c r="CD25" s="561"/>
      <c r="CE25" s="561"/>
      <c r="CF25" s="561"/>
      <c r="CG25" s="561"/>
      <c r="CH25" s="561"/>
      <c r="CI25" s="561"/>
      <c r="CJ25" s="561"/>
      <c r="CK25" s="561"/>
      <c r="CL25" s="561"/>
      <c r="CM25" s="561"/>
      <c r="CN25" s="561"/>
      <c r="CO25" s="561"/>
      <c r="CP25" s="561"/>
      <c r="CQ25" s="561"/>
      <c r="CR25" s="561"/>
      <c r="CS25" s="561"/>
      <c r="CT25" s="561"/>
      <c r="CU25" s="561"/>
      <c r="CV25" s="561"/>
      <c r="CW25" s="561"/>
      <c r="CX25" s="561"/>
      <c r="CY25" s="561"/>
      <c r="CZ25" s="561"/>
      <c r="DA25" s="561"/>
      <c r="DB25" s="561"/>
      <c r="DC25" s="561"/>
      <c r="DD25" s="561"/>
      <c r="DE25" s="561"/>
      <c r="DF25" s="561"/>
      <c r="DG25" s="561"/>
      <c r="DH25" s="561"/>
      <c r="DI25" s="561"/>
      <c r="DJ25" s="561"/>
      <c r="DK25" s="561"/>
      <c r="DL25" s="561"/>
      <c r="DM25" s="561"/>
      <c r="DN25" s="561"/>
      <c r="DO25" s="561"/>
      <c r="DP25" s="561"/>
      <c r="DQ25" s="561"/>
      <c r="DR25" s="561"/>
      <c r="DS25" s="561"/>
      <c r="DT25" s="561"/>
      <c r="DU25" s="561"/>
      <c r="DV25" s="561"/>
      <c r="DW25" s="561"/>
      <c r="DX25" s="561"/>
      <c r="DY25" s="561"/>
      <c r="DZ25" s="561"/>
      <c r="EA25" s="561"/>
      <c r="EB25" s="561"/>
      <c r="EC25" s="561"/>
      <c r="ED25" s="561"/>
      <c r="EE25" s="561"/>
      <c r="EF25" s="561"/>
      <c r="EG25" s="561"/>
      <c r="EH25" s="561"/>
      <c r="EI25" s="561"/>
      <c r="EJ25" s="561"/>
      <c r="EK25" s="561"/>
      <c r="EL25" s="561"/>
      <c r="EM25" s="561"/>
      <c r="EN25" s="561"/>
      <c r="EO25" s="561"/>
      <c r="EP25" s="561"/>
      <c r="EQ25" s="561"/>
      <c r="ER25" s="561"/>
      <c r="ES25" s="561"/>
      <c r="ET25" s="561"/>
      <c r="EU25" s="561"/>
      <c r="EV25" s="561"/>
      <c r="EW25" s="561"/>
      <c r="EX25" s="561"/>
      <c r="EY25" s="561"/>
      <c r="EZ25" s="561"/>
      <c r="FA25" s="561"/>
      <c r="FB25" s="561"/>
      <c r="FC25" s="561"/>
      <c r="FD25" s="561"/>
      <c r="FE25" s="561"/>
      <c r="FF25" s="561"/>
      <c r="FG25" s="561"/>
      <c r="FH25" s="561"/>
      <c r="FI25" s="561"/>
      <c r="FJ25" s="561"/>
      <c r="FK25" s="561"/>
      <c r="FL25" s="561"/>
      <c r="FM25" s="561"/>
      <c r="FN25" s="561"/>
      <c r="FO25" s="561"/>
      <c r="FP25" s="561"/>
      <c r="FQ25" s="561"/>
      <c r="FR25" s="561"/>
      <c r="FS25" s="561"/>
      <c r="FT25" s="561"/>
      <c r="FU25" s="561"/>
      <c r="FV25" s="561"/>
      <c r="FW25" s="561"/>
      <c r="FX25" s="561"/>
      <c r="FY25" s="561"/>
      <c r="FZ25" s="561"/>
      <c r="GA25" s="561"/>
      <c r="GB25" s="561"/>
      <c r="GC25" s="561"/>
      <c r="GD25" s="561"/>
      <c r="GE25" s="561"/>
      <c r="GF25" s="561"/>
      <c r="GG25" s="561"/>
      <c r="GH25" s="561"/>
      <c r="GI25" s="561"/>
      <c r="GJ25" s="561"/>
      <c r="GK25" s="561"/>
      <c r="GL25" s="561"/>
      <c r="GM25" s="561"/>
      <c r="GN25" s="561"/>
      <c r="GO25" s="561"/>
      <c r="GP25" s="561"/>
      <c r="GQ25" s="561"/>
      <c r="GR25" s="561"/>
      <c r="GS25" s="561"/>
      <c r="GT25" s="561"/>
      <c r="GU25" s="561"/>
      <c r="GV25" s="561"/>
      <c r="GW25" s="561"/>
      <c r="GX25" s="561"/>
      <c r="GY25" s="561"/>
      <c r="GZ25" s="561"/>
      <c r="HA25" s="561"/>
      <c r="HB25" s="561"/>
      <c r="HC25" s="561"/>
      <c r="HD25" s="561"/>
      <c r="HE25" s="561"/>
      <c r="HF25" s="561"/>
      <c r="HG25" s="561"/>
      <c r="HH25" s="561"/>
      <c r="HI25" s="561"/>
      <c r="HJ25" s="561"/>
      <c r="HK25" s="561"/>
      <c r="HL25" s="561"/>
      <c r="HM25" s="561"/>
      <c r="HN25" s="561"/>
      <c r="HO25" s="561"/>
      <c r="HP25" s="561"/>
      <c r="HQ25" s="561"/>
      <c r="HR25" s="561"/>
      <c r="HS25" s="561"/>
      <c r="HT25" s="561"/>
      <c r="HU25" s="561"/>
      <c r="HV25" s="561"/>
      <c r="HW25" s="561"/>
      <c r="HX25" s="561"/>
      <c r="HY25" s="561"/>
      <c r="HZ25" s="561"/>
      <c r="IA25" s="561"/>
      <c r="IB25" s="561"/>
      <c r="IC25" s="561"/>
      <c r="ID25" s="561"/>
      <c r="IE25" s="561"/>
      <c r="IF25" s="561"/>
      <c r="IG25" s="561"/>
      <c r="IH25" s="561"/>
      <c r="II25" s="561"/>
      <c r="IJ25" s="561"/>
      <c r="IK25" s="561"/>
      <c r="IL25" s="561"/>
      <c r="IM25" s="561"/>
      <c r="IN25" s="561"/>
      <c r="IO25" s="561"/>
      <c r="IP25" s="561"/>
      <c r="IQ25" s="561"/>
      <c r="IR25" s="561"/>
      <c r="IS25" s="561"/>
      <c r="IT25" s="561"/>
      <c r="IU25" s="561"/>
      <c r="IV25" s="561"/>
    </row>
    <row r="26" spans="1:256" ht="19.899999999999999" customHeight="1">
      <c r="A26" s="549"/>
      <c r="B26" s="550"/>
      <c r="C26" s="549"/>
      <c r="D26" s="556"/>
      <c r="E26" s="545"/>
      <c r="F26" s="557" t="s">
        <v>2560</v>
      </c>
      <c r="G26" s="557">
        <f>H25</f>
        <v>3.5</v>
      </c>
      <c r="H26" s="558" t="s">
        <v>1749</v>
      </c>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1"/>
      <c r="BE26" s="561"/>
      <c r="BF26" s="561"/>
      <c r="BG26" s="561"/>
      <c r="BH26" s="561"/>
      <c r="BI26" s="561"/>
      <c r="BJ26" s="561"/>
      <c r="BK26" s="561"/>
      <c r="BL26" s="561"/>
      <c r="BM26" s="561"/>
      <c r="BN26" s="561"/>
      <c r="BO26" s="561"/>
      <c r="BP26" s="561"/>
      <c r="BQ26" s="561"/>
      <c r="BR26" s="561"/>
      <c r="BS26" s="561"/>
      <c r="BT26" s="561"/>
      <c r="BU26" s="561"/>
      <c r="BV26" s="561"/>
      <c r="BW26" s="561"/>
      <c r="BX26" s="561"/>
      <c r="BY26" s="561"/>
      <c r="BZ26" s="561"/>
      <c r="CA26" s="561"/>
      <c r="CB26" s="561"/>
      <c r="CC26" s="561"/>
      <c r="CD26" s="561"/>
      <c r="CE26" s="561"/>
      <c r="CF26" s="561"/>
      <c r="CG26" s="561"/>
      <c r="CH26" s="561"/>
      <c r="CI26" s="561"/>
      <c r="CJ26" s="561"/>
      <c r="CK26" s="561"/>
      <c r="CL26" s="561"/>
      <c r="CM26" s="561"/>
      <c r="CN26" s="561"/>
      <c r="CO26" s="561"/>
      <c r="CP26" s="561"/>
      <c r="CQ26" s="561"/>
      <c r="CR26" s="561"/>
      <c r="CS26" s="561"/>
      <c r="CT26" s="561"/>
      <c r="CU26" s="561"/>
      <c r="CV26" s="561"/>
      <c r="CW26" s="561"/>
      <c r="CX26" s="561"/>
      <c r="CY26" s="561"/>
      <c r="CZ26" s="561"/>
      <c r="DA26" s="561"/>
      <c r="DB26" s="561"/>
      <c r="DC26" s="561"/>
      <c r="DD26" s="561"/>
      <c r="DE26" s="561"/>
      <c r="DF26" s="561"/>
      <c r="DG26" s="561"/>
      <c r="DH26" s="561"/>
      <c r="DI26" s="561"/>
      <c r="DJ26" s="561"/>
      <c r="DK26" s="561"/>
      <c r="DL26" s="561"/>
      <c r="DM26" s="561"/>
      <c r="DN26" s="561"/>
      <c r="DO26" s="561"/>
      <c r="DP26" s="561"/>
      <c r="DQ26" s="561"/>
      <c r="DR26" s="561"/>
      <c r="DS26" s="561"/>
      <c r="DT26" s="561"/>
      <c r="DU26" s="561"/>
      <c r="DV26" s="561"/>
      <c r="DW26" s="561"/>
      <c r="DX26" s="561"/>
      <c r="DY26" s="561"/>
      <c r="DZ26" s="561"/>
      <c r="EA26" s="561"/>
      <c r="EB26" s="561"/>
      <c r="EC26" s="561"/>
      <c r="ED26" s="561"/>
      <c r="EE26" s="561"/>
      <c r="EF26" s="561"/>
      <c r="EG26" s="561"/>
      <c r="EH26" s="561"/>
      <c r="EI26" s="561"/>
      <c r="EJ26" s="561"/>
      <c r="EK26" s="561"/>
      <c r="EL26" s="561"/>
      <c r="EM26" s="561"/>
      <c r="EN26" s="561"/>
      <c r="EO26" s="561"/>
      <c r="EP26" s="561"/>
      <c r="EQ26" s="561"/>
      <c r="ER26" s="561"/>
      <c r="ES26" s="561"/>
      <c r="ET26" s="561"/>
      <c r="EU26" s="561"/>
      <c r="EV26" s="561"/>
      <c r="EW26" s="561"/>
      <c r="EX26" s="561"/>
      <c r="EY26" s="561"/>
      <c r="EZ26" s="561"/>
      <c r="FA26" s="561"/>
      <c r="FB26" s="561"/>
      <c r="FC26" s="561"/>
      <c r="FD26" s="561"/>
      <c r="FE26" s="561"/>
      <c r="FF26" s="561"/>
      <c r="FG26" s="561"/>
      <c r="FH26" s="561"/>
      <c r="FI26" s="561"/>
      <c r="FJ26" s="561"/>
      <c r="FK26" s="561"/>
      <c r="FL26" s="561"/>
      <c r="FM26" s="561"/>
      <c r="FN26" s="561"/>
      <c r="FO26" s="561"/>
      <c r="FP26" s="561"/>
      <c r="FQ26" s="561"/>
      <c r="FR26" s="561"/>
      <c r="FS26" s="561"/>
      <c r="FT26" s="561"/>
      <c r="FU26" s="561"/>
      <c r="FV26" s="561"/>
      <c r="FW26" s="561"/>
      <c r="FX26" s="561"/>
      <c r="FY26" s="561"/>
      <c r="FZ26" s="561"/>
      <c r="GA26" s="561"/>
      <c r="GB26" s="561"/>
      <c r="GC26" s="561"/>
      <c r="GD26" s="561"/>
      <c r="GE26" s="561"/>
      <c r="GF26" s="561"/>
      <c r="GG26" s="561"/>
      <c r="GH26" s="561"/>
      <c r="GI26" s="561"/>
      <c r="GJ26" s="561"/>
      <c r="GK26" s="561"/>
      <c r="GL26" s="561"/>
      <c r="GM26" s="561"/>
      <c r="GN26" s="561"/>
      <c r="GO26" s="561"/>
      <c r="GP26" s="561"/>
      <c r="GQ26" s="561"/>
      <c r="GR26" s="561"/>
      <c r="GS26" s="561"/>
      <c r="GT26" s="561"/>
      <c r="GU26" s="561"/>
      <c r="GV26" s="561"/>
      <c r="GW26" s="561"/>
      <c r="GX26" s="561"/>
      <c r="GY26" s="561"/>
      <c r="GZ26" s="561"/>
      <c r="HA26" s="561"/>
      <c r="HB26" s="561"/>
      <c r="HC26" s="561"/>
      <c r="HD26" s="561"/>
      <c r="HE26" s="561"/>
      <c r="HF26" s="561"/>
      <c r="HG26" s="561"/>
      <c r="HH26" s="561"/>
      <c r="HI26" s="561"/>
      <c r="HJ26" s="561"/>
      <c r="HK26" s="561"/>
      <c r="HL26" s="561"/>
      <c r="HM26" s="561"/>
      <c r="HN26" s="561"/>
      <c r="HO26" s="561"/>
      <c r="HP26" s="561"/>
      <c r="HQ26" s="561"/>
      <c r="HR26" s="561"/>
      <c r="HS26" s="561"/>
      <c r="HT26" s="561"/>
      <c r="HU26" s="561"/>
      <c r="HV26" s="561"/>
      <c r="HW26" s="561"/>
      <c r="HX26" s="561"/>
      <c r="HY26" s="561"/>
      <c r="HZ26" s="561"/>
      <c r="IA26" s="561"/>
      <c r="IB26" s="561"/>
      <c r="IC26" s="561"/>
      <c r="ID26" s="561"/>
      <c r="IE26" s="561"/>
      <c r="IF26" s="561"/>
      <c r="IG26" s="561"/>
      <c r="IH26" s="561"/>
      <c r="II26" s="561"/>
      <c r="IJ26" s="561"/>
      <c r="IK26" s="561"/>
      <c r="IL26" s="561"/>
      <c r="IM26" s="561"/>
      <c r="IN26" s="561"/>
      <c r="IO26" s="561"/>
      <c r="IP26" s="561"/>
      <c r="IQ26" s="561"/>
      <c r="IR26" s="561"/>
      <c r="IS26" s="561"/>
      <c r="IT26" s="561"/>
      <c r="IU26" s="561"/>
      <c r="IV26" s="561"/>
    </row>
    <row r="27" spans="1:256" ht="19.899999999999999" customHeight="1">
      <c r="A27" s="544">
        <v>4</v>
      </c>
      <c r="B27" s="1143" t="s">
        <v>4394</v>
      </c>
      <c r="C27" s="1143"/>
      <c r="D27" s="1143"/>
      <c r="E27" s="1143"/>
      <c r="F27" s="1143"/>
      <c r="G27" s="1143"/>
      <c r="H27" s="545"/>
    </row>
    <row r="28" spans="1:256" ht="19.899999999999999" customHeight="1">
      <c r="A28" s="544"/>
      <c r="B28" s="546" t="s">
        <v>4389</v>
      </c>
      <c r="C28" s="544"/>
      <c r="D28" s="547"/>
      <c r="E28" s="545"/>
      <c r="F28" s="545"/>
      <c r="G28" s="545"/>
      <c r="H28" s="545"/>
    </row>
    <row r="29" spans="1:256" ht="19.899999999999999" customHeight="1">
      <c r="A29" s="544"/>
      <c r="B29" s="550" t="s">
        <v>4391</v>
      </c>
      <c r="C29" s="549">
        <v>1</v>
      </c>
      <c r="D29" s="547">
        <v>1</v>
      </c>
      <c r="E29" s="545">
        <v>50</v>
      </c>
      <c r="F29" s="545"/>
      <c r="G29" s="545">
        <v>0.3</v>
      </c>
      <c r="H29" s="545">
        <f>PRODUCT(C29:G29)</f>
        <v>15</v>
      </c>
    </row>
    <row r="30" spans="1:256" ht="19.899999999999999" customHeight="1">
      <c r="A30" s="544"/>
      <c r="B30" s="550"/>
      <c r="C30" s="549"/>
      <c r="D30" s="547"/>
      <c r="E30" s="545"/>
      <c r="F30" s="545"/>
      <c r="G30" s="545"/>
      <c r="H30" s="557">
        <f>SUM(H29:H29)</f>
        <v>15</v>
      </c>
    </row>
    <row r="31" spans="1:256" ht="19.899999999999999" customHeight="1">
      <c r="A31" s="544"/>
      <c r="B31" s="550"/>
      <c r="C31" s="549"/>
      <c r="D31" s="547"/>
      <c r="E31" s="545"/>
      <c r="F31" s="557" t="s">
        <v>2560</v>
      </c>
      <c r="G31" s="557">
        <f>H30</f>
        <v>15</v>
      </c>
      <c r="H31" s="558" t="s">
        <v>1861</v>
      </c>
    </row>
    <row r="32" spans="1:256" ht="19.899999999999999" customHeight="1">
      <c r="A32" s="544">
        <v>5</v>
      </c>
      <c r="B32" s="1143" t="s">
        <v>228</v>
      </c>
      <c r="C32" s="1143"/>
      <c r="D32" s="1143"/>
      <c r="E32" s="1143"/>
      <c r="F32" s="1143"/>
      <c r="G32" s="1143"/>
      <c r="H32" s="545"/>
    </row>
    <row r="33" spans="1:11" ht="19.899999999999999" customHeight="1">
      <c r="A33" s="544"/>
      <c r="B33" s="546" t="s">
        <v>4389</v>
      </c>
      <c r="C33" s="544"/>
      <c r="D33" s="547"/>
      <c r="E33" s="545"/>
      <c r="F33" s="545"/>
      <c r="G33" s="545"/>
      <c r="H33" s="545"/>
    </row>
    <row r="34" spans="1:11" ht="19.899999999999999" customHeight="1">
      <c r="A34" s="544"/>
      <c r="B34" s="550" t="s">
        <v>4391</v>
      </c>
      <c r="C34" s="549">
        <v>1</v>
      </c>
      <c r="D34" s="547">
        <v>1</v>
      </c>
      <c r="E34" s="545">
        <f>E23</f>
        <v>50</v>
      </c>
      <c r="F34" s="545"/>
      <c r="G34" s="545"/>
      <c r="H34" s="545">
        <f>PRODUCT(C34:G34)</f>
        <v>50</v>
      </c>
    </row>
    <row r="35" spans="1:11" ht="19.899999999999999" customHeight="1">
      <c r="A35" s="544"/>
      <c r="B35" s="550"/>
      <c r="C35" s="549"/>
      <c r="D35" s="547"/>
      <c r="E35" s="545"/>
      <c r="F35" s="545"/>
      <c r="G35" s="545"/>
      <c r="H35" s="557">
        <f>SUM(H34:H34)</f>
        <v>50</v>
      </c>
    </row>
    <row r="36" spans="1:11" ht="19.899999999999999" customHeight="1">
      <c r="A36" s="544"/>
      <c r="B36" s="550"/>
      <c r="C36" s="549"/>
      <c r="D36" s="547"/>
      <c r="E36" s="545"/>
      <c r="F36" s="557" t="s">
        <v>2560</v>
      </c>
      <c r="G36" s="557">
        <f>H35</f>
        <v>50</v>
      </c>
      <c r="H36" s="558" t="s">
        <v>669</v>
      </c>
    </row>
    <row r="37" spans="1:11" ht="19.899999999999999" customHeight="1">
      <c r="A37" s="544">
        <v>6</v>
      </c>
      <c r="B37" s="1143" t="s">
        <v>4395</v>
      </c>
      <c r="C37" s="1143"/>
      <c r="D37" s="1143"/>
      <c r="E37" s="1143"/>
      <c r="F37" s="1143"/>
      <c r="G37" s="1143"/>
      <c r="H37" s="545"/>
    </row>
    <row r="38" spans="1:11" ht="19.899999999999999" customHeight="1">
      <c r="A38" s="544"/>
      <c r="B38" s="546" t="s">
        <v>4389</v>
      </c>
      <c r="C38" s="544"/>
      <c r="D38" s="547"/>
      <c r="E38" s="545"/>
      <c r="F38" s="545"/>
      <c r="G38" s="545"/>
      <c r="H38" s="545"/>
    </row>
    <row r="39" spans="1:11" ht="19.899999999999999" customHeight="1">
      <c r="A39" s="544"/>
      <c r="B39" s="550" t="s">
        <v>4391</v>
      </c>
      <c r="C39" s="549">
        <v>1</v>
      </c>
      <c r="D39" s="547">
        <v>1</v>
      </c>
      <c r="E39" s="545">
        <f>E34</f>
        <v>50</v>
      </c>
      <c r="F39" s="545"/>
      <c r="G39" s="545">
        <v>0.6</v>
      </c>
      <c r="H39" s="545">
        <f>PRODUCT(C39:G39)</f>
        <v>30</v>
      </c>
    </row>
    <row r="40" spans="1:11" ht="19.899999999999999" customHeight="1">
      <c r="A40" s="544"/>
      <c r="B40" s="550"/>
      <c r="C40" s="549"/>
      <c r="D40" s="547"/>
      <c r="E40" s="545"/>
      <c r="F40" s="545"/>
      <c r="G40" s="545"/>
      <c r="H40" s="557">
        <f>SUM(H39:H39)</f>
        <v>30</v>
      </c>
    </row>
    <row r="41" spans="1:11" ht="19.899999999999999" customHeight="1">
      <c r="A41" s="544"/>
      <c r="B41" s="550"/>
      <c r="C41" s="549"/>
      <c r="D41" s="547"/>
      <c r="E41" s="545"/>
      <c r="F41" s="557" t="s">
        <v>2560</v>
      </c>
      <c r="G41" s="557">
        <f>H40</f>
        <v>30</v>
      </c>
      <c r="H41" s="558" t="s">
        <v>1861</v>
      </c>
      <c r="K41" s="554"/>
    </row>
    <row r="42" spans="1:11" ht="49.9" customHeight="1">
      <c r="A42" s="565">
        <v>7</v>
      </c>
      <c r="B42" s="1139" t="s">
        <v>4396</v>
      </c>
      <c r="C42" s="1139"/>
      <c r="D42" s="1139"/>
      <c r="E42" s="1139"/>
      <c r="F42" s="1139"/>
      <c r="G42" s="1139"/>
      <c r="H42" s="566"/>
    </row>
    <row r="43" spans="1:11" ht="19.899999999999999" customHeight="1">
      <c r="A43" s="565"/>
      <c r="B43" s="546" t="s">
        <v>4389</v>
      </c>
      <c r="C43" s="567"/>
      <c r="D43" s="567"/>
      <c r="E43" s="566"/>
      <c r="F43" s="566"/>
      <c r="G43" s="566"/>
      <c r="H43" s="566"/>
    </row>
    <row r="44" spans="1:11" ht="19.899999999999999" customHeight="1">
      <c r="A44" s="544"/>
      <c r="B44" s="550" t="s">
        <v>4397</v>
      </c>
      <c r="C44" s="549">
        <v>1</v>
      </c>
      <c r="D44" s="547">
        <v>1</v>
      </c>
      <c r="E44" s="545">
        <v>35</v>
      </c>
      <c r="F44" s="545">
        <v>6</v>
      </c>
      <c r="G44" s="545">
        <v>0.3</v>
      </c>
      <c r="H44" s="545">
        <f>PRODUCT(C44:G44)</f>
        <v>63</v>
      </c>
    </row>
    <row r="45" spans="1:11" ht="19.899999999999999" customHeight="1">
      <c r="A45" s="544"/>
      <c r="B45" s="550" t="s">
        <v>4398</v>
      </c>
      <c r="C45" s="549">
        <v>2</v>
      </c>
      <c r="D45" s="568">
        <v>1</v>
      </c>
      <c r="E45" s="545">
        <v>3</v>
      </c>
      <c r="F45" s="545">
        <v>3</v>
      </c>
      <c r="G45" s="545">
        <v>0.3</v>
      </c>
      <c r="H45" s="545">
        <f>PRODUCT(C45:G45)</f>
        <v>5.4</v>
      </c>
    </row>
    <row r="46" spans="1:11" ht="19.899999999999999" customHeight="1">
      <c r="A46" s="544"/>
      <c r="B46" s="550"/>
      <c r="C46" s="549"/>
      <c r="D46" s="568"/>
      <c r="E46" s="545"/>
      <c r="F46" s="545"/>
      <c r="G46" s="545"/>
      <c r="H46" s="545"/>
    </row>
    <row r="47" spans="1:11" ht="19.899999999999999" customHeight="1">
      <c r="A47" s="544"/>
      <c r="B47" s="550"/>
      <c r="C47" s="549"/>
      <c r="D47" s="547"/>
      <c r="E47" s="545"/>
      <c r="F47" s="545"/>
      <c r="G47" s="545"/>
      <c r="H47" s="557">
        <f>SUM(H44:H46)</f>
        <v>68.400000000000006</v>
      </c>
    </row>
    <row r="48" spans="1:11" ht="19.899999999999999" customHeight="1">
      <c r="A48" s="544"/>
      <c r="B48" s="550"/>
      <c r="C48" s="549"/>
      <c r="D48" s="547"/>
      <c r="E48" s="545"/>
      <c r="F48" s="557" t="s">
        <v>2560</v>
      </c>
      <c r="G48" s="557">
        <f>H47</f>
        <v>68.400000000000006</v>
      </c>
      <c r="H48" s="558" t="s">
        <v>1749</v>
      </c>
      <c r="K48" s="554"/>
    </row>
    <row r="49" spans="1:11" ht="64.900000000000006" customHeight="1">
      <c r="A49" s="565">
        <v>8</v>
      </c>
      <c r="B49" s="1139" t="s">
        <v>4399</v>
      </c>
      <c r="C49" s="1139"/>
      <c r="D49" s="1139"/>
      <c r="E49" s="1139"/>
      <c r="F49" s="1139"/>
      <c r="G49" s="1139"/>
      <c r="H49" s="566"/>
    </row>
    <row r="50" spans="1:11" ht="19.899999999999999" customHeight="1">
      <c r="A50" s="565"/>
      <c r="B50" s="546" t="s">
        <v>4389</v>
      </c>
      <c r="C50" s="567"/>
      <c r="D50" s="567"/>
      <c r="E50" s="566"/>
      <c r="F50" s="566"/>
      <c r="G50" s="566"/>
      <c r="H50" s="566"/>
    </row>
    <row r="51" spans="1:11" ht="19.899999999999999" customHeight="1">
      <c r="A51" s="544"/>
      <c r="B51" s="550" t="s">
        <v>4397</v>
      </c>
      <c r="C51" s="549">
        <v>1</v>
      </c>
      <c r="D51" s="547">
        <v>1</v>
      </c>
      <c r="E51" s="545">
        <f>E44</f>
        <v>35</v>
      </c>
      <c r="F51" s="545">
        <f>F44</f>
        <v>6</v>
      </c>
      <c r="G51" s="545"/>
      <c r="H51" s="545">
        <f>PRODUCT(C51:G51)</f>
        <v>210</v>
      </c>
    </row>
    <row r="52" spans="1:11" ht="19.899999999999999" customHeight="1">
      <c r="A52" s="544"/>
      <c r="B52" s="550" t="s">
        <v>4398</v>
      </c>
      <c r="C52" s="549">
        <v>2</v>
      </c>
      <c r="D52" s="568">
        <v>1</v>
      </c>
      <c r="E52" s="545">
        <f>E45</f>
        <v>3</v>
      </c>
      <c r="F52" s="545">
        <f>F45</f>
        <v>3</v>
      </c>
      <c r="G52" s="545"/>
      <c r="H52" s="545">
        <f>PRODUCT(C52:G52)</f>
        <v>18</v>
      </c>
    </row>
    <row r="53" spans="1:11" ht="19.899999999999999" customHeight="1">
      <c r="A53" s="544"/>
      <c r="B53" s="550"/>
      <c r="C53" s="549"/>
      <c r="D53" s="568"/>
      <c r="E53" s="545"/>
      <c r="F53" s="545"/>
      <c r="G53" s="545"/>
      <c r="H53" s="545"/>
    </row>
    <row r="54" spans="1:11" ht="19.899999999999999" customHeight="1">
      <c r="A54" s="544"/>
      <c r="B54" s="550"/>
      <c r="C54" s="549"/>
      <c r="D54" s="547"/>
      <c r="E54" s="545"/>
      <c r="F54" s="545"/>
      <c r="G54" s="545"/>
      <c r="H54" s="557">
        <f>SUM(H51:H53)</f>
        <v>228</v>
      </c>
    </row>
    <row r="55" spans="1:11" ht="19.899999999999999" customHeight="1">
      <c r="A55" s="544"/>
      <c r="B55" s="550"/>
      <c r="C55" s="549"/>
      <c r="D55" s="547"/>
      <c r="E55" s="545"/>
      <c r="F55" s="557" t="s">
        <v>2560</v>
      </c>
      <c r="G55" s="557">
        <f>H54</f>
        <v>228</v>
      </c>
      <c r="H55" s="558" t="s">
        <v>1861</v>
      </c>
      <c r="K55" s="554"/>
    </row>
    <row r="56" spans="1:11" ht="33" customHeight="1">
      <c r="A56" s="565">
        <v>9</v>
      </c>
      <c r="B56" s="1139" t="s">
        <v>4400</v>
      </c>
      <c r="C56" s="1139"/>
      <c r="D56" s="1139"/>
      <c r="E56" s="1139"/>
      <c r="F56" s="1139"/>
      <c r="G56" s="1139"/>
      <c r="H56" s="566"/>
    </row>
    <row r="57" spans="1:11" ht="19.899999999999999" customHeight="1">
      <c r="A57" s="565"/>
      <c r="B57" s="546" t="s">
        <v>4389</v>
      </c>
      <c r="C57" s="567"/>
      <c r="D57" s="567"/>
      <c r="E57" s="566"/>
      <c r="F57" s="566"/>
      <c r="G57" s="566"/>
      <c r="H57" s="566"/>
    </row>
    <row r="58" spans="1:11" ht="19.899999999999999" customHeight="1">
      <c r="A58" s="544"/>
      <c r="B58" s="550" t="s">
        <v>4397</v>
      </c>
      <c r="C58" s="549">
        <v>1</v>
      </c>
      <c r="D58" s="547">
        <v>1</v>
      </c>
      <c r="E58" s="545">
        <f>E51</f>
        <v>35</v>
      </c>
      <c r="F58" s="545">
        <f>F51</f>
        <v>6</v>
      </c>
      <c r="G58" s="545"/>
      <c r="H58" s="545">
        <f>PRODUCT(C58:G58)</f>
        <v>210</v>
      </c>
    </row>
    <row r="59" spans="1:11" ht="19.899999999999999" customHeight="1">
      <c r="A59" s="544"/>
      <c r="B59" s="550" t="s">
        <v>4398</v>
      </c>
      <c r="C59" s="549">
        <v>2</v>
      </c>
      <c r="D59" s="568">
        <v>1</v>
      </c>
      <c r="E59" s="545">
        <f>E52</f>
        <v>3</v>
      </c>
      <c r="F59" s="545">
        <f>F52</f>
        <v>3</v>
      </c>
      <c r="G59" s="545"/>
      <c r="H59" s="545">
        <f>PRODUCT(C59:G59)</f>
        <v>18</v>
      </c>
    </row>
    <row r="60" spans="1:11" ht="19.899999999999999" customHeight="1">
      <c r="A60" s="544"/>
      <c r="B60" s="550"/>
      <c r="C60" s="549"/>
      <c r="D60" s="568"/>
      <c r="E60" s="545"/>
      <c r="F60" s="545"/>
      <c r="G60" s="545"/>
      <c r="H60" s="545"/>
    </row>
    <row r="61" spans="1:11" ht="19.899999999999999" customHeight="1">
      <c r="A61" s="544"/>
      <c r="B61" s="550"/>
      <c r="C61" s="549"/>
      <c r="D61" s="547"/>
      <c r="E61" s="545"/>
      <c r="F61" s="545"/>
      <c r="G61" s="545"/>
      <c r="H61" s="557">
        <f>SUM(H58:H60)</f>
        <v>228</v>
      </c>
    </row>
    <row r="62" spans="1:11" ht="19.899999999999999" customHeight="1">
      <c r="A62" s="544"/>
      <c r="B62" s="550"/>
      <c r="C62" s="549"/>
      <c r="D62" s="547"/>
      <c r="E62" s="545"/>
      <c r="F62" s="557" t="s">
        <v>2560</v>
      </c>
      <c r="G62" s="557">
        <f>H61</f>
        <v>228</v>
      </c>
      <c r="H62" s="558" t="s">
        <v>1861</v>
      </c>
      <c r="K62" s="554"/>
    </row>
    <row r="63" spans="1:11" ht="33" customHeight="1">
      <c r="A63" s="565">
        <v>10</v>
      </c>
      <c r="B63" s="1139" t="s">
        <v>4401</v>
      </c>
      <c r="C63" s="1139"/>
      <c r="D63" s="1139"/>
      <c r="E63" s="1139"/>
      <c r="F63" s="1139"/>
      <c r="G63" s="1139"/>
      <c r="H63" s="566"/>
    </row>
    <row r="64" spans="1:11" ht="19.899999999999999" customHeight="1">
      <c r="A64" s="565"/>
      <c r="B64" s="546" t="s">
        <v>4389</v>
      </c>
      <c r="C64" s="567"/>
      <c r="D64" s="567"/>
      <c r="E64" s="566"/>
      <c r="F64" s="566"/>
      <c r="G64" s="566"/>
      <c r="H64" s="566"/>
    </row>
    <row r="65" spans="1:8" ht="19.899999999999999" customHeight="1">
      <c r="A65" s="544"/>
      <c r="B65" s="550" t="s">
        <v>4397</v>
      </c>
      <c r="C65" s="549">
        <v>1</v>
      </c>
      <c r="D65" s="547">
        <v>1</v>
      </c>
      <c r="E65" s="545">
        <f>E58</f>
        <v>35</v>
      </c>
      <c r="F65" s="545">
        <f>F58</f>
        <v>6</v>
      </c>
      <c r="G65" s="545"/>
      <c r="H65" s="545">
        <f>PRODUCT(C65:G65)</f>
        <v>210</v>
      </c>
    </row>
    <row r="66" spans="1:8" ht="19.899999999999999" customHeight="1">
      <c r="A66" s="544"/>
      <c r="B66" s="550" t="s">
        <v>4398</v>
      </c>
      <c r="C66" s="549">
        <v>2</v>
      </c>
      <c r="D66" s="568">
        <v>1</v>
      </c>
      <c r="E66" s="545">
        <f>E59</f>
        <v>3</v>
      </c>
      <c r="F66" s="545">
        <f>F59</f>
        <v>3</v>
      </c>
      <c r="G66" s="545"/>
      <c r="H66" s="545">
        <f>PRODUCT(C66:G66)</f>
        <v>18</v>
      </c>
    </row>
    <row r="67" spans="1:8" ht="19.899999999999999" customHeight="1">
      <c r="A67" s="544"/>
      <c r="B67" s="550"/>
      <c r="C67" s="549"/>
      <c r="D67" s="568"/>
      <c r="E67" s="545"/>
      <c r="F67" s="545"/>
      <c r="G67" s="545"/>
      <c r="H67" s="545"/>
    </row>
    <row r="68" spans="1:8" ht="19.899999999999999" customHeight="1">
      <c r="A68" s="544"/>
      <c r="B68" s="550"/>
      <c r="C68" s="549"/>
      <c r="D68" s="547"/>
      <c r="E68" s="545"/>
      <c r="F68" s="545"/>
      <c r="G68" s="545"/>
      <c r="H68" s="557">
        <f>SUM(H65:H67)</f>
        <v>228</v>
      </c>
    </row>
    <row r="69" spans="1:8" ht="19.899999999999999" customHeight="1">
      <c r="A69" s="565"/>
      <c r="B69" s="569"/>
      <c r="C69" s="567"/>
      <c r="D69" s="567"/>
      <c r="E69" s="566"/>
      <c r="F69" s="557" t="s">
        <v>2560</v>
      </c>
      <c r="G69" s="557">
        <f>H68</f>
        <v>228</v>
      </c>
      <c r="H69" s="558" t="s">
        <v>1861</v>
      </c>
    </row>
    <row r="1109" spans="16:256">
      <c r="P1109" s="570"/>
      <c r="Q1109" s="570"/>
      <c r="R1109" s="570"/>
      <c r="S1109" s="570"/>
      <c r="T1109" s="570"/>
      <c r="U1109" s="570"/>
      <c r="V1109" s="570"/>
      <c r="W1109" s="570"/>
      <c r="X1109" s="570"/>
      <c r="Y1109" s="570"/>
      <c r="Z1109" s="570"/>
      <c r="AA1109" s="570"/>
      <c r="AB1109" s="570"/>
      <c r="AC1109" s="570"/>
      <c r="AD1109" s="570"/>
      <c r="AE1109" s="570"/>
      <c r="AF1109" s="570"/>
      <c r="AG1109" s="570"/>
      <c r="AH1109" s="570"/>
      <c r="AI1109" s="570"/>
      <c r="AJ1109" s="570"/>
      <c r="AK1109" s="570"/>
      <c r="AL1109" s="570"/>
      <c r="AM1109" s="570"/>
      <c r="AN1109" s="570"/>
      <c r="AO1109" s="570"/>
      <c r="AP1109" s="570"/>
      <c r="AQ1109" s="570"/>
      <c r="AR1109" s="570"/>
      <c r="AS1109" s="570"/>
      <c r="AT1109" s="570"/>
      <c r="AU1109" s="570"/>
      <c r="AV1109" s="570"/>
      <c r="AW1109" s="570"/>
      <c r="AX1109" s="570"/>
      <c r="AY1109" s="570"/>
      <c r="AZ1109" s="570"/>
      <c r="BA1109" s="570"/>
      <c r="BB1109" s="570"/>
      <c r="BC1109" s="570"/>
      <c r="BD1109" s="570"/>
      <c r="BE1109" s="570"/>
      <c r="BF1109" s="570"/>
      <c r="BG1109" s="570"/>
      <c r="BH1109" s="570"/>
      <c r="BI1109" s="570"/>
      <c r="BJ1109" s="570"/>
      <c r="BK1109" s="570"/>
      <c r="BL1109" s="570"/>
      <c r="BM1109" s="570"/>
      <c r="BN1109" s="570"/>
      <c r="BO1109" s="570"/>
      <c r="BP1109" s="570"/>
      <c r="BQ1109" s="570"/>
      <c r="BR1109" s="570"/>
      <c r="BS1109" s="570"/>
      <c r="BT1109" s="570"/>
      <c r="BU1109" s="570"/>
      <c r="BV1109" s="570"/>
      <c r="BW1109" s="570"/>
      <c r="BX1109" s="570"/>
      <c r="BY1109" s="570"/>
      <c r="BZ1109" s="570"/>
      <c r="CA1109" s="570"/>
      <c r="CB1109" s="570"/>
      <c r="CC1109" s="570"/>
      <c r="CD1109" s="570"/>
      <c r="CE1109" s="570"/>
      <c r="CF1109" s="570"/>
      <c r="CG1109" s="570"/>
      <c r="CH1109" s="570"/>
      <c r="CI1109" s="570"/>
      <c r="CJ1109" s="570"/>
      <c r="CK1109" s="570"/>
      <c r="CL1109" s="570"/>
      <c r="CM1109" s="570"/>
      <c r="CN1109" s="570"/>
      <c r="CO1109" s="570"/>
      <c r="CP1109" s="570"/>
      <c r="CQ1109" s="570"/>
      <c r="CR1109" s="570"/>
      <c r="CS1109" s="570"/>
      <c r="CT1109" s="570"/>
      <c r="CU1109" s="570"/>
      <c r="CV1109" s="570"/>
      <c r="CW1109" s="570"/>
      <c r="CX1109" s="570"/>
      <c r="CY1109" s="570"/>
      <c r="CZ1109" s="570"/>
      <c r="DA1109" s="570"/>
      <c r="DB1109" s="570"/>
      <c r="DC1109" s="570"/>
      <c r="DD1109" s="570"/>
      <c r="DE1109" s="570"/>
      <c r="DF1109" s="570"/>
      <c r="DG1109" s="570"/>
      <c r="DH1109" s="570"/>
      <c r="DI1109" s="570"/>
      <c r="DJ1109" s="570"/>
      <c r="DK1109" s="570"/>
      <c r="DL1109" s="570"/>
      <c r="DM1109" s="570"/>
      <c r="DN1109" s="570"/>
      <c r="DO1109" s="570"/>
      <c r="DP1109" s="570"/>
      <c r="DQ1109" s="570"/>
      <c r="DR1109" s="570"/>
      <c r="DS1109" s="570"/>
      <c r="DT1109" s="570"/>
      <c r="DU1109" s="570"/>
      <c r="DV1109" s="570"/>
      <c r="DW1109" s="570"/>
      <c r="DX1109" s="570"/>
      <c r="DY1109" s="570"/>
      <c r="DZ1109" s="570"/>
      <c r="EA1109" s="570"/>
      <c r="EB1109" s="570"/>
      <c r="EC1109" s="570"/>
      <c r="ED1109" s="570"/>
      <c r="EE1109" s="570"/>
      <c r="EF1109" s="570"/>
      <c r="EG1109" s="570"/>
      <c r="EH1109" s="570"/>
      <c r="EI1109" s="570"/>
      <c r="EJ1109" s="570"/>
      <c r="EK1109" s="570"/>
      <c r="EL1109" s="570"/>
      <c r="EM1109" s="570"/>
      <c r="EN1109" s="570"/>
      <c r="EO1109" s="570"/>
      <c r="EP1109" s="570"/>
      <c r="EQ1109" s="570"/>
      <c r="ER1109" s="570"/>
      <c r="ES1109" s="570"/>
      <c r="ET1109" s="570"/>
      <c r="EU1109" s="570"/>
      <c r="EV1109" s="570"/>
      <c r="EW1109" s="570"/>
      <c r="EX1109" s="570"/>
      <c r="EY1109" s="570"/>
      <c r="EZ1109" s="570"/>
      <c r="FA1109" s="570"/>
      <c r="FB1109" s="570"/>
      <c r="FC1109" s="570"/>
      <c r="FD1109" s="570"/>
      <c r="FE1109" s="570"/>
      <c r="FF1109" s="570"/>
      <c r="FG1109" s="570"/>
      <c r="FH1109" s="570"/>
      <c r="FI1109" s="570"/>
      <c r="FJ1109" s="570"/>
      <c r="FK1109" s="570"/>
      <c r="FL1109" s="570"/>
      <c r="FM1109" s="570"/>
      <c r="FN1109" s="570"/>
      <c r="FO1109" s="570"/>
      <c r="FP1109" s="570"/>
      <c r="FQ1109" s="570"/>
      <c r="FR1109" s="570"/>
      <c r="FS1109" s="570"/>
      <c r="FT1109" s="570"/>
      <c r="FU1109" s="570"/>
      <c r="FV1109" s="570"/>
      <c r="FW1109" s="570"/>
      <c r="FX1109" s="570"/>
      <c r="FY1109" s="570"/>
      <c r="FZ1109" s="570"/>
      <c r="GA1109" s="570"/>
      <c r="GB1109" s="570"/>
      <c r="GC1109" s="570"/>
      <c r="GD1109" s="570"/>
      <c r="GE1109" s="570"/>
      <c r="GF1109" s="570"/>
      <c r="GG1109" s="570"/>
      <c r="GH1109" s="570"/>
      <c r="GI1109" s="570"/>
      <c r="GJ1109" s="570"/>
      <c r="GK1109" s="570"/>
      <c r="GL1109" s="570"/>
      <c r="GM1109" s="570"/>
      <c r="GN1109" s="570"/>
      <c r="GO1109" s="570"/>
      <c r="GP1109" s="570"/>
      <c r="GQ1109" s="570"/>
      <c r="GR1109" s="570"/>
      <c r="GS1109" s="570"/>
      <c r="GT1109" s="570"/>
      <c r="GU1109" s="570"/>
      <c r="GV1109" s="570"/>
      <c r="GW1109" s="570"/>
      <c r="GX1109" s="570"/>
      <c r="GY1109" s="570"/>
      <c r="GZ1109" s="570"/>
      <c r="HA1109" s="570"/>
      <c r="HB1109" s="570"/>
      <c r="HC1109" s="570"/>
      <c r="HD1109" s="570"/>
      <c r="HE1109" s="570"/>
      <c r="HF1109" s="570"/>
      <c r="HG1109" s="570"/>
      <c r="HH1109" s="570"/>
      <c r="HI1109" s="570"/>
      <c r="HJ1109" s="570"/>
      <c r="HK1109" s="570"/>
      <c r="HL1109" s="570"/>
      <c r="HM1109" s="570"/>
      <c r="HN1109" s="570"/>
      <c r="HO1109" s="570"/>
      <c r="HP1109" s="570"/>
      <c r="HQ1109" s="570"/>
      <c r="HR1109" s="570"/>
      <c r="HS1109" s="570"/>
      <c r="HT1109" s="570"/>
      <c r="HU1109" s="570"/>
      <c r="HV1109" s="570"/>
      <c r="HW1109" s="570"/>
      <c r="HX1109" s="570"/>
      <c r="HY1109" s="570"/>
      <c r="HZ1109" s="570"/>
      <c r="IA1109" s="570"/>
      <c r="IB1109" s="570"/>
      <c r="IC1109" s="570"/>
      <c r="ID1109" s="570"/>
      <c r="IE1109" s="570"/>
      <c r="IF1109" s="570"/>
      <c r="IG1109" s="570"/>
      <c r="IH1109" s="570"/>
      <c r="II1109" s="570"/>
      <c r="IJ1109" s="570"/>
      <c r="IK1109" s="570"/>
      <c r="IL1109" s="570"/>
      <c r="IM1109" s="570"/>
      <c r="IN1109" s="570"/>
      <c r="IO1109" s="570"/>
      <c r="IP1109" s="570"/>
      <c r="IQ1109" s="570"/>
      <c r="IR1109" s="570"/>
      <c r="IS1109" s="570"/>
      <c r="IT1109" s="570"/>
      <c r="IU1109" s="570"/>
      <c r="IV1109" s="570"/>
    </row>
  </sheetData>
  <mergeCells count="18">
    <mergeCell ref="A1:H1"/>
    <mergeCell ref="A2:H2"/>
    <mergeCell ref="A3:H3"/>
    <mergeCell ref="A4:A5"/>
    <mergeCell ref="B4:B5"/>
    <mergeCell ref="C4:D5"/>
    <mergeCell ref="E4:G4"/>
    <mergeCell ref="H4:H5"/>
    <mergeCell ref="B42:G42"/>
    <mergeCell ref="B49:G49"/>
    <mergeCell ref="B56:G56"/>
    <mergeCell ref="B63:G63"/>
    <mergeCell ref="B6:G6"/>
    <mergeCell ref="B13:G13"/>
    <mergeCell ref="B20:G20"/>
    <mergeCell ref="B27:G27"/>
    <mergeCell ref="B32:G32"/>
    <mergeCell ref="B37:G37"/>
  </mergeCells>
  <pageMargins left="0.7" right="0.7" top="0.7" bottom="0.4" header="0.3" footer="0.3"/>
  <pageSetup paperSize="9" orientation="portrait" r:id="rId1"/>
  <headerFooter>
    <oddHeader>Page &amp;P</oddHeader>
  </headerFooter>
</worksheet>
</file>

<file path=xl/worksheets/sheet16.xml><?xml version="1.0" encoding="utf-8"?>
<worksheet xmlns="http://schemas.openxmlformats.org/spreadsheetml/2006/main" xmlns:r="http://schemas.openxmlformats.org/officeDocument/2006/relationships">
  <dimension ref="A1:R64"/>
  <sheetViews>
    <sheetView topLeftCell="A52" workbookViewId="0">
      <selection activeCell="I60" sqref="I60"/>
    </sheetView>
  </sheetViews>
  <sheetFormatPr defaultColWidth="8.88671875" defaultRowHeight="15"/>
  <cols>
    <col min="1" max="1" width="4.21875" style="644" customWidth="1"/>
    <col min="2" max="2" width="31.21875" style="644" customWidth="1"/>
    <col min="3" max="5" width="3.6640625" style="644" customWidth="1"/>
    <col min="6" max="9" width="7.44140625" style="644" customWidth="1"/>
    <col min="10" max="16384" width="8.88671875" style="644"/>
  </cols>
  <sheetData>
    <row r="1" spans="1:13" ht="48" customHeight="1">
      <c r="A1" s="1158" t="str">
        <f>'PAVER ROAD'!A2:H2</f>
        <v>Name of work:  Construction of Urban Police Station Building at Nachiyarkoil in Thanjavur District under Announcement made by the Hon’ble Chief Minister for the year 2023 - 2024</v>
      </c>
      <c r="B1" s="1158"/>
      <c r="C1" s="1158"/>
      <c r="D1" s="1158"/>
      <c r="E1" s="1158"/>
      <c r="F1" s="1158"/>
      <c r="G1" s="1158"/>
      <c r="H1" s="1158"/>
      <c r="I1" s="1158"/>
      <c r="J1" s="674"/>
    </row>
    <row r="2" spans="1:13" ht="21" customHeight="1">
      <c r="A2" s="1159" t="s">
        <v>4575</v>
      </c>
      <c r="B2" s="1159"/>
      <c r="C2" s="1159"/>
      <c r="D2" s="1159"/>
      <c r="E2" s="1159"/>
      <c r="F2" s="1159"/>
      <c r="G2" s="1159"/>
      <c r="H2" s="1159"/>
      <c r="I2" s="1159"/>
      <c r="J2" s="672"/>
    </row>
    <row r="3" spans="1:13" ht="21" customHeight="1">
      <c r="A3" s="1160" t="s">
        <v>4402</v>
      </c>
      <c r="B3" s="1160"/>
      <c r="C3" s="1160"/>
      <c r="D3" s="1160"/>
      <c r="E3" s="1160"/>
      <c r="F3" s="1160"/>
      <c r="G3" s="1160"/>
      <c r="H3" s="1160"/>
      <c r="I3" s="1160"/>
      <c r="J3" s="672"/>
    </row>
    <row r="4" spans="1:13" ht="15" customHeight="1">
      <c r="A4" s="673"/>
      <c r="B4" s="673"/>
      <c r="C4" s="673"/>
      <c r="D4" s="673"/>
      <c r="E4" s="673"/>
      <c r="F4" s="673"/>
      <c r="G4" s="673"/>
      <c r="H4" s="673"/>
      <c r="I4" s="673"/>
      <c r="J4" s="672"/>
    </row>
    <row r="5" spans="1:13" ht="18" customHeight="1">
      <c r="A5" s="1161" t="s">
        <v>3601</v>
      </c>
      <c r="B5" s="1163" t="s">
        <v>4217</v>
      </c>
      <c r="C5" s="1165" t="s">
        <v>838</v>
      </c>
      <c r="D5" s="1166"/>
      <c r="E5" s="1167"/>
      <c r="F5" s="1171" t="s">
        <v>4574</v>
      </c>
      <c r="G5" s="1172"/>
      <c r="H5" s="1173"/>
      <c r="I5" s="1174" t="s">
        <v>4573</v>
      </c>
      <c r="J5" s="647"/>
    </row>
    <row r="6" spans="1:13" ht="18" customHeight="1">
      <c r="A6" s="1162"/>
      <c r="B6" s="1164"/>
      <c r="C6" s="1168"/>
      <c r="D6" s="1169"/>
      <c r="E6" s="1170"/>
      <c r="F6" s="670" t="s">
        <v>3482</v>
      </c>
      <c r="G6" s="671" t="s">
        <v>1261</v>
      </c>
      <c r="H6" s="670" t="s">
        <v>4572</v>
      </c>
      <c r="I6" s="1175"/>
      <c r="J6" s="647"/>
    </row>
    <row r="7" spans="1:13" ht="25.15" customHeight="1">
      <c r="A7" s="653">
        <v>1.5</v>
      </c>
      <c r="B7" s="1151" t="s">
        <v>4571</v>
      </c>
      <c r="C7" s="1152"/>
      <c r="D7" s="1152"/>
      <c r="E7" s="1152"/>
      <c r="F7" s="1152"/>
      <c r="G7" s="1152"/>
      <c r="H7" s="1153"/>
      <c r="I7" s="650"/>
      <c r="J7" s="647"/>
    </row>
    <row r="8" spans="1:13" ht="21" customHeight="1">
      <c r="A8" s="653"/>
      <c r="B8" s="652" t="s">
        <v>4570</v>
      </c>
      <c r="C8" s="651"/>
      <c r="D8" s="651"/>
      <c r="E8" s="651"/>
      <c r="F8" s="666"/>
      <c r="G8" s="653"/>
      <c r="H8" s="666"/>
      <c r="I8" s="650"/>
      <c r="J8" s="647"/>
    </row>
    <row r="9" spans="1:13" ht="21" customHeight="1">
      <c r="A9" s="653"/>
      <c r="B9" s="652" t="s">
        <v>4569</v>
      </c>
      <c r="C9" s="651">
        <v>1</v>
      </c>
      <c r="D9" s="651" t="s">
        <v>4377</v>
      </c>
      <c r="E9" s="651">
        <v>1</v>
      </c>
      <c r="F9" s="650">
        <v>15.8</v>
      </c>
      <c r="G9" s="650">
        <v>2</v>
      </c>
      <c r="H9" s="650">
        <v>1.5</v>
      </c>
      <c r="I9" s="650">
        <f>PRODUCT(C9:H9)</f>
        <v>47.4</v>
      </c>
      <c r="J9" s="647"/>
    </row>
    <row r="10" spans="1:13" ht="21" customHeight="1">
      <c r="A10" s="653"/>
      <c r="B10" s="652"/>
      <c r="C10" s="651"/>
      <c r="D10" s="651"/>
      <c r="E10" s="651"/>
      <c r="F10" s="666"/>
      <c r="G10" s="653"/>
      <c r="H10" s="649" t="s">
        <v>2560</v>
      </c>
      <c r="I10" s="648">
        <f>ROUNDUP(I9,1)</f>
        <v>47.4</v>
      </c>
      <c r="J10" s="647"/>
      <c r="M10" s="669"/>
    </row>
    <row r="11" spans="1:13" ht="21" customHeight="1">
      <c r="A11" s="653"/>
      <c r="B11" s="652"/>
      <c r="C11" s="651"/>
      <c r="D11" s="651"/>
      <c r="E11" s="651"/>
      <c r="F11" s="666"/>
      <c r="G11" s="653"/>
      <c r="H11" s="649"/>
      <c r="I11" s="648"/>
      <c r="J11" s="647"/>
      <c r="M11" s="669"/>
    </row>
    <row r="12" spans="1:13" ht="25.15" customHeight="1">
      <c r="A12" s="653">
        <v>3.1</v>
      </c>
      <c r="B12" s="1151" t="s">
        <v>4568</v>
      </c>
      <c r="C12" s="1152"/>
      <c r="D12" s="1152"/>
      <c r="E12" s="1152"/>
      <c r="F12" s="1152"/>
      <c r="G12" s="1152"/>
      <c r="H12" s="1153"/>
      <c r="I12" s="650"/>
      <c r="J12" s="647"/>
    </row>
    <row r="13" spans="1:13" ht="21" customHeight="1">
      <c r="A13" s="653"/>
      <c r="B13" s="652" t="s">
        <v>4567</v>
      </c>
      <c r="C13" s="651">
        <v>1</v>
      </c>
      <c r="D13" s="651" t="s">
        <v>4377</v>
      </c>
      <c r="E13" s="651">
        <v>1</v>
      </c>
      <c r="F13" s="650">
        <f>F9</f>
        <v>15.8</v>
      </c>
      <c r="G13" s="650">
        <v>2</v>
      </c>
      <c r="H13" s="650">
        <v>0.15</v>
      </c>
      <c r="I13" s="650">
        <f>PRODUCT(C13:H13)</f>
        <v>4.74</v>
      </c>
      <c r="J13" s="647"/>
    </row>
    <row r="14" spans="1:13" ht="21" customHeight="1">
      <c r="A14" s="653"/>
      <c r="B14" s="652"/>
      <c r="C14" s="651"/>
      <c r="D14" s="651"/>
      <c r="E14" s="651"/>
      <c r="F14" s="666"/>
      <c r="G14" s="653"/>
      <c r="H14" s="649" t="s">
        <v>2560</v>
      </c>
      <c r="I14" s="648">
        <f>ROUNDUP(I13,1)</f>
        <v>4.8</v>
      </c>
      <c r="J14" s="647"/>
    </row>
    <row r="15" spans="1:13" ht="21" customHeight="1">
      <c r="A15" s="653"/>
      <c r="B15" s="652"/>
      <c r="C15" s="651"/>
      <c r="D15" s="651"/>
      <c r="E15" s="651"/>
      <c r="F15" s="666"/>
      <c r="G15" s="653"/>
      <c r="H15" s="649"/>
      <c r="I15" s="648"/>
      <c r="J15" s="647"/>
    </row>
    <row r="16" spans="1:13" ht="25.15" customHeight="1">
      <c r="A16" s="653">
        <v>3.2</v>
      </c>
      <c r="B16" s="1151" t="s">
        <v>4566</v>
      </c>
      <c r="C16" s="1152"/>
      <c r="D16" s="1152"/>
      <c r="E16" s="1152"/>
      <c r="F16" s="1152"/>
      <c r="G16" s="1152"/>
      <c r="H16" s="1153"/>
      <c r="I16" s="648"/>
      <c r="J16" s="647"/>
    </row>
    <row r="17" spans="1:10" ht="21" customHeight="1">
      <c r="A17" s="653"/>
      <c r="B17" s="652" t="s">
        <v>4565</v>
      </c>
      <c r="C17" s="651">
        <v>1</v>
      </c>
      <c r="D17" s="651" t="s">
        <v>4377</v>
      </c>
      <c r="E17" s="651">
        <v>1</v>
      </c>
      <c r="F17" s="650">
        <v>15.5</v>
      </c>
      <c r="G17" s="650">
        <v>0.9</v>
      </c>
      <c r="H17" s="650">
        <v>0.1</v>
      </c>
      <c r="I17" s="650">
        <f>PRODUCT(C17:H17)</f>
        <v>1.4</v>
      </c>
      <c r="J17" s="647"/>
    </row>
    <row r="18" spans="1:10" ht="21" customHeight="1">
      <c r="A18" s="653"/>
      <c r="B18" s="652"/>
      <c r="C18" s="651"/>
      <c r="D18" s="651"/>
      <c r="E18" s="651"/>
      <c r="F18" s="666"/>
      <c r="G18" s="653"/>
      <c r="H18" s="649" t="s">
        <v>2560</v>
      </c>
      <c r="I18" s="648">
        <f>ROUNDUP(I17,1)</f>
        <v>1.4</v>
      </c>
      <c r="J18" s="647"/>
    </row>
    <row r="19" spans="1:10" ht="21" customHeight="1">
      <c r="A19" s="653"/>
      <c r="B19" s="652"/>
      <c r="C19" s="651"/>
      <c r="D19" s="651"/>
      <c r="E19" s="651"/>
      <c r="F19" s="666"/>
      <c r="G19" s="653"/>
      <c r="H19" s="649"/>
      <c r="I19" s="648"/>
      <c r="J19" s="647"/>
    </row>
    <row r="20" spans="1:10" ht="49.9" customHeight="1">
      <c r="A20" s="653" t="s">
        <v>2422</v>
      </c>
      <c r="B20" s="1151" t="s">
        <v>4564</v>
      </c>
      <c r="C20" s="1152"/>
      <c r="D20" s="1152"/>
      <c r="E20" s="1152"/>
      <c r="F20" s="1152"/>
      <c r="G20" s="1152"/>
      <c r="H20" s="1153"/>
      <c r="I20" s="648"/>
      <c r="J20" s="647"/>
    </row>
    <row r="21" spans="1:10" ht="21" customHeight="1">
      <c r="A21" s="653"/>
      <c r="B21" s="652" t="s">
        <v>4563</v>
      </c>
      <c r="C21" s="651"/>
      <c r="D21" s="651"/>
      <c r="E21" s="651"/>
      <c r="F21" s="666"/>
      <c r="G21" s="653"/>
      <c r="H21" s="666"/>
      <c r="I21" s="650"/>
      <c r="J21" s="647"/>
    </row>
    <row r="22" spans="1:10" ht="21" customHeight="1">
      <c r="A22" s="653"/>
      <c r="B22" s="652" t="s">
        <v>4562</v>
      </c>
      <c r="C22" s="651">
        <v>1</v>
      </c>
      <c r="D22" s="651" t="s">
        <v>4377</v>
      </c>
      <c r="E22" s="651">
        <v>1</v>
      </c>
      <c r="F22" s="650">
        <f>F17</f>
        <v>15.5</v>
      </c>
      <c r="G22" s="650">
        <v>1.8</v>
      </c>
      <c r="H22" s="650">
        <v>0.23</v>
      </c>
      <c r="I22" s="650">
        <f>PRODUCT(C22:H22)</f>
        <v>6.42</v>
      </c>
      <c r="J22" s="647"/>
    </row>
    <row r="23" spans="1:10" ht="21" customHeight="1">
      <c r="A23" s="653"/>
      <c r="B23" s="652" t="s">
        <v>4561</v>
      </c>
      <c r="C23" s="651">
        <v>1</v>
      </c>
      <c r="D23" s="651" t="s">
        <v>4377</v>
      </c>
      <c r="E23" s="651">
        <v>2</v>
      </c>
      <c r="F23" s="650">
        <f>F22</f>
        <v>15.5</v>
      </c>
      <c r="G23" s="650">
        <v>0.45</v>
      </c>
      <c r="H23" s="650">
        <v>0.15</v>
      </c>
      <c r="I23" s="650">
        <f>PRODUCT(C23:H23)</f>
        <v>2.09</v>
      </c>
      <c r="J23" s="647"/>
    </row>
    <row r="24" spans="1:10" ht="21" customHeight="1">
      <c r="A24" s="653"/>
      <c r="B24" s="652" t="s">
        <v>4559</v>
      </c>
      <c r="C24" s="651">
        <v>1</v>
      </c>
      <c r="D24" s="651" t="s">
        <v>4377</v>
      </c>
      <c r="E24" s="651">
        <v>2</v>
      </c>
      <c r="F24" s="650">
        <f>F17</f>
        <v>15.5</v>
      </c>
      <c r="G24" s="650">
        <v>0.45</v>
      </c>
      <c r="H24" s="650">
        <v>1.2</v>
      </c>
      <c r="I24" s="650">
        <f>PRODUCT(C24:H24)</f>
        <v>16.739999999999998</v>
      </c>
      <c r="J24" s="647"/>
    </row>
    <row r="25" spans="1:10" ht="21" customHeight="1">
      <c r="A25" s="653"/>
      <c r="B25" s="652"/>
      <c r="C25" s="651"/>
      <c r="D25" s="651"/>
      <c r="E25" s="651"/>
      <c r="F25" s="666"/>
      <c r="G25" s="653"/>
      <c r="H25" s="666" t="s">
        <v>1827</v>
      </c>
      <c r="I25" s="650">
        <f>SUM(I22:I24)</f>
        <v>25.25</v>
      </c>
      <c r="J25" s="647"/>
    </row>
    <row r="26" spans="1:10" ht="21" customHeight="1">
      <c r="A26" s="653"/>
      <c r="B26" s="652"/>
      <c r="C26" s="651"/>
      <c r="D26" s="651"/>
      <c r="E26" s="651"/>
      <c r="F26" s="666"/>
      <c r="G26" s="653"/>
      <c r="H26" s="649" t="s">
        <v>2560</v>
      </c>
      <c r="I26" s="648">
        <f>ROUNDUP(I25,1)</f>
        <v>25.3</v>
      </c>
      <c r="J26" s="647"/>
    </row>
    <row r="27" spans="1:10" ht="21" customHeight="1">
      <c r="A27" s="653"/>
      <c r="B27" s="652"/>
      <c r="C27" s="651"/>
      <c r="D27" s="651"/>
      <c r="E27" s="651"/>
      <c r="F27" s="666"/>
      <c r="G27" s="653"/>
      <c r="H27" s="649"/>
      <c r="I27" s="648"/>
      <c r="J27" s="647"/>
    </row>
    <row r="28" spans="1:10" ht="25.15" customHeight="1">
      <c r="A28" s="668">
        <v>6.5</v>
      </c>
      <c r="B28" s="1176" t="s">
        <v>4560</v>
      </c>
      <c r="C28" s="1177"/>
      <c r="D28" s="1177"/>
      <c r="E28" s="1177"/>
      <c r="F28" s="1177"/>
      <c r="G28" s="1177"/>
      <c r="H28" s="1178"/>
      <c r="I28" s="667"/>
      <c r="J28" s="647"/>
    </row>
    <row r="29" spans="1:10" ht="21" customHeight="1">
      <c r="A29" s="653"/>
      <c r="B29" s="652" t="s">
        <v>4554</v>
      </c>
      <c r="C29" s="651">
        <v>1</v>
      </c>
      <c r="D29" s="651" t="s">
        <v>4377</v>
      </c>
      <c r="E29" s="651">
        <v>2</v>
      </c>
      <c r="F29" s="650">
        <v>1.8</v>
      </c>
      <c r="G29" s="650">
        <v>0.23</v>
      </c>
      <c r="H29" s="650">
        <v>0.9</v>
      </c>
      <c r="I29" s="650">
        <f>PRODUCT(C29:H29)</f>
        <v>0.75</v>
      </c>
      <c r="J29" s="647"/>
    </row>
    <row r="30" spans="1:10" ht="21" customHeight="1">
      <c r="A30" s="653"/>
      <c r="B30" s="652"/>
      <c r="C30" s="651"/>
      <c r="D30" s="651"/>
      <c r="E30" s="651"/>
      <c r="F30" s="666"/>
      <c r="G30" s="653"/>
      <c r="H30" s="666" t="s">
        <v>1827</v>
      </c>
      <c r="I30" s="650">
        <f>SUM(I29:I29)</f>
        <v>0.75</v>
      </c>
      <c r="J30" s="647"/>
    </row>
    <row r="31" spans="1:10" ht="21" customHeight="1">
      <c r="A31" s="653"/>
      <c r="B31" s="652"/>
      <c r="C31" s="651"/>
      <c r="D31" s="651"/>
      <c r="E31" s="651"/>
      <c r="F31" s="666"/>
      <c r="G31" s="653"/>
      <c r="H31" s="649" t="s">
        <v>2560</v>
      </c>
      <c r="I31" s="648">
        <f>ROUNDUP(I30,1)</f>
        <v>0.8</v>
      </c>
      <c r="J31" s="647"/>
    </row>
    <row r="32" spans="1:10" ht="21" customHeight="1">
      <c r="A32" s="653"/>
      <c r="B32" s="652"/>
      <c r="C32" s="651"/>
      <c r="D32" s="651"/>
      <c r="E32" s="651"/>
      <c r="F32" s="666"/>
      <c r="G32" s="653"/>
      <c r="H32" s="649"/>
      <c r="I32" s="648"/>
      <c r="J32" s="647"/>
    </row>
    <row r="33" spans="1:10" ht="25.15" customHeight="1">
      <c r="A33" s="665">
        <v>28</v>
      </c>
      <c r="B33" s="1151" t="s">
        <v>4558</v>
      </c>
      <c r="C33" s="1152"/>
      <c r="D33" s="1152"/>
      <c r="E33" s="1152"/>
      <c r="F33" s="1152"/>
      <c r="G33" s="1152"/>
      <c r="H33" s="1153"/>
      <c r="I33" s="650" t="s">
        <v>790</v>
      </c>
      <c r="J33" s="647"/>
    </row>
    <row r="34" spans="1:10" ht="21" customHeight="1">
      <c r="A34" s="653"/>
      <c r="B34" s="652" t="s">
        <v>4557</v>
      </c>
      <c r="C34" s="651">
        <v>1</v>
      </c>
      <c r="D34" s="651" t="s">
        <v>4377</v>
      </c>
      <c r="E34" s="651">
        <v>1</v>
      </c>
      <c r="F34" s="650">
        <v>15.5</v>
      </c>
      <c r="G34" s="650">
        <v>0.9</v>
      </c>
      <c r="H34" s="650"/>
      <c r="I34" s="650">
        <f>PRODUCT(C34:H34)</f>
        <v>13.95</v>
      </c>
      <c r="J34" s="647"/>
    </row>
    <row r="35" spans="1:10" ht="21" customHeight="1">
      <c r="A35" s="653"/>
      <c r="B35" s="652" t="s">
        <v>4556</v>
      </c>
      <c r="C35" s="651">
        <v>1</v>
      </c>
      <c r="D35" s="651" t="s">
        <v>4377</v>
      </c>
      <c r="E35" s="651">
        <v>2</v>
      </c>
      <c r="F35" s="650">
        <v>15.5</v>
      </c>
      <c r="G35" s="650">
        <v>0.9</v>
      </c>
      <c r="H35" s="650"/>
      <c r="I35" s="650">
        <f>PRODUCT(C35:H35)</f>
        <v>27.9</v>
      </c>
      <c r="J35" s="647"/>
    </row>
    <row r="36" spans="1:10" ht="21" customHeight="1">
      <c r="A36" s="653"/>
      <c r="B36" s="652"/>
      <c r="C36" s="651"/>
      <c r="D36" s="651"/>
      <c r="E36" s="651"/>
      <c r="F36" s="666"/>
      <c r="G36" s="653"/>
      <c r="H36" s="666" t="s">
        <v>1827</v>
      </c>
      <c r="I36" s="650">
        <f>SUM(I34:I35)</f>
        <v>41.85</v>
      </c>
      <c r="J36" s="647"/>
    </row>
    <row r="37" spans="1:10" ht="21" customHeight="1">
      <c r="A37" s="653"/>
      <c r="B37" s="652"/>
      <c r="C37" s="651"/>
      <c r="D37" s="651"/>
      <c r="E37" s="651"/>
      <c r="F37" s="666"/>
      <c r="G37" s="653"/>
      <c r="H37" s="649" t="s">
        <v>2560</v>
      </c>
      <c r="I37" s="648">
        <f>ROUNDUP(I36,1)</f>
        <v>41.9</v>
      </c>
      <c r="J37" s="647"/>
    </row>
    <row r="38" spans="1:10" ht="21" customHeight="1">
      <c r="A38" s="653"/>
      <c r="B38" s="652"/>
      <c r="C38" s="651"/>
      <c r="D38" s="651"/>
      <c r="E38" s="651"/>
      <c r="F38" s="666"/>
      <c r="G38" s="653"/>
      <c r="H38" s="649"/>
      <c r="I38" s="648"/>
      <c r="J38" s="647"/>
    </row>
    <row r="39" spans="1:10" ht="25.15" customHeight="1">
      <c r="A39" s="665">
        <v>33</v>
      </c>
      <c r="B39" s="1151" t="s">
        <v>4555</v>
      </c>
      <c r="C39" s="1152"/>
      <c r="D39" s="1152"/>
      <c r="E39" s="1152"/>
      <c r="F39" s="1152"/>
      <c r="G39" s="1152"/>
      <c r="H39" s="1153"/>
      <c r="I39" s="650" t="s">
        <v>790</v>
      </c>
      <c r="J39" s="647"/>
    </row>
    <row r="40" spans="1:10" ht="21" customHeight="1">
      <c r="A40" s="653"/>
      <c r="B40" s="652" t="s">
        <v>4554</v>
      </c>
      <c r="C40" s="651">
        <v>1</v>
      </c>
      <c r="D40" s="651" t="s">
        <v>4377</v>
      </c>
      <c r="E40" s="651">
        <v>2</v>
      </c>
      <c r="F40" s="650">
        <v>1.8</v>
      </c>
      <c r="G40" s="650"/>
      <c r="H40" s="650">
        <v>2.0299999999999998</v>
      </c>
      <c r="I40" s="650">
        <f>PRODUCT(C40:H40)</f>
        <v>7.31</v>
      </c>
      <c r="J40" s="647"/>
    </row>
    <row r="41" spans="1:10" ht="21" customHeight="1">
      <c r="A41" s="653"/>
      <c r="B41" s="652"/>
      <c r="C41" s="651"/>
      <c r="D41" s="651"/>
      <c r="E41" s="651"/>
      <c r="F41" s="666"/>
      <c r="G41" s="653"/>
      <c r="H41" s="666" t="s">
        <v>1827</v>
      </c>
      <c r="I41" s="650">
        <f>SUM(I40:I40)</f>
        <v>7.31</v>
      </c>
      <c r="J41" s="647"/>
    </row>
    <row r="42" spans="1:10" ht="21" customHeight="1">
      <c r="A42" s="653"/>
      <c r="B42" s="652"/>
      <c r="C42" s="651"/>
      <c r="D42" s="651"/>
      <c r="E42" s="651"/>
      <c r="F42" s="666"/>
      <c r="G42" s="653"/>
      <c r="H42" s="649" t="s">
        <v>2560</v>
      </c>
      <c r="I42" s="648">
        <f>ROUNDUP(I41,1)</f>
        <v>7.4</v>
      </c>
      <c r="J42" s="647"/>
    </row>
    <row r="43" spans="1:10" ht="21" customHeight="1">
      <c r="A43" s="653"/>
      <c r="B43" s="652"/>
      <c r="C43" s="651"/>
      <c r="D43" s="651"/>
      <c r="E43" s="651"/>
      <c r="F43" s="666"/>
      <c r="G43" s="653"/>
      <c r="H43" s="649"/>
      <c r="I43" s="648"/>
      <c r="J43" s="647"/>
    </row>
    <row r="44" spans="1:10" ht="25.15" customHeight="1">
      <c r="A44" s="665">
        <v>18.100000000000001</v>
      </c>
      <c r="B44" s="1151" t="s">
        <v>4553</v>
      </c>
      <c r="C44" s="1152"/>
      <c r="D44" s="1152"/>
      <c r="E44" s="1152"/>
      <c r="F44" s="1152"/>
      <c r="G44" s="1152"/>
      <c r="H44" s="1153"/>
      <c r="I44" s="650"/>
      <c r="J44" s="647"/>
    </row>
    <row r="45" spans="1:10" ht="21" customHeight="1">
      <c r="A45" s="653" t="s">
        <v>4552</v>
      </c>
      <c r="B45" s="652" t="s">
        <v>4551</v>
      </c>
      <c r="C45" s="651"/>
      <c r="D45" s="651"/>
      <c r="E45" s="651"/>
      <c r="F45" s="650"/>
      <c r="G45" s="650"/>
      <c r="H45" s="650"/>
      <c r="I45" s="650"/>
      <c r="J45" s="647"/>
    </row>
    <row r="46" spans="1:10" ht="21" customHeight="1">
      <c r="A46" s="653"/>
      <c r="B46" s="652" t="s">
        <v>4550</v>
      </c>
      <c r="C46" s="651">
        <v>1</v>
      </c>
      <c r="D46" s="651" t="s">
        <v>4377</v>
      </c>
      <c r="E46" s="651">
        <v>1</v>
      </c>
      <c r="F46" s="650">
        <f>F35</f>
        <v>15.5</v>
      </c>
      <c r="G46" s="650">
        <v>0.9</v>
      </c>
      <c r="H46" s="650"/>
      <c r="I46" s="650">
        <f>PRODUCT(C46:H46)</f>
        <v>13.95</v>
      </c>
      <c r="J46" s="647"/>
    </row>
    <row r="47" spans="1:10" ht="21" customHeight="1">
      <c r="A47" s="653"/>
      <c r="B47" s="652" t="s">
        <v>4549</v>
      </c>
      <c r="C47" s="651">
        <v>1</v>
      </c>
      <c r="D47" s="651" t="s">
        <v>4377</v>
      </c>
      <c r="E47" s="651">
        <v>1</v>
      </c>
      <c r="F47" s="650">
        <v>34.6</v>
      </c>
      <c r="G47" s="650"/>
      <c r="H47" s="650">
        <v>0.23</v>
      </c>
      <c r="I47" s="650">
        <f>PRODUCT(C47:H47)</f>
        <v>7.96</v>
      </c>
      <c r="J47" s="647"/>
    </row>
    <row r="48" spans="1:10" ht="21" customHeight="1">
      <c r="A48" s="653"/>
      <c r="B48" s="652" t="s">
        <v>4957</v>
      </c>
      <c r="C48" s="651">
        <v>2</v>
      </c>
      <c r="D48" s="651" t="s">
        <v>4377</v>
      </c>
      <c r="E48" s="651">
        <v>2</v>
      </c>
      <c r="F48" s="650">
        <v>15.5</v>
      </c>
      <c r="G48" s="650"/>
      <c r="H48" s="650">
        <v>1.2</v>
      </c>
      <c r="I48" s="650">
        <f t="shared" ref="I48:I49" si="0">PRODUCT(C48:H48)</f>
        <v>74.400000000000006</v>
      </c>
      <c r="J48" s="647"/>
    </row>
    <row r="49" spans="1:18" ht="21" customHeight="1">
      <c r="A49" s="653"/>
      <c r="B49" s="652" t="s">
        <v>4958</v>
      </c>
      <c r="C49" s="651">
        <v>2</v>
      </c>
      <c r="D49" s="651" t="s">
        <v>4377</v>
      </c>
      <c r="E49" s="651">
        <v>2</v>
      </c>
      <c r="F49" s="650">
        <v>0.45</v>
      </c>
      <c r="G49" s="650"/>
      <c r="H49" s="650">
        <v>1.2</v>
      </c>
      <c r="I49" s="650">
        <f t="shared" si="0"/>
        <v>2.16</v>
      </c>
      <c r="J49" s="647"/>
    </row>
    <row r="50" spans="1:18" ht="21" customHeight="1">
      <c r="A50" s="653"/>
      <c r="B50" s="652"/>
      <c r="C50" s="651"/>
      <c r="D50" s="651"/>
      <c r="E50" s="651"/>
      <c r="F50" s="666"/>
      <c r="G50" s="653"/>
      <c r="H50" s="666" t="s">
        <v>1827</v>
      </c>
      <c r="I50" s="650">
        <f>SUM(I46:I49)</f>
        <v>98.47</v>
      </c>
      <c r="J50" s="647"/>
    </row>
    <row r="51" spans="1:18" ht="21" customHeight="1">
      <c r="A51" s="653"/>
      <c r="B51" s="652"/>
      <c r="C51" s="651"/>
      <c r="D51" s="651"/>
      <c r="E51" s="651"/>
      <c r="F51" s="650"/>
      <c r="G51" s="650"/>
      <c r="H51" s="649" t="s">
        <v>2560</v>
      </c>
      <c r="I51" s="648">
        <f>ROUNDUP(I50,1)</f>
        <v>98.5</v>
      </c>
      <c r="J51" s="647"/>
    </row>
    <row r="52" spans="1:18" ht="21" customHeight="1">
      <c r="A52" s="653"/>
      <c r="B52" s="652"/>
      <c r="C52" s="651"/>
      <c r="D52" s="651"/>
      <c r="E52" s="651"/>
      <c r="F52" s="650"/>
      <c r="G52" s="650"/>
      <c r="H52" s="649"/>
      <c r="I52" s="648"/>
      <c r="J52" s="647"/>
    </row>
    <row r="53" spans="1:18" ht="25.15" customHeight="1">
      <c r="A53" s="653" t="s">
        <v>4548</v>
      </c>
      <c r="B53" s="1154" t="s">
        <v>4547</v>
      </c>
      <c r="C53" s="1155"/>
      <c r="D53" s="1155"/>
      <c r="E53" s="1155"/>
      <c r="F53" s="1155"/>
      <c r="G53" s="1155"/>
      <c r="H53" s="1156"/>
      <c r="I53" s="650"/>
      <c r="J53" s="647"/>
    </row>
    <row r="54" spans="1:18" ht="21" customHeight="1">
      <c r="A54" s="653"/>
      <c r="B54" s="652" t="s">
        <v>4546</v>
      </c>
      <c r="C54" s="651">
        <v>1</v>
      </c>
      <c r="D54" s="651" t="s">
        <v>4377</v>
      </c>
      <c r="E54" s="651">
        <v>2</v>
      </c>
      <c r="F54" s="650">
        <v>31.5</v>
      </c>
      <c r="G54" s="650"/>
      <c r="H54" s="650">
        <v>0.15</v>
      </c>
      <c r="I54" s="650">
        <f>PRODUCT(C54:H54)</f>
        <v>9.4499999999999993</v>
      </c>
      <c r="J54" s="647"/>
    </row>
    <row r="55" spans="1:18" ht="21" customHeight="1">
      <c r="A55" s="653"/>
      <c r="B55" s="652"/>
      <c r="C55" s="651"/>
      <c r="D55" s="651"/>
      <c r="E55" s="651"/>
      <c r="F55" s="666"/>
      <c r="G55" s="653"/>
      <c r="H55" s="666" t="s">
        <v>1827</v>
      </c>
      <c r="I55" s="650">
        <f>SUM(I54:I54)</f>
        <v>9.4499999999999993</v>
      </c>
      <c r="J55" s="647"/>
    </row>
    <row r="56" spans="1:18" ht="21" customHeight="1">
      <c r="A56" s="653"/>
      <c r="B56" s="652"/>
      <c r="C56" s="651"/>
      <c r="D56" s="651"/>
      <c r="E56" s="651"/>
      <c r="F56" s="650"/>
      <c r="G56" s="650"/>
      <c r="H56" s="649" t="s">
        <v>2560</v>
      </c>
      <c r="I56" s="648">
        <f>ROUNDUP(I55,1)</f>
        <v>9.5</v>
      </c>
      <c r="J56" s="647"/>
    </row>
    <row r="57" spans="1:18" ht="21" customHeight="1">
      <c r="A57" s="653"/>
      <c r="B57" s="652"/>
      <c r="C57" s="651"/>
      <c r="D57" s="651"/>
      <c r="E57" s="651"/>
      <c r="F57" s="650"/>
      <c r="G57" s="650"/>
      <c r="H57" s="649"/>
      <c r="I57" s="648"/>
      <c r="J57" s="647"/>
    </row>
    <row r="58" spans="1:18" ht="25.15" customHeight="1">
      <c r="A58" s="665">
        <v>43</v>
      </c>
      <c r="B58" s="1151" t="s">
        <v>4545</v>
      </c>
      <c r="C58" s="1152"/>
      <c r="D58" s="1152"/>
      <c r="E58" s="1152"/>
      <c r="F58" s="1152"/>
      <c r="G58" s="1152"/>
      <c r="H58" s="1153"/>
      <c r="I58" s="650"/>
      <c r="J58" s="647"/>
      <c r="L58" s="1157"/>
      <c r="M58" s="1157"/>
      <c r="N58" s="1157"/>
      <c r="O58" s="1157"/>
      <c r="P58" s="1157"/>
      <c r="Q58" s="1157"/>
      <c r="R58" s="1157"/>
    </row>
    <row r="59" spans="1:18" s="656" customFormat="1" ht="21" customHeight="1">
      <c r="A59" s="664"/>
      <c r="B59" s="663" t="s">
        <v>4264</v>
      </c>
      <c r="C59" s="662"/>
      <c r="D59" s="662"/>
      <c r="E59" s="662"/>
      <c r="F59" s="661"/>
      <c r="G59" s="660">
        <f>I26</f>
        <v>25.3</v>
      </c>
      <c r="H59" s="659">
        <v>120</v>
      </c>
      <c r="I59" s="658">
        <f>H59*G59</f>
        <v>3036</v>
      </c>
      <c r="J59" s="657"/>
    </row>
    <row r="60" spans="1:18" ht="21" customHeight="1">
      <c r="A60" s="653"/>
      <c r="B60" s="652"/>
      <c r="C60" s="651"/>
      <c r="D60" s="651"/>
      <c r="E60" s="651"/>
      <c r="F60" s="655"/>
      <c r="G60" s="654"/>
      <c r="H60" s="649" t="s">
        <v>2560</v>
      </c>
      <c r="I60" s="649">
        <f>I59/1000</f>
        <v>3.036</v>
      </c>
      <c r="J60" s="647"/>
    </row>
    <row r="61" spans="1:18" ht="21" customHeight="1">
      <c r="A61" s="653"/>
      <c r="B61" s="652"/>
      <c r="C61" s="651"/>
      <c r="D61" s="651"/>
      <c r="E61" s="651"/>
      <c r="F61" s="650"/>
      <c r="G61" s="650"/>
      <c r="H61" s="649"/>
      <c r="I61" s="648"/>
      <c r="J61" s="647"/>
    </row>
    <row r="64" spans="1:18">
      <c r="E64" s="646"/>
      <c r="F64" s="645"/>
      <c r="G64" s="645"/>
    </row>
  </sheetData>
  <mergeCells count="19">
    <mergeCell ref="B33:H33"/>
    <mergeCell ref="A1:I1"/>
    <mergeCell ref="A2:I2"/>
    <mergeCell ref="A3:I3"/>
    <mergeCell ref="A5:A6"/>
    <mergeCell ref="B5:B6"/>
    <mergeCell ref="C5:E6"/>
    <mergeCell ref="F5:H5"/>
    <mergeCell ref="I5:I6"/>
    <mergeCell ref="B7:H7"/>
    <mergeCell ref="B12:H12"/>
    <mergeCell ref="B16:H16"/>
    <mergeCell ref="B20:H20"/>
    <mergeCell ref="B28:H28"/>
    <mergeCell ref="B39:H39"/>
    <mergeCell ref="B44:H44"/>
    <mergeCell ref="B53:H53"/>
    <mergeCell ref="B58:H58"/>
    <mergeCell ref="L58:R58"/>
  </mergeCells>
  <pageMargins left="0.7" right="0.7" top="0.7" bottom="0.4" header="0.31496062992126" footer="0.31496062992126"/>
  <pageSetup paperSize="9" scale="95" orientation="portrait" verticalDpi="300" r:id="rId1"/>
  <headerFooter>
    <oddHeader>Page &amp;P</oddHeader>
  </headerFooter>
</worksheet>
</file>

<file path=xl/worksheets/sheet17.xml><?xml version="1.0" encoding="utf-8"?>
<worksheet xmlns="http://schemas.openxmlformats.org/spreadsheetml/2006/main" xmlns:r="http://schemas.openxmlformats.org/officeDocument/2006/relationships">
  <sheetPr>
    <tabColor rgb="FF00B0F0"/>
  </sheetPr>
  <dimension ref="A1:L220"/>
  <sheetViews>
    <sheetView view="pageBreakPreview" topLeftCell="A10" zoomScaleSheetLayoutView="100" workbookViewId="0">
      <selection activeCell="G11" sqref="G11"/>
    </sheetView>
  </sheetViews>
  <sheetFormatPr defaultColWidth="8.88671875" defaultRowHeight="15.75"/>
  <cols>
    <col min="1" max="1" width="4.77734375" style="109" customWidth="1"/>
    <col min="2" max="2" width="34.88671875" style="602" customWidth="1"/>
    <col min="3" max="4" width="3.6640625" style="110" customWidth="1"/>
    <col min="5" max="8" width="7.77734375" style="110" customWidth="1"/>
    <col min="9" max="29" width="8.88671875" style="109"/>
    <col min="30" max="31" width="0" style="109" hidden="1" customWidth="1"/>
    <col min="32" max="256" width="8.88671875" style="109"/>
    <col min="257" max="257" width="4.77734375" style="109" customWidth="1"/>
    <col min="258" max="258" width="34.88671875" style="109" customWidth="1"/>
    <col min="259" max="260" width="3.6640625" style="109" customWidth="1"/>
    <col min="261" max="264" width="7.77734375" style="109" customWidth="1"/>
    <col min="265" max="285" width="8.88671875" style="109"/>
    <col min="286" max="287" width="0" style="109" hidden="1" customWidth="1"/>
    <col min="288" max="512" width="8.88671875" style="109"/>
    <col min="513" max="513" width="4.77734375" style="109" customWidth="1"/>
    <col min="514" max="514" width="34.88671875" style="109" customWidth="1"/>
    <col min="515" max="516" width="3.6640625" style="109" customWidth="1"/>
    <col min="517" max="520" width="7.77734375" style="109" customWidth="1"/>
    <col min="521" max="541" width="8.88671875" style="109"/>
    <col min="542" max="543" width="0" style="109" hidden="1" customWidth="1"/>
    <col min="544" max="768" width="8.88671875" style="109"/>
    <col min="769" max="769" width="4.77734375" style="109" customWidth="1"/>
    <col min="770" max="770" width="34.88671875" style="109" customWidth="1"/>
    <col min="771" max="772" width="3.6640625" style="109" customWidth="1"/>
    <col min="773" max="776" width="7.77734375" style="109" customWidth="1"/>
    <col min="777" max="797" width="8.88671875" style="109"/>
    <col min="798" max="799" width="0" style="109" hidden="1" customWidth="1"/>
    <col min="800" max="1024" width="8.88671875" style="109"/>
    <col min="1025" max="1025" width="4.77734375" style="109" customWidth="1"/>
    <col min="1026" max="1026" width="34.88671875" style="109" customWidth="1"/>
    <col min="1027" max="1028" width="3.6640625" style="109" customWidth="1"/>
    <col min="1029" max="1032" width="7.77734375" style="109" customWidth="1"/>
    <col min="1033" max="1053" width="8.88671875" style="109"/>
    <col min="1054" max="1055" width="0" style="109" hidden="1" customWidth="1"/>
    <col min="1056" max="1280" width="8.88671875" style="109"/>
    <col min="1281" max="1281" width="4.77734375" style="109" customWidth="1"/>
    <col min="1282" max="1282" width="34.88671875" style="109" customWidth="1"/>
    <col min="1283" max="1284" width="3.6640625" style="109" customWidth="1"/>
    <col min="1285" max="1288" width="7.77734375" style="109" customWidth="1"/>
    <col min="1289" max="1309" width="8.88671875" style="109"/>
    <col min="1310" max="1311" width="0" style="109" hidden="1" customWidth="1"/>
    <col min="1312" max="1536" width="8.88671875" style="109"/>
    <col min="1537" max="1537" width="4.77734375" style="109" customWidth="1"/>
    <col min="1538" max="1538" width="34.88671875" style="109" customWidth="1"/>
    <col min="1539" max="1540" width="3.6640625" style="109" customWidth="1"/>
    <col min="1541" max="1544" width="7.77734375" style="109" customWidth="1"/>
    <col min="1545" max="1565" width="8.88671875" style="109"/>
    <col min="1566" max="1567" width="0" style="109" hidden="1" customWidth="1"/>
    <col min="1568" max="1792" width="8.88671875" style="109"/>
    <col min="1793" max="1793" width="4.77734375" style="109" customWidth="1"/>
    <col min="1794" max="1794" width="34.88671875" style="109" customWidth="1"/>
    <col min="1795" max="1796" width="3.6640625" style="109" customWidth="1"/>
    <col min="1797" max="1800" width="7.77734375" style="109" customWidth="1"/>
    <col min="1801" max="1821" width="8.88671875" style="109"/>
    <col min="1822" max="1823" width="0" style="109" hidden="1" customWidth="1"/>
    <col min="1824" max="2048" width="8.88671875" style="109"/>
    <col min="2049" max="2049" width="4.77734375" style="109" customWidth="1"/>
    <col min="2050" max="2050" width="34.88671875" style="109" customWidth="1"/>
    <col min="2051" max="2052" width="3.6640625" style="109" customWidth="1"/>
    <col min="2053" max="2056" width="7.77734375" style="109" customWidth="1"/>
    <col min="2057" max="2077" width="8.88671875" style="109"/>
    <col min="2078" max="2079" width="0" style="109" hidden="1" customWidth="1"/>
    <col min="2080" max="2304" width="8.88671875" style="109"/>
    <col min="2305" max="2305" width="4.77734375" style="109" customWidth="1"/>
    <col min="2306" max="2306" width="34.88671875" style="109" customWidth="1"/>
    <col min="2307" max="2308" width="3.6640625" style="109" customWidth="1"/>
    <col min="2309" max="2312" width="7.77734375" style="109" customWidth="1"/>
    <col min="2313" max="2333" width="8.88671875" style="109"/>
    <col min="2334" max="2335" width="0" style="109" hidden="1" customWidth="1"/>
    <col min="2336" max="2560" width="8.88671875" style="109"/>
    <col min="2561" max="2561" width="4.77734375" style="109" customWidth="1"/>
    <col min="2562" max="2562" width="34.88671875" style="109" customWidth="1"/>
    <col min="2563" max="2564" width="3.6640625" style="109" customWidth="1"/>
    <col min="2565" max="2568" width="7.77734375" style="109" customWidth="1"/>
    <col min="2569" max="2589" width="8.88671875" style="109"/>
    <col min="2590" max="2591" width="0" style="109" hidden="1" customWidth="1"/>
    <col min="2592" max="2816" width="8.88671875" style="109"/>
    <col min="2817" max="2817" width="4.77734375" style="109" customWidth="1"/>
    <col min="2818" max="2818" width="34.88671875" style="109" customWidth="1"/>
    <col min="2819" max="2820" width="3.6640625" style="109" customWidth="1"/>
    <col min="2821" max="2824" width="7.77734375" style="109" customWidth="1"/>
    <col min="2825" max="2845" width="8.88671875" style="109"/>
    <col min="2846" max="2847" width="0" style="109" hidden="1" customWidth="1"/>
    <col min="2848" max="3072" width="8.88671875" style="109"/>
    <col min="3073" max="3073" width="4.77734375" style="109" customWidth="1"/>
    <col min="3074" max="3074" width="34.88671875" style="109" customWidth="1"/>
    <col min="3075" max="3076" width="3.6640625" style="109" customWidth="1"/>
    <col min="3077" max="3080" width="7.77734375" style="109" customWidth="1"/>
    <col min="3081" max="3101" width="8.88671875" style="109"/>
    <col min="3102" max="3103" width="0" style="109" hidden="1" customWidth="1"/>
    <col min="3104" max="3328" width="8.88671875" style="109"/>
    <col min="3329" max="3329" width="4.77734375" style="109" customWidth="1"/>
    <col min="3330" max="3330" width="34.88671875" style="109" customWidth="1"/>
    <col min="3331" max="3332" width="3.6640625" style="109" customWidth="1"/>
    <col min="3333" max="3336" width="7.77734375" style="109" customWidth="1"/>
    <col min="3337" max="3357" width="8.88671875" style="109"/>
    <col min="3358" max="3359" width="0" style="109" hidden="1" customWidth="1"/>
    <col min="3360" max="3584" width="8.88671875" style="109"/>
    <col min="3585" max="3585" width="4.77734375" style="109" customWidth="1"/>
    <col min="3586" max="3586" width="34.88671875" style="109" customWidth="1"/>
    <col min="3587" max="3588" width="3.6640625" style="109" customWidth="1"/>
    <col min="3589" max="3592" width="7.77734375" style="109" customWidth="1"/>
    <col min="3593" max="3613" width="8.88671875" style="109"/>
    <col min="3614" max="3615" width="0" style="109" hidden="1" customWidth="1"/>
    <col min="3616" max="3840" width="8.88671875" style="109"/>
    <col min="3841" max="3841" width="4.77734375" style="109" customWidth="1"/>
    <col min="3842" max="3842" width="34.88671875" style="109" customWidth="1"/>
    <col min="3843" max="3844" width="3.6640625" style="109" customWidth="1"/>
    <col min="3845" max="3848" width="7.77734375" style="109" customWidth="1"/>
    <col min="3849" max="3869" width="8.88671875" style="109"/>
    <col min="3870" max="3871" width="0" style="109" hidden="1" customWidth="1"/>
    <col min="3872" max="4096" width="8.88671875" style="109"/>
    <col min="4097" max="4097" width="4.77734375" style="109" customWidth="1"/>
    <col min="4098" max="4098" width="34.88671875" style="109" customWidth="1"/>
    <col min="4099" max="4100" width="3.6640625" style="109" customWidth="1"/>
    <col min="4101" max="4104" width="7.77734375" style="109" customWidth="1"/>
    <col min="4105" max="4125" width="8.88671875" style="109"/>
    <col min="4126" max="4127" width="0" style="109" hidden="1" customWidth="1"/>
    <col min="4128" max="4352" width="8.88671875" style="109"/>
    <col min="4353" max="4353" width="4.77734375" style="109" customWidth="1"/>
    <col min="4354" max="4354" width="34.88671875" style="109" customWidth="1"/>
    <col min="4355" max="4356" width="3.6640625" style="109" customWidth="1"/>
    <col min="4357" max="4360" width="7.77734375" style="109" customWidth="1"/>
    <col min="4361" max="4381" width="8.88671875" style="109"/>
    <col min="4382" max="4383" width="0" style="109" hidden="1" customWidth="1"/>
    <col min="4384" max="4608" width="8.88671875" style="109"/>
    <col min="4609" max="4609" width="4.77734375" style="109" customWidth="1"/>
    <col min="4610" max="4610" width="34.88671875" style="109" customWidth="1"/>
    <col min="4611" max="4612" width="3.6640625" style="109" customWidth="1"/>
    <col min="4613" max="4616" width="7.77734375" style="109" customWidth="1"/>
    <col min="4617" max="4637" width="8.88671875" style="109"/>
    <col min="4638" max="4639" width="0" style="109" hidden="1" customWidth="1"/>
    <col min="4640" max="4864" width="8.88671875" style="109"/>
    <col min="4865" max="4865" width="4.77734375" style="109" customWidth="1"/>
    <col min="4866" max="4866" width="34.88671875" style="109" customWidth="1"/>
    <col min="4867" max="4868" width="3.6640625" style="109" customWidth="1"/>
    <col min="4869" max="4872" width="7.77734375" style="109" customWidth="1"/>
    <col min="4873" max="4893" width="8.88671875" style="109"/>
    <col min="4894" max="4895" width="0" style="109" hidden="1" customWidth="1"/>
    <col min="4896" max="5120" width="8.88671875" style="109"/>
    <col min="5121" max="5121" width="4.77734375" style="109" customWidth="1"/>
    <col min="5122" max="5122" width="34.88671875" style="109" customWidth="1"/>
    <col min="5123" max="5124" width="3.6640625" style="109" customWidth="1"/>
    <col min="5125" max="5128" width="7.77734375" style="109" customWidth="1"/>
    <col min="5129" max="5149" width="8.88671875" style="109"/>
    <col min="5150" max="5151" width="0" style="109" hidden="1" customWidth="1"/>
    <col min="5152" max="5376" width="8.88671875" style="109"/>
    <col min="5377" max="5377" width="4.77734375" style="109" customWidth="1"/>
    <col min="5378" max="5378" width="34.88671875" style="109" customWidth="1"/>
    <col min="5379" max="5380" width="3.6640625" style="109" customWidth="1"/>
    <col min="5381" max="5384" width="7.77734375" style="109" customWidth="1"/>
    <col min="5385" max="5405" width="8.88671875" style="109"/>
    <col min="5406" max="5407" width="0" style="109" hidden="1" customWidth="1"/>
    <col min="5408" max="5632" width="8.88671875" style="109"/>
    <col min="5633" max="5633" width="4.77734375" style="109" customWidth="1"/>
    <col min="5634" max="5634" width="34.88671875" style="109" customWidth="1"/>
    <col min="5635" max="5636" width="3.6640625" style="109" customWidth="1"/>
    <col min="5637" max="5640" width="7.77734375" style="109" customWidth="1"/>
    <col min="5641" max="5661" width="8.88671875" style="109"/>
    <col min="5662" max="5663" width="0" style="109" hidden="1" customWidth="1"/>
    <col min="5664" max="5888" width="8.88671875" style="109"/>
    <col min="5889" max="5889" width="4.77734375" style="109" customWidth="1"/>
    <col min="5890" max="5890" width="34.88671875" style="109" customWidth="1"/>
    <col min="5891" max="5892" width="3.6640625" style="109" customWidth="1"/>
    <col min="5893" max="5896" width="7.77734375" style="109" customWidth="1"/>
    <col min="5897" max="5917" width="8.88671875" style="109"/>
    <col min="5918" max="5919" width="0" style="109" hidden="1" customWidth="1"/>
    <col min="5920" max="6144" width="8.88671875" style="109"/>
    <col min="6145" max="6145" width="4.77734375" style="109" customWidth="1"/>
    <col min="6146" max="6146" width="34.88671875" style="109" customWidth="1"/>
    <col min="6147" max="6148" width="3.6640625" style="109" customWidth="1"/>
    <col min="6149" max="6152" width="7.77734375" style="109" customWidth="1"/>
    <col min="6153" max="6173" width="8.88671875" style="109"/>
    <col min="6174" max="6175" width="0" style="109" hidden="1" customWidth="1"/>
    <col min="6176" max="6400" width="8.88671875" style="109"/>
    <col min="6401" max="6401" width="4.77734375" style="109" customWidth="1"/>
    <col min="6402" max="6402" width="34.88671875" style="109" customWidth="1"/>
    <col min="6403" max="6404" width="3.6640625" style="109" customWidth="1"/>
    <col min="6405" max="6408" width="7.77734375" style="109" customWidth="1"/>
    <col min="6409" max="6429" width="8.88671875" style="109"/>
    <col min="6430" max="6431" width="0" style="109" hidden="1" customWidth="1"/>
    <col min="6432" max="6656" width="8.88671875" style="109"/>
    <col min="6657" max="6657" width="4.77734375" style="109" customWidth="1"/>
    <col min="6658" max="6658" width="34.88671875" style="109" customWidth="1"/>
    <col min="6659" max="6660" width="3.6640625" style="109" customWidth="1"/>
    <col min="6661" max="6664" width="7.77734375" style="109" customWidth="1"/>
    <col min="6665" max="6685" width="8.88671875" style="109"/>
    <col min="6686" max="6687" width="0" style="109" hidden="1" customWidth="1"/>
    <col min="6688" max="6912" width="8.88671875" style="109"/>
    <col min="6913" max="6913" width="4.77734375" style="109" customWidth="1"/>
    <col min="6914" max="6914" width="34.88671875" style="109" customWidth="1"/>
    <col min="6915" max="6916" width="3.6640625" style="109" customWidth="1"/>
    <col min="6917" max="6920" width="7.77734375" style="109" customWidth="1"/>
    <col min="6921" max="6941" width="8.88671875" style="109"/>
    <col min="6942" max="6943" width="0" style="109" hidden="1" customWidth="1"/>
    <col min="6944" max="7168" width="8.88671875" style="109"/>
    <col min="7169" max="7169" width="4.77734375" style="109" customWidth="1"/>
    <col min="7170" max="7170" width="34.88671875" style="109" customWidth="1"/>
    <col min="7171" max="7172" width="3.6640625" style="109" customWidth="1"/>
    <col min="7173" max="7176" width="7.77734375" style="109" customWidth="1"/>
    <col min="7177" max="7197" width="8.88671875" style="109"/>
    <col min="7198" max="7199" width="0" style="109" hidden="1" customWidth="1"/>
    <col min="7200" max="7424" width="8.88671875" style="109"/>
    <col min="7425" max="7425" width="4.77734375" style="109" customWidth="1"/>
    <col min="7426" max="7426" width="34.88671875" style="109" customWidth="1"/>
    <col min="7427" max="7428" width="3.6640625" style="109" customWidth="1"/>
    <col min="7429" max="7432" width="7.77734375" style="109" customWidth="1"/>
    <col min="7433" max="7453" width="8.88671875" style="109"/>
    <col min="7454" max="7455" width="0" style="109" hidden="1" customWidth="1"/>
    <col min="7456" max="7680" width="8.88671875" style="109"/>
    <col min="7681" max="7681" width="4.77734375" style="109" customWidth="1"/>
    <col min="7682" max="7682" width="34.88671875" style="109" customWidth="1"/>
    <col min="7683" max="7684" width="3.6640625" style="109" customWidth="1"/>
    <col min="7685" max="7688" width="7.77734375" style="109" customWidth="1"/>
    <col min="7689" max="7709" width="8.88671875" style="109"/>
    <col min="7710" max="7711" width="0" style="109" hidden="1" customWidth="1"/>
    <col min="7712" max="7936" width="8.88671875" style="109"/>
    <col min="7937" max="7937" width="4.77734375" style="109" customWidth="1"/>
    <col min="7938" max="7938" width="34.88671875" style="109" customWidth="1"/>
    <col min="7939" max="7940" width="3.6640625" style="109" customWidth="1"/>
    <col min="7941" max="7944" width="7.77734375" style="109" customWidth="1"/>
    <col min="7945" max="7965" width="8.88671875" style="109"/>
    <col min="7966" max="7967" width="0" style="109" hidden="1" customWidth="1"/>
    <col min="7968" max="8192" width="8.88671875" style="109"/>
    <col min="8193" max="8193" width="4.77734375" style="109" customWidth="1"/>
    <col min="8194" max="8194" width="34.88671875" style="109" customWidth="1"/>
    <col min="8195" max="8196" width="3.6640625" style="109" customWidth="1"/>
    <col min="8197" max="8200" width="7.77734375" style="109" customWidth="1"/>
    <col min="8201" max="8221" width="8.88671875" style="109"/>
    <col min="8222" max="8223" width="0" style="109" hidden="1" customWidth="1"/>
    <col min="8224" max="8448" width="8.88671875" style="109"/>
    <col min="8449" max="8449" width="4.77734375" style="109" customWidth="1"/>
    <col min="8450" max="8450" width="34.88671875" style="109" customWidth="1"/>
    <col min="8451" max="8452" width="3.6640625" style="109" customWidth="1"/>
    <col min="8453" max="8456" width="7.77734375" style="109" customWidth="1"/>
    <col min="8457" max="8477" width="8.88671875" style="109"/>
    <col min="8478" max="8479" width="0" style="109" hidden="1" customWidth="1"/>
    <col min="8480" max="8704" width="8.88671875" style="109"/>
    <col min="8705" max="8705" width="4.77734375" style="109" customWidth="1"/>
    <col min="8706" max="8706" width="34.88671875" style="109" customWidth="1"/>
    <col min="8707" max="8708" width="3.6640625" style="109" customWidth="1"/>
    <col min="8709" max="8712" width="7.77734375" style="109" customWidth="1"/>
    <col min="8713" max="8733" width="8.88671875" style="109"/>
    <col min="8734" max="8735" width="0" style="109" hidden="1" customWidth="1"/>
    <col min="8736" max="8960" width="8.88671875" style="109"/>
    <col min="8961" max="8961" width="4.77734375" style="109" customWidth="1"/>
    <col min="8962" max="8962" width="34.88671875" style="109" customWidth="1"/>
    <col min="8963" max="8964" width="3.6640625" style="109" customWidth="1"/>
    <col min="8965" max="8968" width="7.77734375" style="109" customWidth="1"/>
    <col min="8969" max="8989" width="8.88671875" style="109"/>
    <col min="8990" max="8991" width="0" style="109" hidden="1" customWidth="1"/>
    <col min="8992" max="9216" width="8.88671875" style="109"/>
    <col min="9217" max="9217" width="4.77734375" style="109" customWidth="1"/>
    <col min="9218" max="9218" width="34.88671875" style="109" customWidth="1"/>
    <col min="9219" max="9220" width="3.6640625" style="109" customWidth="1"/>
    <col min="9221" max="9224" width="7.77734375" style="109" customWidth="1"/>
    <col min="9225" max="9245" width="8.88671875" style="109"/>
    <col min="9246" max="9247" width="0" style="109" hidden="1" customWidth="1"/>
    <col min="9248" max="9472" width="8.88671875" style="109"/>
    <col min="9473" max="9473" width="4.77734375" style="109" customWidth="1"/>
    <col min="9474" max="9474" width="34.88671875" style="109" customWidth="1"/>
    <col min="9475" max="9476" width="3.6640625" style="109" customWidth="1"/>
    <col min="9477" max="9480" width="7.77734375" style="109" customWidth="1"/>
    <col min="9481" max="9501" width="8.88671875" style="109"/>
    <col min="9502" max="9503" width="0" style="109" hidden="1" customWidth="1"/>
    <col min="9504" max="9728" width="8.88671875" style="109"/>
    <col min="9729" max="9729" width="4.77734375" style="109" customWidth="1"/>
    <col min="9730" max="9730" width="34.88671875" style="109" customWidth="1"/>
    <col min="9731" max="9732" width="3.6640625" style="109" customWidth="1"/>
    <col min="9733" max="9736" width="7.77734375" style="109" customWidth="1"/>
    <col min="9737" max="9757" width="8.88671875" style="109"/>
    <col min="9758" max="9759" width="0" style="109" hidden="1" customWidth="1"/>
    <col min="9760" max="9984" width="8.88671875" style="109"/>
    <col min="9985" max="9985" width="4.77734375" style="109" customWidth="1"/>
    <col min="9986" max="9986" width="34.88671875" style="109" customWidth="1"/>
    <col min="9987" max="9988" width="3.6640625" style="109" customWidth="1"/>
    <col min="9989" max="9992" width="7.77734375" style="109" customWidth="1"/>
    <col min="9993" max="10013" width="8.88671875" style="109"/>
    <col min="10014" max="10015" width="0" style="109" hidden="1" customWidth="1"/>
    <col min="10016" max="10240" width="8.88671875" style="109"/>
    <col min="10241" max="10241" width="4.77734375" style="109" customWidth="1"/>
    <col min="10242" max="10242" width="34.88671875" style="109" customWidth="1"/>
    <col min="10243" max="10244" width="3.6640625" style="109" customWidth="1"/>
    <col min="10245" max="10248" width="7.77734375" style="109" customWidth="1"/>
    <col min="10249" max="10269" width="8.88671875" style="109"/>
    <col min="10270" max="10271" width="0" style="109" hidden="1" customWidth="1"/>
    <col min="10272" max="10496" width="8.88671875" style="109"/>
    <col min="10497" max="10497" width="4.77734375" style="109" customWidth="1"/>
    <col min="10498" max="10498" width="34.88671875" style="109" customWidth="1"/>
    <col min="10499" max="10500" width="3.6640625" style="109" customWidth="1"/>
    <col min="10501" max="10504" width="7.77734375" style="109" customWidth="1"/>
    <col min="10505" max="10525" width="8.88671875" style="109"/>
    <col min="10526" max="10527" width="0" style="109" hidden="1" customWidth="1"/>
    <col min="10528" max="10752" width="8.88671875" style="109"/>
    <col min="10753" max="10753" width="4.77734375" style="109" customWidth="1"/>
    <col min="10754" max="10754" width="34.88671875" style="109" customWidth="1"/>
    <col min="10755" max="10756" width="3.6640625" style="109" customWidth="1"/>
    <col min="10757" max="10760" width="7.77734375" style="109" customWidth="1"/>
    <col min="10761" max="10781" width="8.88671875" style="109"/>
    <col min="10782" max="10783" width="0" style="109" hidden="1" customWidth="1"/>
    <col min="10784" max="11008" width="8.88671875" style="109"/>
    <col min="11009" max="11009" width="4.77734375" style="109" customWidth="1"/>
    <col min="11010" max="11010" width="34.88671875" style="109" customWidth="1"/>
    <col min="11011" max="11012" width="3.6640625" style="109" customWidth="1"/>
    <col min="11013" max="11016" width="7.77734375" style="109" customWidth="1"/>
    <col min="11017" max="11037" width="8.88671875" style="109"/>
    <col min="11038" max="11039" width="0" style="109" hidden="1" customWidth="1"/>
    <col min="11040" max="11264" width="8.88671875" style="109"/>
    <col min="11265" max="11265" width="4.77734375" style="109" customWidth="1"/>
    <col min="11266" max="11266" width="34.88671875" style="109" customWidth="1"/>
    <col min="11267" max="11268" width="3.6640625" style="109" customWidth="1"/>
    <col min="11269" max="11272" width="7.77734375" style="109" customWidth="1"/>
    <col min="11273" max="11293" width="8.88671875" style="109"/>
    <col min="11294" max="11295" width="0" style="109" hidden="1" customWidth="1"/>
    <col min="11296" max="11520" width="8.88671875" style="109"/>
    <col min="11521" max="11521" width="4.77734375" style="109" customWidth="1"/>
    <col min="11522" max="11522" width="34.88671875" style="109" customWidth="1"/>
    <col min="11523" max="11524" width="3.6640625" style="109" customWidth="1"/>
    <col min="11525" max="11528" width="7.77734375" style="109" customWidth="1"/>
    <col min="11529" max="11549" width="8.88671875" style="109"/>
    <col min="11550" max="11551" width="0" style="109" hidden="1" customWidth="1"/>
    <col min="11552" max="11776" width="8.88671875" style="109"/>
    <col min="11777" max="11777" width="4.77734375" style="109" customWidth="1"/>
    <col min="11778" max="11778" width="34.88671875" style="109" customWidth="1"/>
    <col min="11779" max="11780" width="3.6640625" style="109" customWidth="1"/>
    <col min="11781" max="11784" width="7.77734375" style="109" customWidth="1"/>
    <col min="11785" max="11805" width="8.88671875" style="109"/>
    <col min="11806" max="11807" width="0" style="109" hidden="1" customWidth="1"/>
    <col min="11808" max="12032" width="8.88671875" style="109"/>
    <col min="12033" max="12033" width="4.77734375" style="109" customWidth="1"/>
    <col min="12034" max="12034" width="34.88671875" style="109" customWidth="1"/>
    <col min="12035" max="12036" width="3.6640625" style="109" customWidth="1"/>
    <col min="12037" max="12040" width="7.77734375" style="109" customWidth="1"/>
    <col min="12041" max="12061" width="8.88671875" style="109"/>
    <col min="12062" max="12063" width="0" style="109" hidden="1" customWidth="1"/>
    <col min="12064" max="12288" width="8.88671875" style="109"/>
    <col min="12289" max="12289" width="4.77734375" style="109" customWidth="1"/>
    <col min="12290" max="12290" width="34.88671875" style="109" customWidth="1"/>
    <col min="12291" max="12292" width="3.6640625" style="109" customWidth="1"/>
    <col min="12293" max="12296" width="7.77734375" style="109" customWidth="1"/>
    <col min="12297" max="12317" width="8.88671875" style="109"/>
    <col min="12318" max="12319" width="0" style="109" hidden="1" customWidth="1"/>
    <col min="12320" max="12544" width="8.88671875" style="109"/>
    <col min="12545" max="12545" width="4.77734375" style="109" customWidth="1"/>
    <col min="12546" max="12546" width="34.88671875" style="109" customWidth="1"/>
    <col min="12547" max="12548" width="3.6640625" style="109" customWidth="1"/>
    <col min="12549" max="12552" width="7.77734375" style="109" customWidth="1"/>
    <col min="12553" max="12573" width="8.88671875" style="109"/>
    <col min="12574" max="12575" width="0" style="109" hidden="1" customWidth="1"/>
    <col min="12576" max="12800" width="8.88671875" style="109"/>
    <col min="12801" max="12801" width="4.77734375" style="109" customWidth="1"/>
    <col min="12802" max="12802" width="34.88671875" style="109" customWidth="1"/>
    <col min="12803" max="12804" width="3.6640625" style="109" customWidth="1"/>
    <col min="12805" max="12808" width="7.77734375" style="109" customWidth="1"/>
    <col min="12809" max="12829" width="8.88671875" style="109"/>
    <col min="12830" max="12831" width="0" style="109" hidden="1" customWidth="1"/>
    <col min="12832" max="13056" width="8.88671875" style="109"/>
    <col min="13057" max="13057" width="4.77734375" style="109" customWidth="1"/>
    <col min="13058" max="13058" width="34.88671875" style="109" customWidth="1"/>
    <col min="13059" max="13060" width="3.6640625" style="109" customWidth="1"/>
    <col min="13061" max="13064" width="7.77734375" style="109" customWidth="1"/>
    <col min="13065" max="13085" width="8.88671875" style="109"/>
    <col min="13086" max="13087" width="0" style="109" hidden="1" customWidth="1"/>
    <col min="13088" max="13312" width="8.88671875" style="109"/>
    <col min="13313" max="13313" width="4.77734375" style="109" customWidth="1"/>
    <col min="13314" max="13314" width="34.88671875" style="109" customWidth="1"/>
    <col min="13315" max="13316" width="3.6640625" style="109" customWidth="1"/>
    <col min="13317" max="13320" width="7.77734375" style="109" customWidth="1"/>
    <col min="13321" max="13341" width="8.88671875" style="109"/>
    <col min="13342" max="13343" width="0" style="109" hidden="1" customWidth="1"/>
    <col min="13344" max="13568" width="8.88671875" style="109"/>
    <col min="13569" max="13569" width="4.77734375" style="109" customWidth="1"/>
    <col min="13570" max="13570" width="34.88671875" style="109" customWidth="1"/>
    <col min="13571" max="13572" width="3.6640625" style="109" customWidth="1"/>
    <col min="13573" max="13576" width="7.77734375" style="109" customWidth="1"/>
    <col min="13577" max="13597" width="8.88671875" style="109"/>
    <col min="13598" max="13599" width="0" style="109" hidden="1" customWidth="1"/>
    <col min="13600" max="13824" width="8.88671875" style="109"/>
    <col min="13825" max="13825" width="4.77734375" style="109" customWidth="1"/>
    <col min="13826" max="13826" width="34.88671875" style="109" customWidth="1"/>
    <col min="13827" max="13828" width="3.6640625" style="109" customWidth="1"/>
    <col min="13829" max="13832" width="7.77734375" style="109" customWidth="1"/>
    <col min="13833" max="13853" width="8.88671875" style="109"/>
    <col min="13854" max="13855" width="0" style="109" hidden="1" customWidth="1"/>
    <col min="13856" max="14080" width="8.88671875" style="109"/>
    <col min="14081" max="14081" width="4.77734375" style="109" customWidth="1"/>
    <col min="14082" max="14082" width="34.88671875" style="109" customWidth="1"/>
    <col min="14083" max="14084" width="3.6640625" style="109" customWidth="1"/>
    <col min="14085" max="14088" width="7.77734375" style="109" customWidth="1"/>
    <col min="14089" max="14109" width="8.88671875" style="109"/>
    <col min="14110" max="14111" width="0" style="109" hidden="1" customWidth="1"/>
    <col min="14112" max="14336" width="8.88671875" style="109"/>
    <col min="14337" max="14337" width="4.77734375" style="109" customWidth="1"/>
    <col min="14338" max="14338" width="34.88671875" style="109" customWidth="1"/>
    <col min="14339" max="14340" width="3.6640625" style="109" customWidth="1"/>
    <col min="14341" max="14344" width="7.77734375" style="109" customWidth="1"/>
    <col min="14345" max="14365" width="8.88671875" style="109"/>
    <col min="14366" max="14367" width="0" style="109" hidden="1" customWidth="1"/>
    <col min="14368" max="14592" width="8.88671875" style="109"/>
    <col min="14593" max="14593" width="4.77734375" style="109" customWidth="1"/>
    <col min="14594" max="14594" width="34.88671875" style="109" customWidth="1"/>
    <col min="14595" max="14596" width="3.6640625" style="109" customWidth="1"/>
    <col min="14597" max="14600" width="7.77734375" style="109" customWidth="1"/>
    <col min="14601" max="14621" width="8.88671875" style="109"/>
    <col min="14622" max="14623" width="0" style="109" hidden="1" customWidth="1"/>
    <col min="14624" max="14848" width="8.88671875" style="109"/>
    <col min="14849" max="14849" width="4.77734375" style="109" customWidth="1"/>
    <col min="14850" max="14850" width="34.88671875" style="109" customWidth="1"/>
    <col min="14851" max="14852" width="3.6640625" style="109" customWidth="1"/>
    <col min="14853" max="14856" width="7.77734375" style="109" customWidth="1"/>
    <col min="14857" max="14877" width="8.88671875" style="109"/>
    <col min="14878" max="14879" width="0" style="109" hidden="1" customWidth="1"/>
    <col min="14880" max="15104" width="8.88671875" style="109"/>
    <col min="15105" max="15105" width="4.77734375" style="109" customWidth="1"/>
    <col min="15106" max="15106" width="34.88671875" style="109" customWidth="1"/>
    <col min="15107" max="15108" width="3.6640625" style="109" customWidth="1"/>
    <col min="15109" max="15112" width="7.77734375" style="109" customWidth="1"/>
    <col min="15113" max="15133" width="8.88671875" style="109"/>
    <col min="15134" max="15135" width="0" style="109" hidden="1" customWidth="1"/>
    <col min="15136" max="15360" width="8.88671875" style="109"/>
    <col min="15361" max="15361" width="4.77734375" style="109" customWidth="1"/>
    <col min="15362" max="15362" width="34.88671875" style="109" customWidth="1"/>
    <col min="15363" max="15364" width="3.6640625" style="109" customWidth="1"/>
    <col min="15365" max="15368" width="7.77734375" style="109" customWidth="1"/>
    <col min="15369" max="15389" width="8.88671875" style="109"/>
    <col min="15390" max="15391" width="0" style="109" hidden="1" customWidth="1"/>
    <col min="15392" max="15616" width="8.88671875" style="109"/>
    <col min="15617" max="15617" width="4.77734375" style="109" customWidth="1"/>
    <col min="15618" max="15618" width="34.88671875" style="109" customWidth="1"/>
    <col min="15619" max="15620" width="3.6640625" style="109" customWidth="1"/>
    <col min="15621" max="15624" width="7.77734375" style="109" customWidth="1"/>
    <col min="15625" max="15645" width="8.88671875" style="109"/>
    <col min="15646" max="15647" width="0" style="109" hidden="1" customWidth="1"/>
    <col min="15648" max="15872" width="8.88671875" style="109"/>
    <col min="15873" max="15873" width="4.77734375" style="109" customWidth="1"/>
    <col min="15874" max="15874" width="34.88671875" style="109" customWidth="1"/>
    <col min="15875" max="15876" width="3.6640625" style="109" customWidth="1"/>
    <col min="15877" max="15880" width="7.77734375" style="109" customWidth="1"/>
    <col min="15881" max="15901" width="8.88671875" style="109"/>
    <col min="15902" max="15903" width="0" style="109" hidden="1" customWidth="1"/>
    <col min="15904" max="16128" width="8.88671875" style="109"/>
    <col min="16129" max="16129" width="4.77734375" style="109" customWidth="1"/>
    <col min="16130" max="16130" width="34.88671875" style="109" customWidth="1"/>
    <col min="16131" max="16132" width="3.6640625" style="109" customWidth="1"/>
    <col min="16133" max="16136" width="7.77734375" style="109" customWidth="1"/>
    <col min="16137" max="16157" width="8.88671875" style="109"/>
    <col min="16158" max="16159" width="0" style="109" hidden="1" customWidth="1"/>
    <col min="16160" max="16384" width="8.88671875" style="109"/>
  </cols>
  <sheetData>
    <row r="1" spans="1:12">
      <c r="A1" s="1185" t="s">
        <v>2403</v>
      </c>
      <c r="B1" s="1185"/>
      <c r="C1" s="1185"/>
      <c r="D1" s="1185"/>
      <c r="E1" s="1185"/>
      <c r="F1" s="1185"/>
      <c r="G1" s="1185"/>
      <c r="H1" s="1185"/>
    </row>
    <row r="2" spans="1:12">
      <c r="A2" s="1185" t="s">
        <v>4214</v>
      </c>
      <c r="B2" s="1185"/>
      <c r="C2" s="1185"/>
      <c r="D2" s="1185"/>
      <c r="E2" s="1185"/>
      <c r="F2" s="1185"/>
      <c r="G2" s="1185"/>
      <c r="H2" s="1185"/>
    </row>
    <row r="3" spans="1:12" ht="54" customHeight="1">
      <c r="A3" s="1186" t="s">
        <v>4544</v>
      </c>
      <c r="B3" s="1186"/>
      <c r="C3" s="1186"/>
      <c r="D3" s="1186"/>
      <c r="E3" s="1186"/>
      <c r="F3" s="1186"/>
      <c r="G3" s="1186"/>
      <c r="H3" s="1186"/>
    </row>
    <row r="4" spans="1:12" ht="16.5" thickBot="1">
      <c r="A4" s="1187" t="s">
        <v>4402</v>
      </c>
      <c r="B4" s="1187"/>
      <c r="C4" s="1187"/>
      <c r="D4" s="1187"/>
      <c r="E4" s="1187"/>
      <c r="F4" s="1187"/>
      <c r="G4" s="1187"/>
      <c r="H4" s="1187"/>
    </row>
    <row r="5" spans="1:12" ht="16.5" thickTop="1">
      <c r="A5" s="1188" t="s">
        <v>4403</v>
      </c>
      <c r="B5" s="1190" t="s">
        <v>4404</v>
      </c>
      <c r="C5" s="1192" t="s">
        <v>1166</v>
      </c>
      <c r="D5" s="1193"/>
      <c r="E5" s="1196" t="s">
        <v>4386</v>
      </c>
      <c r="F5" s="1196"/>
      <c r="G5" s="1196"/>
      <c r="H5" s="1197" t="s">
        <v>844</v>
      </c>
    </row>
    <row r="6" spans="1:12">
      <c r="A6" s="1189"/>
      <c r="B6" s="1191"/>
      <c r="C6" s="1194"/>
      <c r="D6" s="1195"/>
      <c r="E6" s="574" t="s">
        <v>4387</v>
      </c>
      <c r="F6" s="574" t="s">
        <v>4218</v>
      </c>
      <c r="G6" s="574" t="s">
        <v>3294</v>
      </c>
      <c r="H6" s="1198"/>
    </row>
    <row r="7" spans="1:12" s="577" customFormat="1" ht="95.25" customHeight="1">
      <c r="A7" s="575">
        <v>1</v>
      </c>
      <c r="B7" s="1179" t="s">
        <v>4405</v>
      </c>
      <c r="C7" s="1179"/>
      <c r="D7" s="1179"/>
      <c r="E7" s="1179"/>
      <c r="F7" s="1179"/>
      <c r="G7" s="1179"/>
      <c r="H7" s="576"/>
    </row>
    <row r="8" spans="1:12" s="577" customFormat="1">
      <c r="A8" s="578"/>
      <c r="B8" s="579" t="s">
        <v>4406</v>
      </c>
      <c r="C8" s="580"/>
      <c r="D8" s="580"/>
      <c r="E8" s="581"/>
      <c r="F8" s="581"/>
      <c r="G8" s="581"/>
      <c r="H8" s="576"/>
    </row>
    <row r="9" spans="1:12" s="577" customFormat="1">
      <c r="A9" s="578"/>
      <c r="B9" s="579" t="s">
        <v>4774</v>
      </c>
      <c r="C9" s="580"/>
      <c r="D9" s="580"/>
      <c r="E9" s="581"/>
      <c r="F9" s="581"/>
      <c r="G9" s="581"/>
      <c r="H9" s="576"/>
      <c r="L9" s="582"/>
    </row>
    <row r="10" spans="1:12" s="577" customFormat="1">
      <c r="A10" s="578"/>
      <c r="B10" s="583" t="s">
        <v>4408</v>
      </c>
      <c r="C10" s="580">
        <v>1</v>
      </c>
      <c r="D10" s="580">
        <v>1</v>
      </c>
      <c r="E10" s="581">
        <v>76</v>
      </c>
      <c r="F10" s="581"/>
      <c r="G10" s="581"/>
      <c r="H10" s="576">
        <f>PRODUCT(C10:G10)</f>
        <v>76</v>
      </c>
      <c r="L10" s="582"/>
    </row>
    <row r="11" spans="1:12" s="577" customFormat="1">
      <c r="A11" s="578"/>
      <c r="B11" s="583"/>
      <c r="C11" s="580"/>
      <c r="D11" s="580"/>
      <c r="E11" s="584"/>
      <c r="F11" s="584" t="s">
        <v>2560</v>
      </c>
      <c r="G11" s="584">
        <f>+H10</f>
        <v>76</v>
      </c>
      <c r="H11" s="585" t="s">
        <v>669</v>
      </c>
    </row>
    <row r="12" spans="1:12" s="577" customFormat="1" ht="31.5">
      <c r="A12" s="578"/>
      <c r="B12" s="579" t="s">
        <v>4775</v>
      </c>
      <c r="C12" s="580"/>
      <c r="D12" s="580"/>
      <c r="E12" s="581"/>
      <c r="F12" s="581"/>
      <c r="G12" s="581"/>
      <c r="H12" s="576"/>
    </row>
    <row r="13" spans="1:12" s="577" customFormat="1">
      <c r="A13" s="578"/>
      <c r="B13" s="583" t="str">
        <f>+B10</f>
        <v>For Bore well</v>
      </c>
      <c r="C13" s="580">
        <f>+C10</f>
        <v>1</v>
      </c>
      <c r="D13" s="580">
        <v>1</v>
      </c>
      <c r="E13" s="581">
        <f>90-E10</f>
        <v>14</v>
      </c>
      <c r="F13" s="581"/>
      <c r="G13" s="581"/>
      <c r="H13" s="576">
        <f>PRODUCT(C13:G13)</f>
        <v>14</v>
      </c>
    </row>
    <row r="14" spans="1:12" s="577" customFormat="1">
      <c r="A14" s="578"/>
      <c r="B14" s="583"/>
      <c r="C14" s="580"/>
      <c r="D14" s="580"/>
      <c r="E14" s="584"/>
      <c r="F14" s="584" t="s">
        <v>2560</v>
      </c>
      <c r="G14" s="584">
        <f>+H13</f>
        <v>14</v>
      </c>
      <c r="H14" s="585" t="s">
        <v>669</v>
      </c>
    </row>
    <row r="15" spans="1:12" s="577" customFormat="1" ht="31.5">
      <c r="A15" s="578"/>
      <c r="B15" s="579" t="s">
        <v>4410</v>
      </c>
      <c r="C15" s="580"/>
      <c r="D15" s="580"/>
      <c r="E15" s="581"/>
      <c r="F15" s="581"/>
      <c r="G15" s="581"/>
      <c r="H15" s="576"/>
    </row>
    <row r="16" spans="1:12" s="577" customFormat="1">
      <c r="A16" s="578"/>
      <c r="B16" s="583" t="str">
        <f>+B13</f>
        <v>For Bore well</v>
      </c>
      <c r="C16" s="580">
        <f>+C13</f>
        <v>1</v>
      </c>
      <c r="D16" s="580">
        <v>1</v>
      </c>
      <c r="E16" s="581">
        <f>120-(E13+E10)</f>
        <v>30</v>
      </c>
      <c r="F16" s="581"/>
      <c r="G16" s="581"/>
      <c r="H16" s="586"/>
    </row>
    <row r="17" spans="1:10" s="577" customFormat="1">
      <c r="A17" s="578"/>
      <c r="B17" s="583"/>
      <c r="C17" s="580"/>
      <c r="D17" s="580"/>
      <c r="E17" s="584"/>
      <c r="F17" s="584" t="s">
        <v>2560</v>
      </c>
      <c r="G17" s="584">
        <f>+H16</f>
        <v>0</v>
      </c>
      <c r="H17" s="585" t="s">
        <v>669</v>
      </c>
    </row>
    <row r="18" spans="1:10" s="577" customFormat="1" ht="31.5">
      <c r="A18" s="578"/>
      <c r="B18" s="579" t="s">
        <v>4411</v>
      </c>
      <c r="C18" s="580"/>
      <c r="D18" s="580"/>
      <c r="E18" s="581"/>
      <c r="F18" s="581"/>
      <c r="G18" s="581"/>
      <c r="H18" s="576"/>
    </row>
    <row r="19" spans="1:10" s="577" customFormat="1">
      <c r="A19" s="578"/>
      <c r="B19" s="583" t="str">
        <f>+B16</f>
        <v>For Bore well</v>
      </c>
      <c r="C19" s="580">
        <f>+C16</f>
        <v>1</v>
      </c>
      <c r="D19" s="580">
        <v>1</v>
      </c>
      <c r="E19" s="581">
        <v>17</v>
      </c>
      <c r="F19" s="581"/>
      <c r="G19" s="581"/>
      <c r="H19" s="586"/>
      <c r="I19" s="582"/>
    </row>
    <row r="20" spans="1:10" s="577" customFormat="1">
      <c r="A20" s="578"/>
      <c r="B20" s="583"/>
      <c r="C20" s="580"/>
      <c r="D20" s="580"/>
      <c r="E20" s="584"/>
      <c r="F20" s="584" t="s">
        <v>2560</v>
      </c>
      <c r="G20" s="584">
        <f>+H19</f>
        <v>0</v>
      </c>
      <c r="H20" s="585" t="s">
        <v>669</v>
      </c>
    </row>
    <row r="21" spans="1:10" s="577" customFormat="1" ht="31.5">
      <c r="A21" s="578"/>
      <c r="B21" s="579" t="s">
        <v>4412</v>
      </c>
      <c r="C21" s="580"/>
      <c r="D21" s="580"/>
      <c r="E21" s="581"/>
      <c r="F21" s="581"/>
      <c r="G21" s="581"/>
      <c r="H21" s="576"/>
    </row>
    <row r="22" spans="1:10" s="577" customFormat="1">
      <c r="A22" s="578"/>
      <c r="B22" s="583" t="str">
        <f>+B19</f>
        <v>For Bore well</v>
      </c>
      <c r="C22" s="580">
        <f>+C19</f>
        <v>1</v>
      </c>
      <c r="D22" s="580">
        <v>1</v>
      </c>
      <c r="E22" s="581">
        <v>30</v>
      </c>
      <c r="F22" s="581"/>
      <c r="G22" s="581"/>
      <c r="H22" s="586"/>
      <c r="I22" s="582"/>
    </row>
    <row r="23" spans="1:10" s="577" customFormat="1">
      <c r="A23" s="578"/>
      <c r="B23" s="583"/>
      <c r="C23" s="580"/>
      <c r="D23" s="580"/>
      <c r="E23" s="584"/>
      <c r="F23" s="584" t="s">
        <v>2560</v>
      </c>
      <c r="G23" s="584">
        <f>+H22</f>
        <v>0</v>
      </c>
      <c r="H23" s="585" t="s">
        <v>669</v>
      </c>
      <c r="J23" s="582">
        <f>E22+E19+E16+E13+E10</f>
        <v>167</v>
      </c>
    </row>
    <row r="24" spans="1:10" s="577" customFormat="1" ht="31.5">
      <c r="A24" s="578"/>
      <c r="B24" s="579" t="s">
        <v>4413</v>
      </c>
      <c r="C24" s="580"/>
      <c r="D24" s="580"/>
      <c r="E24" s="581"/>
      <c r="F24" s="581"/>
      <c r="G24" s="581"/>
      <c r="H24" s="576"/>
    </row>
    <row r="25" spans="1:10" s="577" customFormat="1">
      <c r="A25" s="578"/>
      <c r="B25" s="583" t="str">
        <f>+B22</f>
        <v>For Bore well</v>
      </c>
      <c r="C25" s="580">
        <f>+C22</f>
        <v>1</v>
      </c>
      <c r="D25" s="580">
        <v>1</v>
      </c>
      <c r="E25" s="581">
        <v>30</v>
      </c>
      <c r="F25" s="581"/>
      <c r="G25" s="581"/>
      <c r="H25" s="586"/>
      <c r="I25" s="582"/>
    </row>
    <row r="26" spans="1:10" s="577" customFormat="1">
      <c r="A26" s="578"/>
      <c r="B26" s="583"/>
      <c r="C26" s="580"/>
      <c r="D26" s="580"/>
      <c r="E26" s="584"/>
      <c r="F26" s="584" t="s">
        <v>2560</v>
      </c>
      <c r="G26" s="584">
        <f>+H25</f>
        <v>0</v>
      </c>
      <c r="H26" s="585" t="s">
        <v>669</v>
      </c>
      <c r="J26" s="582">
        <f>E25+E22+E19+E16+E13</f>
        <v>121</v>
      </c>
    </row>
    <row r="27" spans="1:10" s="577" customFormat="1" ht="41.25" customHeight="1">
      <c r="A27" s="578">
        <f>+A7+1</f>
        <v>2</v>
      </c>
      <c r="B27" s="1199" t="s">
        <v>4414</v>
      </c>
      <c r="C27" s="1199"/>
      <c r="D27" s="1199"/>
      <c r="E27" s="1199"/>
      <c r="F27" s="1199"/>
      <c r="G27" s="1199"/>
      <c r="H27" s="1200"/>
      <c r="J27" s="582"/>
    </row>
    <row r="28" spans="1:10" s="577" customFormat="1">
      <c r="A28" s="578"/>
      <c r="B28" s="579" t="s">
        <v>4407</v>
      </c>
      <c r="C28" s="580"/>
      <c r="D28" s="580"/>
      <c r="E28" s="581"/>
      <c r="F28" s="581"/>
      <c r="G28" s="581"/>
      <c r="H28" s="576"/>
      <c r="J28" s="582"/>
    </row>
    <row r="29" spans="1:10" s="577" customFormat="1">
      <c r="A29" s="578"/>
      <c r="B29" s="583" t="str">
        <f>+B13</f>
        <v>For Bore well</v>
      </c>
      <c r="C29" s="580">
        <f>+C13</f>
        <v>1</v>
      </c>
      <c r="D29" s="580">
        <v>1</v>
      </c>
      <c r="E29" s="581">
        <v>60</v>
      </c>
      <c r="F29" s="581"/>
      <c r="G29" s="581"/>
      <c r="H29" s="576">
        <f>PRODUCT(C29:G29)</f>
        <v>60</v>
      </c>
    </row>
    <row r="30" spans="1:10" s="577" customFormat="1">
      <c r="A30" s="578"/>
      <c r="B30" s="583"/>
      <c r="C30" s="580"/>
      <c r="D30" s="580"/>
      <c r="E30" s="584"/>
      <c r="F30" s="584" t="s">
        <v>2560</v>
      </c>
      <c r="G30" s="584">
        <f>+H29</f>
        <v>60</v>
      </c>
      <c r="H30" s="585" t="s">
        <v>669</v>
      </c>
    </row>
    <row r="31" spans="1:10" s="577" customFormat="1" ht="31.5">
      <c r="A31" s="578"/>
      <c r="B31" s="579" t="s">
        <v>4409</v>
      </c>
      <c r="C31" s="580"/>
      <c r="D31" s="580"/>
      <c r="E31" s="581"/>
      <c r="F31" s="581"/>
      <c r="G31" s="581"/>
      <c r="H31" s="576"/>
      <c r="J31" s="582"/>
    </row>
    <row r="32" spans="1:10" s="577" customFormat="1">
      <c r="A32" s="578"/>
      <c r="B32" s="583" t="str">
        <f>+B29</f>
        <v>For Bore well</v>
      </c>
      <c r="C32" s="580">
        <f>+C29</f>
        <v>1</v>
      </c>
      <c r="D32" s="580">
        <v>1</v>
      </c>
      <c r="E32" s="581">
        <v>30</v>
      </c>
      <c r="F32" s="581"/>
      <c r="G32" s="581"/>
      <c r="H32" s="576">
        <f>PRODUCT(C32:G32)</f>
        <v>30</v>
      </c>
    </row>
    <row r="33" spans="1:10" s="577" customFormat="1">
      <c r="A33" s="578"/>
      <c r="B33" s="583"/>
      <c r="C33" s="580"/>
      <c r="D33" s="580"/>
      <c r="E33" s="584"/>
      <c r="F33" s="584" t="s">
        <v>2560</v>
      </c>
      <c r="G33" s="584">
        <f>+H32</f>
        <v>30</v>
      </c>
      <c r="H33" s="585" t="s">
        <v>669</v>
      </c>
    </row>
    <row r="34" spans="1:10" s="577" customFormat="1" ht="31.5">
      <c r="A34" s="578"/>
      <c r="B34" s="579" t="s">
        <v>4415</v>
      </c>
      <c r="C34" s="580"/>
      <c r="D34" s="580"/>
      <c r="E34" s="581"/>
      <c r="F34" s="581"/>
      <c r="G34" s="581"/>
      <c r="H34" s="576"/>
      <c r="J34" s="582"/>
    </row>
    <row r="35" spans="1:10" s="577" customFormat="1">
      <c r="A35" s="578"/>
      <c r="B35" s="583" t="str">
        <f>+B32</f>
        <v>For Bore well</v>
      </c>
      <c r="C35" s="580">
        <f>+C32</f>
        <v>1</v>
      </c>
      <c r="D35" s="580">
        <v>1</v>
      </c>
      <c r="E35" s="581">
        <f>+E16</f>
        <v>30</v>
      </c>
      <c r="F35" s="581"/>
      <c r="G35" s="581"/>
      <c r="H35" s="586"/>
    </row>
    <row r="36" spans="1:10" s="577" customFormat="1">
      <c r="A36" s="578"/>
      <c r="B36" s="583"/>
      <c r="C36" s="580"/>
      <c r="D36" s="580"/>
      <c r="E36" s="584"/>
      <c r="F36" s="584" t="s">
        <v>2560</v>
      </c>
      <c r="G36" s="584">
        <f>+H35</f>
        <v>0</v>
      </c>
      <c r="H36" s="585" t="s">
        <v>669</v>
      </c>
    </row>
    <row r="37" spans="1:10" s="577" customFormat="1" ht="31.5">
      <c r="A37" s="578"/>
      <c r="B37" s="579" t="s">
        <v>4416</v>
      </c>
      <c r="C37" s="580"/>
      <c r="D37" s="580"/>
      <c r="E37" s="581"/>
      <c r="F37" s="581"/>
      <c r="G37" s="581"/>
      <c r="H37" s="576"/>
      <c r="J37" s="582"/>
    </row>
    <row r="38" spans="1:10" s="577" customFormat="1">
      <c r="A38" s="578"/>
      <c r="B38" s="583" t="str">
        <f>+B35</f>
        <v>For Bore well</v>
      </c>
      <c r="C38" s="580">
        <f>+C35</f>
        <v>1</v>
      </c>
      <c r="D38" s="580">
        <v>1</v>
      </c>
      <c r="E38" s="581">
        <f>+E19</f>
        <v>17</v>
      </c>
      <c r="F38" s="581"/>
      <c r="G38" s="581"/>
      <c r="H38" s="586"/>
    </row>
    <row r="39" spans="1:10" s="577" customFormat="1">
      <c r="A39" s="578"/>
      <c r="B39" s="583"/>
      <c r="C39" s="580"/>
      <c r="D39" s="580"/>
      <c r="E39" s="584"/>
      <c r="F39" s="584" t="s">
        <v>2560</v>
      </c>
      <c r="G39" s="584">
        <f>+H38</f>
        <v>0</v>
      </c>
      <c r="H39" s="585" t="s">
        <v>669</v>
      </c>
    </row>
    <row r="40" spans="1:10" s="577" customFormat="1" ht="31.5">
      <c r="A40" s="578"/>
      <c r="B40" s="579" t="s">
        <v>4412</v>
      </c>
      <c r="C40" s="580"/>
      <c r="D40" s="580"/>
      <c r="E40" s="581"/>
      <c r="F40" s="581"/>
      <c r="G40" s="581"/>
      <c r="H40" s="576"/>
    </row>
    <row r="41" spans="1:10" s="577" customFormat="1">
      <c r="A41" s="578"/>
      <c r="B41" s="583" t="str">
        <f>+B38</f>
        <v>For Bore well</v>
      </c>
      <c r="C41" s="580">
        <f>+C38</f>
        <v>1</v>
      </c>
      <c r="D41" s="580">
        <v>1</v>
      </c>
      <c r="E41" s="581">
        <v>30</v>
      </c>
      <c r="F41" s="581"/>
      <c r="G41" s="581"/>
      <c r="H41" s="586"/>
      <c r="I41" s="582"/>
    </row>
    <row r="42" spans="1:10" s="577" customFormat="1">
      <c r="A42" s="578"/>
      <c r="B42" s="583"/>
      <c r="C42" s="580"/>
      <c r="D42" s="580"/>
      <c r="E42" s="584"/>
      <c r="F42" s="584" t="s">
        <v>2560</v>
      </c>
      <c r="G42" s="584">
        <f>+H41</f>
        <v>0</v>
      </c>
      <c r="H42" s="585" t="s">
        <v>669</v>
      </c>
      <c r="J42" s="582">
        <f>E41+E38+E35+E32+E29</f>
        <v>167</v>
      </c>
    </row>
    <row r="43" spans="1:10" s="577" customFormat="1" ht="31.5">
      <c r="A43" s="578"/>
      <c r="B43" s="579" t="s">
        <v>4413</v>
      </c>
      <c r="C43" s="580"/>
      <c r="D43" s="580"/>
      <c r="E43" s="581"/>
      <c r="F43" s="581"/>
      <c r="G43" s="581"/>
      <c r="H43" s="576"/>
    </row>
    <row r="44" spans="1:10" s="577" customFormat="1">
      <c r="A44" s="578"/>
      <c r="B44" s="583" t="str">
        <f>+B41</f>
        <v>For Bore well</v>
      </c>
      <c r="C44" s="580">
        <f>+C41</f>
        <v>1</v>
      </c>
      <c r="D44" s="580">
        <v>1</v>
      </c>
      <c r="E44" s="581">
        <v>30</v>
      </c>
      <c r="F44" s="581"/>
      <c r="G44" s="581"/>
      <c r="H44" s="586"/>
      <c r="I44" s="582"/>
    </row>
    <row r="45" spans="1:10" s="577" customFormat="1">
      <c r="A45" s="578"/>
      <c r="B45" s="583"/>
      <c r="C45" s="580"/>
      <c r="D45" s="580"/>
      <c r="E45" s="584"/>
      <c r="F45" s="584" t="s">
        <v>2560</v>
      </c>
      <c r="G45" s="584">
        <f>+H44</f>
        <v>0</v>
      </c>
      <c r="H45" s="585" t="s">
        <v>669</v>
      </c>
      <c r="J45" s="582">
        <f>E44+E41+E38+E35+E32</f>
        <v>137</v>
      </c>
    </row>
    <row r="46" spans="1:10" s="577" customFormat="1" ht="41.25" customHeight="1">
      <c r="A46" s="578">
        <f>+A27+1</f>
        <v>3</v>
      </c>
      <c r="B46" s="1201" t="s">
        <v>4417</v>
      </c>
      <c r="C46" s="1201"/>
      <c r="D46" s="1201"/>
      <c r="E46" s="1201"/>
      <c r="F46" s="1201"/>
      <c r="G46" s="1201"/>
      <c r="H46" s="1202"/>
      <c r="J46" s="582"/>
    </row>
    <row r="47" spans="1:10" s="577" customFormat="1">
      <c r="A47" s="578"/>
      <c r="B47" s="579" t="s">
        <v>4418</v>
      </c>
      <c r="C47" s="580"/>
      <c r="D47" s="580"/>
      <c r="E47" s="581"/>
      <c r="F47" s="581"/>
      <c r="G47" s="581"/>
      <c r="H47" s="585"/>
    </row>
    <row r="48" spans="1:10" s="577" customFormat="1">
      <c r="A48" s="578"/>
      <c r="B48" s="583" t="str">
        <f>+B32</f>
        <v>For Bore well</v>
      </c>
      <c r="C48" s="580">
        <f>+C32</f>
        <v>1</v>
      </c>
      <c r="D48" s="580">
        <v>1</v>
      </c>
      <c r="E48" s="581">
        <v>54</v>
      </c>
      <c r="F48" s="581"/>
      <c r="G48" s="581"/>
      <c r="H48" s="576">
        <f>PRODUCT(C48:G48)</f>
        <v>54</v>
      </c>
    </row>
    <row r="49" spans="1:10" s="577" customFormat="1">
      <c r="A49" s="578"/>
      <c r="B49" s="583"/>
      <c r="C49" s="580"/>
      <c r="D49" s="580"/>
      <c r="E49" s="584"/>
      <c r="F49" s="584" t="s">
        <v>2560</v>
      </c>
      <c r="G49" s="584">
        <f>+H48</f>
        <v>54</v>
      </c>
      <c r="H49" s="585" t="s">
        <v>669</v>
      </c>
    </row>
    <row r="50" spans="1:10" s="577" customFormat="1">
      <c r="A50" s="578"/>
      <c r="B50" s="579" t="s">
        <v>4419</v>
      </c>
      <c r="C50" s="580"/>
      <c r="D50" s="580"/>
      <c r="E50" s="581"/>
      <c r="F50" s="581"/>
      <c r="G50" s="581"/>
      <c r="H50" s="585"/>
    </row>
    <row r="51" spans="1:10" s="577" customFormat="1">
      <c r="A51" s="578"/>
      <c r="B51" s="583" t="str">
        <f>+B35</f>
        <v>For Bore well</v>
      </c>
      <c r="C51" s="580">
        <f>+C35</f>
        <v>1</v>
      </c>
      <c r="D51" s="580">
        <v>1</v>
      </c>
      <c r="E51" s="581">
        <v>36</v>
      </c>
      <c r="F51" s="581"/>
      <c r="G51" s="581"/>
      <c r="H51" s="576">
        <f>PRODUCT(C51:G51)</f>
        <v>36</v>
      </c>
    </row>
    <row r="52" spans="1:10" s="577" customFormat="1">
      <c r="A52" s="578"/>
      <c r="B52" s="583"/>
      <c r="C52" s="580"/>
      <c r="D52" s="580"/>
      <c r="E52" s="584"/>
      <c r="F52" s="584" t="s">
        <v>2560</v>
      </c>
      <c r="G52" s="584">
        <f>+H51</f>
        <v>36</v>
      </c>
      <c r="H52" s="585" t="s">
        <v>669</v>
      </c>
    </row>
    <row r="53" spans="1:10" s="577" customFormat="1" ht="58.5" customHeight="1">
      <c r="A53" s="578">
        <f>+A46+1</f>
        <v>4</v>
      </c>
      <c r="B53" s="1199" t="s">
        <v>4420</v>
      </c>
      <c r="C53" s="1199"/>
      <c r="D53" s="1199"/>
      <c r="E53" s="1199"/>
      <c r="F53" s="1199"/>
      <c r="G53" s="1199"/>
      <c r="H53" s="1200"/>
      <c r="J53" s="582"/>
    </row>
    <row r="54" spans="1:10" s="577" customFormat="1">
      <c r="A54" s="578"/>
      <c r="B54" s="579" t="s">
        <v>4421</v>
      </c>
      <c r="C54" s="580"/>
      <c r="D54" s="580"/>
      <c r="E54" s="581"/>
      <c r="F54" s="581"/>
      <c r="G54" s="581"/>
      <c r="H54" s="585"/>
    </row>
    <row r="55" spans="1:10" s="577" customFormat="1">
      <c r="A55" s="578"/>
      <c r="B55" s="583" t="s">
        <v>4422</v>
      </c>
      <c r="C55" s="580"/>
      <c r="D55" s="580"/>
      <c r="E55" s="581"/>
      <c r="F55" s="581"/>
      <c r="G55" s="581"/>
      <c r="H55" s="576"/>
    </row>
    <row r="56" spans="1:10" s="577" customFormat="1">
      <c r="A56" s="578"/>
      <c r="B56" s="583" t="str">
        <f>+B48</f>
        <v>For Bore well</v>
      </c>
      <c r="C56" s="580">
        <v>1</v>
      </c>
      <c r="D56" s="580">
        <v>1</v>
      </c>
      <c r="E56" s="581">
        <f>+E48+E51</f>
        <v>90</v>
      </c>
      <c r="F56" s="581"/>
      <c r="G56" s="581"/>
      <c r="H56" s="576">
        <f>PRODUCT(C56:G56)</f>
        <v>90</v>
      </c>
    </row>
    <row r="57" spans="1:10" s="577" customFormat="1">
      <c r="A57" s="578"/>
      <c r="B57" s="583"/>
      <c r="C57" s="580"/>
      <c r="D57" s="580"/>
      <c r="E57" s="584"/>
      <c r="F57" s="584" t="s">
        <v>2560</v>
      </c>
      <c r="G57" s="584">
        <f>+H56</f>
        <v>90</v>
      </c>
      <c r="H57" s="585" t="s">
        <v>669</v>
      </c>
    </row>
    <row r="58" spans="1:10" s="587" customFormat="1" ht="50.25" customHeight="1">
      <c r="A58" s="578">
        <f>+A53+1</f>
        <v>5</v>
      </c>
      <c r="B58" s="1183" t="s">
        <v>4423</v>
      </c>
      <c r="C58" s="1183"/>
      <c r="D58" s="1183"/>
      <c r="E58" s="1183"/>
      <c r="F58" s="1183"/>
      <c r="G58" s="1183"/>
      <c r="H58" s="1184"/>
    </row>
    <row r="59" spans="1:10" s="587" customFormat="1">
      <c r="A59" s="578"/>
      <c r="B59" s="588" t="str">
        <f>+B56</f>
        <v>For Bore well</v>
      </c>
      <c r="C59" s="589">
        <v>1</v>
      </c>
      <c r="D59" s="589">
        <v>8</v>
      </c>
      <c r="E59" s="589"/>
      <c r="F59" s="589"/>
      <c r="G59" s="589"/>
      <c r="H59" s="590">
        <f>PRODUCT(C59:G59)</f>
        <v>8</v>
      </c>
    </row>
    <row r="60" spans="1:10" s="587" customFormat="1">
      <c r="A60" s="578"/>
      <c r="B60" s="588"/>
      <c r="C60" s="589"/>
      <c r="D60" s="589"/>
      <c r="E60" s="589"/>
      <c r="F60" s="591" t="s">
        <v>2560</v>
      </c>
      <c r="G60" s="592">
        <f>+H59</f>
        <v>8</v>
      </c>
      <c r="H60" s="593" t="s">
        <v>4424</v>
      </c>
    </row>
    <row r="61" spans="1:10" s="587" customFormat="1" ht="66" customHeight="1">
      <c r="A61" s="578">
        <f>+A58+1</f>
        <v>6</v>
      </c>
      <c r="B61" s="1183" t="s">
        <v>4425</v>
      </c>
      <c r="C61" s="1183"/>
      <c r="D61" s="1183"/>
      <c r="E61" s="1183"/>
      <c r="F61" s="1183"/>
      <c r="G61" s="1183"/>
      <c r="H61" s="1184"/>
    </row>
    <row r="62" spans="1:10" s="587" customFormat="1">
      <c r="A62" s="578"/>
      <c r="B62" s="588" t="str">
        <f>+B59</f>
        <v>For Bore well</v>
      </c>
      <c r="C62" s="589">
        <f>+C59</f>
        <v>1</v>
      </c>
      <c r="D62" s="589">
        <v>1</v>
      </c>
      <c r="E62" s="589"/>
      <c r="F62" s="589"/>
      <c r="G62" s="589"/>
      <c r="H62" s="593">
        <f>PRODUCT(C62:G62)</f>
        <v>1</v>
      </c>
    </row>
    <row r="63" spans="1:10" s="587" customFormat="1">
      <c r="A63" s="578"/>
      <c r="B63" s="588"/>
      <c r="C63" s="589"/>
      <c r="D63" s="589"/>
      <c r="E63" s="589"/>
      <c r="F63" s="591" t="s">
        <v>2560</v>
      </c>
      <c r="G63" s="592">
        <f>+H62</f>
        <v>1</v>
      </c>
      <c r="H63" s="593" t="s">
        <v>1130</v>
      </c>
    </row>
    <row r="64" spans="1:10" s="587" customFormat="1">
      <c r="A64" s="578">
        <f>+A61+1</f>
        <v>7</v>
      </c>
      <c r="B64" s="588" t="s">
        <v>4426</v>
      </c>
      <c r="C64" s="589"/>
      <c r="D64" s="589"/>
      <c r="E64" s="589"/>
      <c r="F64" s="591"/>
      <c r="G64" s="592"/>
      <c r="H64" s="593"/>
    </row>
    <row r="65" spans="1:9" s="587" customFormat="1">
      <c r="A65" s="578"/>
      <c r="B65" s="588" t="str">
        <f>+B62</f>
        <v>For Bore well</v>
      </c>
      <c r="C65" s="589">
        <f>+C62</f>
        <v>1</v>
      </c>
      <c r="D65" s="589">
        <v>1</v>
      </c>
      <c r="E65" s="589"/>
      <c r="F65" s="589"/>
      <c r="G65" s="589"/>
      <c r="H65" s="593">
        <f>PRODUCT(C65:G65)</f>
        <v>1</v>
      </c>
    </row>
    <row r="66" spans="1:9" s="587" customFormat="1">
      <c r="A66" s="578"/>
      <c r="B66" s="588"/>
      <c r="C66" s="589"/>
      <c r="D66" s="589"/>
      <c r="E66" s="589"/>
      <c r="F66" s="591" t="s">
        <v>2560</v>
      </c>
      <c r="G66" s="592">
        <f>+H65</f>
        <v>1</v>
      </c>
      <c r="H66" s="593" t="s">
        <v>1130</v>
      </c>
    </row>
    <row r="67" spans="1:9">
      <c r="A67" s="594"/>
      <c r="B67" s="595"/>
      <c r="C67" s="596"/>
      <c r="D67" s="597"/>
      <c r="E67" s="597"/>
      <c r="F67" s="597"/>
      <c r="G67" s="597"/>
      <c r="H67" s="598"/>
      <c r="I67" s="599"/>
    </row>
    <row r="68" spans="1:9" ht="132" customHeight="1">
      <c r="A68" s="594">
        <f>A64+1</f>
        <v>8</v>
      </c>
      <c r="B68" s="1179" t="s">
        <v>4779</v>
      </c>
      <c r="C68" s="1179"/>
      <c r="D68" s="1179"/>
      <c r="E68" s="1179"/>
      <c r="F68" s="1179"/>
      <c r="G68" s="1179"/>
      <c r="H68" s="598"/>
    </row>
    <row r="69" spans="1:9">
      <c r="A69" s="594"/>
      <c r="B69" s="595" t="s">
        <v>4427</v>
      </c>
      <c r="C69" s="596">
        <v>1</v>
      </c>
      <c r="D69" s="596">
        <v>1</v>
      </c>
      <c r="E69" s="597"/>
      <c r="F69" s="597"/>
      <c r="G69" s="597"/>
      <c r="H69" s="593">
        <f>PRODUCT(C69:G69)</f>
        <v>1</v>
      </c>
    </row>
    <row r="70" spans="1:9">
      <c r="A70" s="594"/>
      <c r="B70" s="595"/>
      <c r="C70" s="596"/>
      <c r="D70" s="596"/>
      <c r="E70" s="597"/>
      <c r="F70" s="597"/>
      <c r="G70" s="597"/>
      <c r="H70" s="598">
        <f>SUM(H69)</f>
        <v>1</v>
      </c>
    </row>
    <row r="71" spans="1:9">
      <c r="A71" s="594"/>
      <c r="B71" s="595"/>
      <c r="C71" s="596"/>
      <c r="D71" s="596"/>
      <c r="E71" s="597"/>
      <c r="F71" s="600" t="s">
        <v>2560</v>
      </c>
      <c r="G71" s="600">
        <f>H70</f>
        <v>1</v>
      </c>
      <c r="H71" s="601" t="s">
        <v>1166</v>
      </c>
    </row>
    <row r="72" spans="1:9">
      <c r="A72" s="594"/>
      <c r="B72" s="595"/>
      <c r="C72" s="596"/>
      <c r="D72" s="596"/>
      <c r="E72" s="597"/>
      <c r="F72" s="597"/>
      <c r="G72" s="597"/>
      <c r="H72" s="598"/>
    </row>
    <row r="73" spans="1:9" ht="180" customHeight="1">
      <c r="A73" s="594">
        <f>A68+1</f>
        <v>9</v>
      </c>
      <c r="B73" s="1179" t="s">
        <v>4428</v>
      </c>
      <c r="C73" s="1179"/>
      <c r="D73" s="1179"/>
      <c r="E73" s="1179"/>
      <c r="F73" s="1179"/>
      <c r="G73" s="1179"/>
      <c r="H73" s="598"/>
    </row>
    <row r="74" spans="1:9">
      <c r="A74" s="594"/>
      <c r="B74" s="595" t="s">
        <v>4427</v>
      </c>
      <c r="C74" s="596">
        <v>1</v>
      </c>
      <c r="D74" s="596">
        <v>1</v>
      </c>
      <c r="E74" s="597"/>
      <c r="F74" s="597"/>
      <c r="G74" s="597"/>
      <c r="H74" s="593">
        <f>PRODUCT(C74:G74)</f>
        <v>1</v>
      </c>
    </row>
    <row r="75" spans="1:9">
      <c r="A75" s="594"/>
      <c r="B75" s="595"/>
      <c r="C75" s="596"/>
      <c r="D75" s="596"/>
      <c r="E75" s="597"/>
      <c r="F75" s="597"/>
      <c r="G75" s="597"/>
      <c r="H75" s="598">
        <f>SUM(H74)</f>
        <v>1</v>
      </c>
    </row>
    <row r="76" spans="1:9">
      <c r="A76" s="594"/>
      <c r="B76" s="595"/>
      <c r="C76" s="596"/>
      <c r="D76" s="596"/>
      <c r="E76" s="597"/>
      <c r="F76" s="600" t="s">
        <v>2560</v>
      </c>
      <c r="G76" s="600">
        <f>H75</f>
        <v>1</v>
      </c>
      <c r="H76" s="601" t="s">
        <v>1166</v>
      </c>
    </row>
    <row r="77" spans="1:9">
      <c r="A77" s="594"/>
      <c r="B77" s="595"/>
      <c r="C77" s="596"/>
      <c r="D77" s="596"/>
      <c r="E77" s="597"/>
      <c r="F77" s="597"/>
      <c r="G77" s="597"/>
      <c r="H77" s="598"/>
    </row>
    <row r="78" spans="1:9" ht="45" customHeight="1">
      <c r="A78" s="594">
        <f>A73+1</f>
        <v>10</v>
      </c>
      <c r="B78" s="1179" t="s">
        <v>4429</v>
      </c>
      <c r="C78" s="1179"/>
      <c r="D78" s="1179"/>
      <c r="E78" s="1179"/>
      <c r="F78" s="1179"/>
      <c r="G78" s="1179"/>
      <c r="H78" s="598"/>
    </row>
    <row r="79" spans="1:9">
      <c r="A79" s="594"/>
      <c r="B79" s="595" t="s">
        <v>4430</v>
      </c>
      <c r="C79" s="596">
        <v>1</v>
      </c>
      <c r="D79" s="596">
        <v>1</v>
      </c>
      <c r="E79" s="597"/>
      <c r="F79" s="597"/>
      <c r="G79" s="597"/>
      <c r="H79" s="598">
        <v>1</v>
      </c>
    </row>
    <row r="80" spans="1:9">
      <c r="A80" s="594"/>
      <c r="B80" s="595"/>
      <c r="C80" s="596"/>
      <c r="D80" s="596"/>
      <c r="E80" s="597"/>
      <c r="F80" s="597"/>
      <c r="G80" s="597"/>
      <c r="H80" s="598">
        <f>SUM(H79)</f>
        <v>1</v>
      </c>
    </row>
    <row r="81" spans="1:8">
      <c r="A81" s="594"/>
      <c r="B81" s="595"/>
      <c r="C81" s="596"/>
      <c r="D81" s="596"/>
      <c r="E81" s="597"/>
      <c r="F81" s="600" t="s">
        <v>2560</v>
      </c>
      <c r="G81" s="600">
        <f>H80</f>
        <v>1</v>
      </c>
      <c r="H81" s="601" t="s">
        <v>1166</v>
      </c>
    </row>
    <row r="82" spans="1:8">
      <c r="A82" s="594"/>
      <c r="B82" s="595"/>
      <c r="C82" s="596"/>
      <c r="D82" s="596"/>
      <c r="E82" s="597"/>
      <c r="F82" s="597"/>
      <c r="G82" s="597"/>
      <c r="H82" s="598"/>
    </row>
    <row r="83" spans="1:8">
      <c r="A83" s="594"/>
      <c r="B83" s="595"/>
      <c r="C83" s="596"/>
      <c r="D83" s="596"/>
      <c r="E83" s="597"/>
      <c r="F83" s="597"/>
      <c r="G83" s="597"/>
      <c r="H83" s="598"/>
    </row>
    <row r="84" spans="1:8" ht="147.75" customHeight="1">
      <c r="A84" s="594">
        <f>A78+1</f>
        <v>11</v>
      </c>
      <c r="B84" s="1179" t="s">
        <v>4431</v>
      </c>
      <c r="C84" s="1179"/>
      <c r="D84" s="1179"/>
      <c r="E84" s="1179"/>
      <c r="F84" s="1179"/>
      <c r="G84" s="1179"/>
      <c r="H84" s="598"/>
    </row>
    <row r="85" spans="1:8">
      <c r="A85" s="594"/>
      <c r="B85" s="595" t="s">
        <v>4925</v>
      </c>
      <c r="C85" s="596">
        <v>1</v>
      </c>
      <c r="D85" s="596">
        <v>1</v>
      </c>
      <c r="E85" s="597"/>
      <c r="F85" s="597"/>
      <c r="G85" s="597"/>
      <c r="H85" s="593">
        <f>PRODUCT(C85:G85)</f>
        <v>1</v>
      </c>
    </row>
    <row r="86" spans="1:8">
      <c r="A86" s="594"/>
      <c r="B86" s="595"/>
      <c r="C86" s="596"/>
      <c r="D86" s="596"/>
      <c r="E86" s="597"/>
      <c r="F86" s="597"/>
      <c r="G86" s="597"/>
      <c r="H86" s="598">
        <f>SUM(H85)</f>
        <v>1</v>
      </c>
    </row>
    <row r="87" spans="1:8">
      <c r="A87" s="594"/>
      <c r="B87" s="595"/>
      <c r="C87" s="596"/>
      <c r="D87" s="596"/>
      <c r="E87" s="597"/>
      <c r="F87" s="600" t="s">
        <v>2560</v>
      </c>
      <c r="G87" s="600">
        <f>H86</f>
        <v>1</v>
      </c>
      <c r="H87" s="601" t="s">
        <v>1166</v>
      </c>
    </row>
    <row r="88" spans="1:8" ht="111" customHeight="1">
      <c r="A88" s="594">
        <f>A84+1</f>
        <v>12</v>
      </c>
      <c r="B88" s="1179" t="s">
        <v>4432</v>
      </c>
      <c r="C88" s="1179"/>
      <c r="D88" s="1179"/>
      <c r="E88" s="1179"/>
      <c r="F88" s="1179"/>
      <c r="G88" s="1179"/>
      <c r="H88" s="598"/>
    </row>
    <row r="89" spans="1:8">
      <c r="A89" s="594"/>
      <c r="B89" s="595" t="s">
        <v>4433</v>
      </c>
      <c r="C89" s="596">
        <v>1</v>
      </c>
      <c r="D89" s="596">
        <v>1</v>
      </c>
      <c r="E89" s="597"/>
      <c r="F89" s="597"/>
      <c r="G89" s="597"/>
      <c r="H89" s="593">
        <f>PRODUCT(C89:G89)</f>
        <v>1</v>
      </c>
    </row>
    <row r="90" spans="1:8">
      <c r="A90" s="594"/>
      <c r="B90" s="595" t="s">
        <v>4833</v>
      </c>
      <c r="C90" s="596">
        <v>1</v>
      </c>
      <c r="D90" s="596">
        <v>1</v>
      </c>
      <c r="E90" s="597"/>
      <c r="F90" s="597"/>
      <c r="G90" s="597"/>
      <c r="H90" s="593">
        <f>PRODUCT(C90:G90)</f>
        <v>1</v>
      </c>
    </row>
    <row r="91" spans="1:8">
      <c r="A91" s="594"/>
      <c r="B91" s="595"/>
      <c r="C91" s="596"/>
      <c r="D91" s="596"/>
      <c r="E91" s="597"/>
      <c r="F91" s="597"/>
      <c r="G91" s="597"/>
      <c r="H91" s="598">
        <f>SUM(H89:H90)</f>
        <v>2</v>
      </c>
    </row>
    <row r="92" spans="1:8">
      <c r="A92" s="594"/>
      <c r="B92" s="595"/>
      <c r="C92" s="596"/>
      <c r="D92" s="596"/>
      <c r="E92" s="597"/>
      <c r="F92" s="600" t="s">
        <v>2560</v>
      </c>
      <c r="G92" s="600">
        <f>H91</f>
        <v>2</v>
      </c>
      <c r="H92" s="601" t="s">
        <v>1166</v>
      </c>
    </row>
    <row r="93" spans="1:8" ht="47.25" customHeight="1">
      <c r="A93" s="594">
        <f>A88+1</f>
        <v>13</v>
      </c>
      <c r="B93" s="1179" t="s">
        <v>4434</v>
      </c>
      <c r="C93" s="1179"/>
      <c r="D93" s="1179"/>
      <c r="E93" s="1179"/>
      <c r="F93" s="1179"/>
      <c r="G93" s="1179"/>
      <c r="H93" s="598"/>
    </row>
    <row r="94" spans="1:8">
      <c r="A94" s="594"/>
      <c r="B94" s="595" t="s">
        <v>4435</v>
      </c>
      <c r="C94" s="596">
        <v>1</v>
      </c>
      <c r="D94" s="596">
        <v>1</v>
      </c>
      <c r="E94" s="597">
        <v>90</v>
      </c>
      <c r="F94" s="597"/>
      <c r="G94" s="597"/>
      <c r="H94" s="598">
        <f>E94*D94*C94</f>
        <v>90</v>
      </c>
    </row>
    <row r="95" spans="1:8">
      <c r="A95" s="594"/>
      <c r="B95" s="595" t="s">
        <v>4926</v>
      </c>
      <c r="C95" s="596">
        <v>1</v>
      </c>
      <c r="D95" s="596">
        <v>1</v>
      </c>
      <c r="E95" s="597">
        <v>18</v>
      </c>
      <c r="F95" s="597"/>
      <c r="G95" s="597"/>
      <c r="H95" s="598">
        <f>E95*D95*C95</f>
        <v>18</v>
      </c>
    </row>
    <row r="96" spans="1:8">
      <c r="A96" s="594"/>
      <c r="B96" s="595"/>
      <c r="C96" s="596"/>
      <c r="D96" s="596"/>
      <c r="E96" s="597"/>
      <c r="F96" s="597"/>
      <c r="G96" s="597"/>
      <c r="H96" s="598">
        <f>SUM(H94:H95)</f>
        <v>108</v>
      </c>
    </row>
    <row r="97" spans="1:8">
      <c r="A97" s="594"/>
      <c r="B97" s="595"/>
      <c r="C97" s="596"/>
      <c r="D97" s="596"/>
      <c r="E97" s="597"/>
      <c r="F97" s="600" t="s">
        <v>2560</v>
      </c>
      <c r="G97" s="600">
        <f>H96</f>
        <v>108</v>
      </c>
      <c r="H97" s="601" t="s">
        <v>669</v>
      </c>
    </row>
    <row r="98" spans="1:8" ht="32.25" customHeight="1">
      <c r="A98" s="594">
        <f>A93+1</f>
        <v>14</v>
      </c>
      <c r="B98" s="1179" t="s">
        <v>4436</v>
      </c>
      <c r="C98" s="1179"/>
      <c r="D98" s="1179"/>
      <c r="E98" s="1179"/>
      <c r="F98" s="1179"/>
      <c r="G98" s="1179"/>
      <c r="H98" s="598"/>
    </row>
    <row r="99" spans="1:8">
      <c r="A99" s="594"/>
      <c r="B99" s="595" t="s">
        <v>4435</v>
      </c>
      <c r="C99" s="596">
        <v>1</v>
      </c>
      <c r="D99" s="596">
        <v>1</v>
      </c>
      <c r="E99" s="597">
        <v>95</v>
      </c>
      <c r="F99" s="597"/>
      <c r="G99" s="597"/>
      <c r="H99" s="598">
        <f>E99*D99*C99</f>
        <v>95</v>
      </c>
    </row>
    <row r="100" spans="1:8">
      <c r="A100" s="594"/>
      <c r="B100" s="595"/>
      <c r="C100" s="596"/>
      <c r="D100" s="596"/>
      <c r="E100" s="597"/>
      <c r="F100" s="597"/>
      <c r="G100" s="597"/>
      <c r="H100" s="598">
        <f>SUM(H99)</f>
        <v>95</v>
      </c>
    </row>
    <row r="101" spans="1:8">
      <c r="A101" s="594"/>
      <c r="B101" s="595"/>
      <c r="C101" s="596"/>
      <c r="D101" s="596"/>
      <c r="E101" s="597"/>
      <c r="F101" s="600" t="s">
        <v>2560</v>
      </c>
      <c r="G101" s="600">
        <f>H100</f>
        <v>95</v>
      </c>
      <c r="H101" s="601" t="s">
        <v>669</v>
      </c>
    </row>
    <row r="102" spans="1:8" ht="43.5" customHeight="1">
      <c r="A102" s="594">
        <f>A98+1</f>
        <v>15</v>
      </c>
      <c r="B102" s="1179" t="s">
        <v>4437</v>
      </c>
      <c r="C102" s="1179"/>
      <c r="D102" s="1179"/>
      <c r="E102" s="1179"/>
      <c r="F102" s="1179"/>
      <c r="G102" s="1179"/>
      <c r="H102" s="598"/>
    </row>
    <row r="103" spans="1:8">
      <c r="A103" s="594"/>
      <c r="B103" s="595" t="s">
        <v>4438</v>
      </c>
      <c r="C103" s="596">
        <v>1</v>
      </c>
      <c r="D103" s="596">
        <v>1</v>
      </c>
      <c r="E103" s="597">
        <v>90</v>
      </c>
      <c r="F103" s="597"/>
      <c r="G103" s="597"/>
      <c r="H103" s="598">
        <f>E103*D103*C103</f>
        <v>90</v>
      </c>
    </row>
    <row r="104" spans="1:8">
      <c r="A104" s="594"/>
      <c r="B104" s="595"/>
      <c r="C104" s="596"/>
      <c r="D104" s="596"/>
      <c r="E104" s="597"/>
      <c r="F104" s="597"/>
      <c r="G104" s="597"/>
      <c r="H104" s="598">
        <f>SUM(H103)</f>
        <v>90</v>
      </c>
    </row>
    <row r="105" spans="1:8">
      <c r="A105" s="594"/>
      <c r="B105" s="595"/>
      <c r="C105" s="596"/>
      <c r="D105" s="596"/>
      <c r="E105" s="597"/>
      <c r="F105" s="600" t="s">
        <v>2560</v>
      </c>
      <c r="G105" s="600">
        <f>H104</f>
        <v>90</v>
      </c>
      <c r="H105" s="601" t="s">
        <v>669</v>
      </c>
    </row>
    <row r="106" spans="1:8" ht="35.25" customHeight="1">
      <c r="A106" s="594">
        <f>A102+1</f>
        <v>16</v>
      </c>
      <c r="B106" s="1179" t="s">
        <v>4439</v>
      </c>
      <c r="C106" s="1179"/>
      <c r="D106" s="1179"/>
      <c r="E106" s="1179"/>
      <c r="F106" s="1179"/>
      <c r="G106" s="1179"/>
      <c r="H106" s="598"/>
    </row>
    <row r="107" spans="1:8">
      <c r="A107" s="594"/>
      <c r="B107" s="595" t="s">
        <v>4427</v>
      </c>
      <c r="C107" s="596">
        <v>1</v>
      </c>
      <c r="D107" s="596">
        <v>2</v>
      </c>
      <c r="E107" s="597">
        <v>1</v>
      </c>
      <c r="F107" s="597"/>
      <c r="G107" s="597"/>
      <c r="H107" s="598">
        <f>E107*D107*C107</f>
        <v>2</v>
      </c>
    </row>
    <row r="108" spans="1:8">
      <c r="A108" s="594"/>
      <c r="B108" s="595"/>
      <c r="C108" s="596"/>
      <c r="D108" s="596"/>
      <c r="E108" s="597"/>
      <c r="F108" s="600" t="s">
        <v>2560</v>
      </c>
      <c r="G108" s="600">
        <f>H107</f>
        <v>2</v>
      </c>
      <c r="H108" s="601" t="s">
        <v>1166</v>
      </c>
    </row>
    <row r="109" spans="1:8" ht="28.5" customHeight="1">
      <c r="A109" s="594">
        <f>A106+1</f>
        <v>17</v>
      </c>
      <c r="B109" s="1179" t="s">
        <v>4440</v>
      </c>
      <c r="C109" s="1179"/>
      <c r="D109" s="1179"/>
      <c r="E109" s="1179"/>
      <c r="F109" s="1179"/>
      <c r="G109" s="1179"/>
      <c r="H109" s="598"/>
    </row>
    <row r="110" spans="1:8" ht="17.25" customHeight="1">
      <c r="A110" s="594"/>
      <c r="B110" s="955" t="s">
        <v>4441</v>
      </c>
      <c r="C110" s="955"/>
      <c r="D110" s="955"/>
      <c r="E110" s="955"/>
      <c r="F110" s="955"/>
      <c r="G110" s="955"/>
      <c r="H110" s="598"/>
    </row>
    <row r="111" spans="1:8">
      <c r="A111" s="594"/>
      <c r="B111" s="1179" t="s">
        <v>4442</v>
      </c>
      <c r="C111" s="1179"/>
      <c r="D111" s="1179"/>
      <c r="E111" s="1179"/>
      <c r="F111" s="1179"/>
      <c r="G111" s="1179"/>
      <c r="H111" s="598"/>
    </row>
    <row r="112" spans="1:8">
      <c r="A112" s="594"/>
      <c r="B112" s="595" t="s">
        <v>4926</v>
      </c>
      <c r="C112" s="596">
        <v>1</v>
      </c>
      <c r="D112" s="596">
        <v>1</v>
      </c>
      <c r="E112" s="597">
        <v>15</v>
      </c>
      <c r="F112" s="597"/>
      <c r="G112" s="597"/>
      <c r="H112" s="598">
        <f>E112*D112*C112</f>
        <v>15</v>
      </c>
    </row>
    <row r="113" spans="1:8">
      <c r="A113" s="594"/>
      <c r="B113" s="595" t="s">
        <v>4444</v>
      </c>
      <c r="C113" s="596">
        <v>1</v>
      </c>
      <c r="D113" s="596">
        <v>1</v>
      </c>
      <c r="E113" s="597">
        <v>23</v>
      </c>
      <c r="F113" s="597"/>
      <c r="G113" s="597"/>
      <c r="H113" s="598">
        <f>E113*D113*C113</f>
        <v>23</v>
      </c>
    </row>
    <row r="114" spans="1:8">
      <c r="A114" s="594"/>
      <c r="B114" s="595"/>
      <c r="C114" s="596"/>
      <c r="D114" s="596"/>
      <c r="E114" s="597"/>
      <c r="F114" s="597"/>
      <c r="G114" s="597"/>
      <c r="H114" s="598">
        <f>SUM(H112:H113)</f>
        <v>38</v>
      </c>
    </row>
    <row r="115" spans="1:8">
      <c r="A115" s="594"/>
      <c r="B115" s="595"/>
      <c r="C115" s="596"/>
      <c r="D115" s="596"/>
      <c r="E115" s="597"/>
      <c r="F115" s="600" t="s">
        <v>2560</v>
      </c>
      <c r="G115" s="600">
        <f>H114</f>
        <v>38</v>
      </c>
      <c r="H115" s="601" t="s">
        <v>669</v>
      </c>
    </row>
    <row r="116" spans="1:8">
      <c r="A116" s="594"/>
      <c r="B116" s="1179" t="s">
        <v>4443</v>
      </c>
      <c r="C116" s="1179"/>
      <c r="D116" s="1179"/>
      <c r="E116" s="1179"/>
      <c r="F116" s="1179"/>
      <c r="G116" s="1179"/>
      <c r="H116" s="598"/>
    </row>
    <row r="117" spans="1:8">
      <c r="A117" s="594"/>
      <c r="B117" s="595" t="s">
        <v>4444</v>
      </c>
      <c r="C117" s="596">
        <v>1</v>
      </c>
      <c r="D117" s="596">
        <v>1</v>
      </c>
      <c r="E117" s="597">
        <v>8</v>
      </c>
      <c r="F117" s="597"/>
      <c r="G117" s="597"/>
      <c r="H117" s="598">
        <f>E117*D117*C117</f>
        <v>8</v>
      </c>
    </row>
    <row r="118" spans="1:8">
      <c r="A118" s="594"/>
      <c r="B118" s="595"/>
      <c r="C118" s="596"/>
      <c r="D118" s="596"/>
      <c r="E118" s="597"/>
      <c r="F118" s="597"/>
      <c r="G118" s="597"/>
      <c r="H118" s="598">
        <f>SUM(H117)</f>
        <v>8</v>
      </c>
    </row>
    <row r="119" spans="1:8">
      <c r="A119" s="594"/>
      <c r="B119" s="595"/>
      <c r="C119" s="596"/>
      <c r="D119" s="596"/>
      <c r="E119" s="597"/>
      <c r="F119" s="600" t="s">
        <v>2560</v>
      </c>
      <c r="G119" s="600">
        <f>H118</f>
        <v>8</v>
      </c>
      <c r="H119" s="601" t="s">
        <v>669</v>
      </c>
    </row>
    <row r="120" spans="1:8">
      <c r="A120" s="594"/>
      <c r="B120" s="1179" t="s">
        <v>4445</v>
      </c>
      <c r="C120" s="1179"/>
      <c r="D120" s="1179"/>
      <c r="E120" s="1179"/>
      <c r="F120" s="1179"/>
      <c r="G120" s="1179"/>
      <c r="H120" s="598"/>
    </row>
    <row r="121" spans="1:8" ht="31.5">
      <c r="A121" s="594"/>
      <c r="B121" s="595" t="s">
        <v>4952</v>
      </c>
      <c r="C121" s="596">
        <v>1</v>
      </c>
      <c r="D121" s="596">
        <v>1</v>
      </c>
      <c r="E121" s="597">
        <v>18</v>
      </c>
      <c r="F121" s="597"/>
      <c r="G121" s="597"/>
      <c r="H121" s="598">
        <f>E121*D121*C121</f>
        <v>18</v>
      </c>
    </row>
    <row r="122" spans="1:8">
      <c r="A122" s="594"/>
      <c r="B122" s="595"/>
      <c r="C122" s="596"/>
      <c r="D122" s="596"/>
      <c r="E122" s="597"/>
      <c r="F122" s="597"/>
      <c r="G122" s="597"/>
      <c r="H122" s="598">
        <f>SUM(H121)</f>
        <v>18</v>
      </c>
    </row>
    <row r="123" spans="1:8">
      <c r="A123" s="594"/>
      <c r="B123" s="595"/>
      <c r="C123" s="596"/>
      <c r="D123" s="596"/>
      <c r="E123" s="597"/>
      <c r="F123" s="600" t="s">
        <v>2560</v>
      </c>
      <c r="G123" s="600">
        <f>H122</f>
        <v>18</v>
      </c>
      <c r="H123" s="601" t="s">
        <v>669</v>
      </c>
    </row>
    <row r="124" spans="1:8">
      <c r="A124" s="594"/>
      <c r="B124" s="595"/>
      <c r="C124" s="596"/>
      <c r="D124" s="596"/>
      <c r="E124" s="597"/>
      <c r="F124" s="597"/>
      <c r="G124" s="597"/>
      <c r="H124" s="598"/>
    </row>
    <row r="125" spans="1:8" ht="49.5" customHeight="1">
      <c r="A125" s="594">
        <f>A109+1</f>
        <v>18</v>
      </c>
      <c r="B125" s="1179" t="s">
        <v>4446</v>
      </c>
      <c r="C125" s="1179"/>
      <c r="D125" s="1179"/>
      <c r="E125" s="1179"/>
      <c r="F125" s="1179"/>
      <c r="G125" s="1179"/>
      <c r="H125" s="598"/>
    </row>
    <row r="126" spans="1:8">
      <c r="A126" s="594"/>
      <c r="B126" s="1179" t="s">
        <v>4447</v>
      </c>
      <c r="C126" s="1179"/>
      <c r="D126" s="1179"/>
      <c r="E126" s="1179"/>
      <c r="F126" s="1179"/>
      <c r="G126" s="1179"/>
      <c r="H126" s="598"/>
    </row>
    <row r="127" spans="1:8" ht="31.5">
      <c r="A127" s="594"/>
      <c r="B127" s="595" t="s">
        <v>4927</v>
      </c>
      <c r="C127" s="596">
        <v>1</v>
      </c>
      <c r="D127" s="596">
        <v>1</v>
      </c>
      <c r="E127" s="597">
        <v>3</v>
      </c>
      <c r="F127" s="597"/>
      <c r="G127" s="597"/>
      <c r="H127" s="598">
        <f>E127*D127*C127</f>
        <v>3</v>
      </c>
    </row>
    <row r="128" spans="1:8">
      <c r="A128" s="594"/>
      <c r="B128" s="595"/>
      <c r="C128" s="596"/>
      <c r="D128" s="596"/>
      <c r="E128" s="597"/>
      <c r="F128" s="600" t="s">
        <v>2560</v>
      </c>
      <c r="G128" s="600">
        <f>H127</f>
        <v>3</v>
      </c>
      <c r="H128" s="601" t="s">
        <v>669</v>
      </c>
    </row>
    <row r="129" spans="1:8">
      <c r="A129" s="594"/>
      <c r="B129" s="1179" t="s">
        <v>4448</v>
      </c>
      <c r="C129" s="1179"/>
      <c r="D129" s="1179"/>
      <c r="E129" s="1179"/>
      <c r="F129" s="1179"/>
      <c r="G129" s="1179"/>
      <c r="H129" s="598"/>
    </row>
    <row r="130" spans="1:8" ht="31.5">
      <c r="A130" s="594"/>
      <c r="B130" s="595" t="s">
        <v>4928</v>
      </c>
      <c r="C130" s="596">
        <v>1</v>
      </c>
      <c r="D130" s="596">
        <v>1</v>
      </c>
      <c r="E130" s="597">
        <v>2</v>
      </c>
      <c r="F130" s="597"/>
      <c r="G130" s="597"/>
      <c r="H130" s="593">
        <f>PRODUCT(C130:G130)</f>
        <v>2</v>
      </c>
    </row>
    <row r="131" spans="1:8" ht="31.5">
      <c r="A131" s="594"/>
      <c r="B131" s="595" t="s">
        <v>4929</v>
      </c>
      <c r="C131" s="596">
        <v>1</v>
      </c>
      <c r="D131" s="596">
        <v>2</v>
      </c>
      <c r="E131" s="597">
        <v>8</v>
      </c>
      <c r="F131" s="597"/>
      <c r="G131" s="597"/>
      <c r="H131" s="593">
        <f t="shared" ref="H131:H133" si="0">PRODUCT(C131:G131)</f>
        <v>16</v>
      </c>
    </row>
    <row r="132" spans="1:8">
      <c r="A132" s="594"/>
      <c r="B132" s="595" t="s">
        <v>4449</v>
      </c>
      <c r="C132" s="596">
        <v>1</v>
      </c>
      <c r="D132" s="596">
        <v>1</v>
      </c>
      <c r="E132" s="597">
        <v>3</v>
      </c>
      <c r="F132" s="597"/>
      <c r="G132" s="597"/>
      <c r="H132" s="593">
        <f t="shared" si="0"/>
        <v>3</v>
      </c>
    </row>
    <row r="133" spans="1:8">
      <c r="A133" s="594"/>
      <c r="B133" s="595" t="s">
        <v>4930</v>
      </c>
      <c r="C133" s="596">
        <v>1</v>
      </c>
      <c r="D133" s="596">
        <v>1</v>
      </c>
      <c r="E133" s="597">
        <v>3</v>
      </c>
      <c r="F133" s="597"/>
      <c r="G133" s="597"/>
      <c r="H133" s="593">
        <f t="shared" si="0"/>
        <v>3</v>
      </c>
    </row>
    <row r="134" spans="1:8">
      <c r="A134" s="594"/>
      <c r="B134" s="595"/>
      <c r="C134" s="596"/>
      <c r="D134" s="596"/>
      <c r="E134" s="597"/>
      <c r="F134" s="597"/>
      <c r="G134" s="597"/>
      <c r="H134" s="598">
        <f>SUM(H130:H133)</f>
        <v>24</v>
      </c>
    </row>
    <row r="135" spans="1:8">
      <c r="A135" s="594"/>
      <c r="B135" s="595"/>
      <c r="C135" s="596"/>
      <c r="D135" s="596"/>
      <c r="E135" s="597"/>
      <c r="F135" s="600" t="s">
        <v>2560</v>
      </c>
      <c r="G135" s="600">
        <f>H134</f>
        <v>24</v>
      </c>
      <c r="H135" s="601" t="s">
        <v>669</v>
      </c>
    </row>
    <row r="136" spans="1:8" s="970" customFormat="1">
      <c r="A136" s="965"/>
      <c r="B136" s="966" t="s">
        <v>4450</v>
      </c>
      <c r="C136" s="967"/>
      <c r="D136" s="967"/>
      <c r="E136" s="968"/>
      <c r="F136" s="968"/>
      <c r="G136" s="968"/>
      <c r="H136" s="969"/>
    </row>
    <row r="137" spans="1:8" s="970" customFormat="1">
      <c r="A137" s="965"/>
      <c r="B137" s="966" t="s">
        <v>4931</v>
      </c>
      <c r="C137" s="967">
        <v>1</v>
      </c>
      <c r="D137" s="967">
        <v>2</v>
      </c>
      <c r="E137" s="968">
        <v>1</v>
      </c>
      <c r="F137" s="968"/>
      <c r="G137" s="968"/>
      <c r="H137" s="969"/>
    </row>
    <row r="138" spans="1:8" s="970" customFormat="1">
      <c r="A138" s="965"/>
      <c r="B138" s="966"/>
      <c r="C138" s="967"/>
      <c r="D138" s="967"/>
      <c r="E138" s="968"/>
      <c r="F138" s="971" t="s">
        <v>2560</v>
      </c>
      <c r="G138" s="971"/>
      <c r="H138" s="972" t="s">
        <v>669</v>
      </c>
    </row>
    <row r="139" spans="1:8" ht="35.25" customHeight="1">
      <c r="A139" s="594">
        <f>A125+1</f>
        <v>19</v>
      </c>
      <c r="B139" s="1179" t="s">
        <v>4451</v>
      </c>
      <c r="C139" s="1179"/>
      <c r="D139" s="1179"/>
      <c r="E139" s="1179"/>
      <c r="F139" s="1179"/>
      <c r="G139" s="1179"/>
      <c r="H139" s="598"/>
    </row>
    <row r="140" spans="1:8" s="970" customFormat="1">
      <c r="A140" s="965"/>
      <c r="B140" s="966" t="s">
        <v>4932</v>
      </c>
      <c r="C140" s="967">
        <v>1</v>
      </c>
      <c r="D140" s="967">
        <v>5</v>
      </c>
      <c r="E140" s="968">
        <v>7.5</v>
      </c>
      <c r="F140" s="968"/>
      <c r="G140" s="968"/>
      <c r="H140" s="969"/>
    </row>
    <row r="141" spans="1:8" s="970" customFormat="1">
      <c r="A141" s="965"/>
      <c r="B141" s="966"/>
      <c r="C141" s="967"/>
      <c r="D141" s="967"/>
      <c r="E141" s="968"/>
      <c r="F141" s="971" t="s">
        <v>2560</v>
      </c>
      <c r="G141" s="971"/>
      <c r="H141" s="972" t="s">
        <v>669</v>
      </c>
    </row>
    <row r="142" spans="1:8">
      <c r="A142" s="594">
        <f>A139+1</f>
        <v>20</v>
      </c>
      <c r="B142" s="1179" t="s">
        <v>4452</v>
      </c>
      <c r="C142" s="1179"/>
      <c r="D142" s="1179"/>
      <c r="E142" s="1179"/>
      <c r="F142" s="1179"/>
      <c r="G142" s="1179"/>
      <c r="H142" s="598"/>
    </row>
    <row r="143" spans="1:8">
      <c r="A143" s="594"/>
      <c r="B143" s="1179" t="s">
        <v>4453</v>
      </c>
      <c r="C143" s="1179"/>
      <c r="D143" s="1179"/>
      <c r="E143" s="1179"/>
      <c r="F143" s="1179"/>
      <c r="G143" s="1179"/>
      <c r="H143" s="598"/>
    </row>
    <row r="144" spans="1:8">
      <c r="A144" s="594"/>
      <c r="B144" s="595" t="s">
        <v>3470</v>
      </c>
      <c r="C144" s="596">
        <v>1</v>
      </c>
      <c r="D144" s="596">
        <v>6</v>
      </c>
      <c r="E144" s="597"/>
      <c r="F144" s="597"/>
      <c r="G144" s="597"/>
      <c r="H144" s="576">
        <f>PRODUCT(C144:G144)</f>
        <v>6</v>
      </c>
    </row>
    <row r="145" spans="1:8">
      <c r="A145" s="594"/>
      <c r="B145" s="595"/>
      <c r="C145" s="596"/>
      <c r="D145" s="596"/>
      <c r="E145" s="597"/>
      <c r="F145" s="600" t="s">
        <v>2560</v>
      </c>
      <c r="G145" s="600">
        <f>H144</f>
        <v>6</v>
      </c>
      <c r="H145" s="601" t="s">
        <v>1166</v>
      </c>
    </row>
    <row r="146" spans="1:8">
      <c r="A146" s="594"/>
      <c r="B146" s="1179" t="s">
        <v>4454</v>
      </c>
      <c r="C146" s="1179"/>
      <c r="D146" s="1179"/>
      <c r="E146" s="1179"/>
      <c r="F146" s="1179"/>
      <c r="G146" s="1179"/>
      <c r="H146" s="598"/>
    </row>
    <row r="147" spans="1:8">
      <c r="A147" s="594"/>
      <c r="B147" s="595" t="s">
        <v>3470</v>
      </c>
      <c r="C147" s="596">
        <v>1</v>
      </c>
      <c r="D147" s="596">
        <v>2</v>
      </c>
      <c r="E147" s="597"/>
      <c r="F147" s="597"/>
      <c r="G147" s="597"/>
      <c r="H147" s="576">
        <f>PRODUCT(C147:G147)</f>
        <v>2</v>
      </c>
    </row>
    <row r="148" spans="1:8">
      <c r="A148" s="594"/>
      <c r="B148" s="595"/>
      <c r="C148" s="596"/>
      <c r="D148" s="596"/>
      <c r="E148" s="597"/>
      <c r="F148" s="600" t="s">
        <v>2560</v>
      </c>
      <c r="G148" s="600">
        <f>H147</f>
        <v>2</v>
      </c>
      <c r="H148" s="601" t="s">
        <v>1166</v>
      </c>
    </row>
    <row r="149" spans="1:8">
      <c r="A149" s="594"/>
      <c r="B149" s="1179" t="s">
        <v>4455</v>
      </c>
      <c r="C149" s="1179"/>
      <c r="D149" s="1179"/>
      <c r="E149" s="1179"/>
      <c r="F149" s="1179"/>
      <c r="G149" s="1179"/>
      <c r="H149" s="598"/>
    </row>
    <row r="150" spans="1:8">
      <c r="A150" s="594"/>
      <c r="B150" s="595" t="s">
        <v>3470</v>
      </c>
      <c r="C150" s="596">
        <v>2</v>
      </c>
      <c r="D150" s="596">
        <v>1</v>
      </c>
      <c r="E150" s="597"/>
      <c r="F150" s="597"/>
      <c r="G150" s="597"/>
      <c r="H150" s="576">
        <f>PRODUCT(C150:G150)</f>
        <v>2</v>
      </c>
    </row>
    <row r="151" spans="1:8">
      <c r="A151" s="594"/>
      <c r="B151" s="595"/>
      <c r="C151" s="596"/>
      <c r="D151" s="596"/>
      <c r="E151" s="597"/>
      <c r="F151" s="600" t="s">
        <v>2560</v>
      </c>
      <c r="G151" s="600">
        <f>H150</f>
        <v>2</v>
      </c>
      <c r="H151" s="601" t="s">
        <v>1166</v>
      </c>
    </row>
    <row r="152" spans="1:8">
      <c r="A152" s="594"/>
      <c r="B152" s="1179" t="s">
        <v>4456</v>
      </c>
      <c r="C152" s="1179"/>
      <c r="D152" s="1179"/>
      <c r="E152" s="1179"/>
      <c r="F152" s="1179"/>
      <c r="G152" s="1179"/>
      <c r="H152" s="598"/>
    </row>
    <row r="153" spans="1:8">
      <c r="A153" s="594"/>
      <c r="B153" s="595" t="s">
        <v>3470</v>
      </c>
      <c r="C153" s="596">
        <v>5</v>
      </c>
      <c r="D153" s="596">
        <v>1</v>
      </c>
      <c r="E153" s="597"/>
      <c r="F153" s="597"/>
      <c r="G153" s="597"/>
      <c r="H153" s="576">
        <f>PRODUCT(C153:G153)</f>
        <v>5</v>
      </c>
    </row>
    <row r="154" spans="1:8">
      <c r="A154" s="594"/>
      <c r="B154" s="595"/>
      <c r="C154" s="596"/>
      <c r="D154" s="596"/>
      <c r="E154" s="597"/>
      <c r="F154" s="600" t="s">
        <v>2560</v>
      </c>
      <c r="G154" s="600">
        <f>H153</f>
        <v>5</v>
      </c>
      <c r="H154" s="601" t="s">
        <v>1166</v>
      </c>
    </row>
    <row r="155" spans="1:8">
      <c r="A155" s="594"/>
      <c r="B155" s="1179" t="s">
        <v>4457</v>
      </c>
      <c r="C155" s="1179"/>
      <c r="D155" s="1179"/>
      <c r="E155" s="1179"/>
      <c r="F155" s="1179"/>
      <c r="G155" s="1179"/>
      <c r="H155" s="598"/>
    </row>
    <row r="156" spans="1:8">
      <c r="A156" s="594"/>
      <c r="B156" s="595" t="s">
        <v>3470</v>
      </c>
      <c r="C156" s="596">
        <v>6</v>
      </c>
      <c r="D156" s="596">
        <v>1</v>
      </c>
      <c r="E156" s="597"/>
      <c r="F156" s="597"/>
      <c r="G156" s="597"/>
      <c r="H156" s="576">
        <f>PRODUCT(C156:G156)</f>
        <v>6</v>
      </c>
    </row>
    <row r="157" spans="1:8">
      <c r="A157" s="594"/>
      <c r="B157" s="595"/>
      <c r="C157" s="596"/>
      <c r="D157" s="596"/>
      <c r="E157" s="597"/>
      <c r="F157" s="597"/>
      <c r="G157" s="597"/>
      <c r="H157" s="598">
        <f>SUM(H156)</f>
        <v>6</v>
      </c>
    </row>
    <row r="158" spans="1:8">
      <c r="A158" s="594"/>
      <c r="B158" s="595"/>
      <c r="C158" s="596"/>
      <c r="D158" s="596"/>
      <c r="E158" s="597"/>
      <c r="F158" s="597" t="s">
        <v>2560</v>
      </c>
      <c r="G158" s="600">
        <f>H157</f>
        <v>6</v>
      </c>
      <c r="H158" s="598" t="s">
        <v>1166</v>
      </c>
    </row>
    <row r="159" spans="1:8">
      <c r="A159" s="594"/>
      <c r="B159" s="1179" t="s">
        <v>4458</v>
      </c>
      <c r="C159" s="1179"/>
      <c r="D159" s="1179"/>
      <c r="E159" s="1179"/>
      <c r="F159" s="1179"/>
      <c r="G159" s="1179"/>
      <c r="H159" s="598"/>
    </row>
    <row r="160" spans="1:8">
      <c r="A160" s="594"/>
      <c r="B160" s="595" t="s">
        <v>3470</v>
      </c>
      <c r="C160" s="596">
        <v>1</v>
      </c>
      <c r="D160" s="596">
        <v>6</v>
      </c>
      <c r="E160" s="597"/>
      <c r="F160" s="597"/>
      <c r="G160" s="597"/>
      <c r="H160" s="576">
        <f>PRODUCT(C160:G160)</f>
        <v>6</v>
      </c>
    </row>
    <row r="161" spans="1:8">
      <c r="A161" s="594"/>
      <c r="B161" s="595"/>
      <c r="C161" s="596"/>
      <c r="D161" s="596"/>
      <c r="E161" s="597"/>
      <c r="F161" s="597" t="s">
        <v>2560</v>
      </c>
      <c r="G161" s="600">
        <f>H160</f>
        <v>6</v>
      </c>
      <c r="H161" s="598" t="s">
        <v>1166</v>
      </c>
    </row>
    <row r="162" spans="1:8">
      <c r="A162" s="594"/>
      <c r="B162" s="1179" t="s">
        <v>4459</v>
      </c>
      <c r="C162" s="1179"/>
      <c r="D162" s="1179"/>
      <c r="E162" s="1179"/>
      <c r="F162" s="1179"/>
      <c r="G162" s="1179"/>
      <c r="H162" s="598"/>
    </row>
    <row r="163" spans="1:8">
      <c r="A163" s="594"/>
      <c r="B163" s="595" t="s">
        <v>3470</v>
      </c>
      <c r="C163" s="596">
        <v>1</v>
      </c>
      <c r="D163" s="596">
        <v>4</v>
      </c>
      <c r="E163" s="597"/>
      <c r="F163" s="597"/>
      <c r="G163" s="597"/>
      <c r="H163" s="576">
        <f>PRODUCT(C163:G163)</f>
        <v>4</v>
      </c>
    </row>
    <row r="164" spans="1:8">
      <c r="A164" s="594"/>
      <c r="B164" s="595"/>
      <c r="C164" s="596"/>
      <c r="D164" s="596"/>
      <c r="E164" s="597"/>
      <c r="F164" s="597" t="s">
        <v>2560</v>
      </c>
      <c r="G164" s="600">
        <f>H163</f>
        <v>4</v>
      </c>
      <c r="H164" s="598" t="s">
        <v>1166</v>
      </c>
    </row>
    <row r="165" spans="1:8">
      <c r="A165" s="594"/>
      <c r="B165" s="1179" t="s">
        <v>4460</v>
      </c>
      <c r="C165" s="1179"/>
      <c r="D165" s="1179"/>
      <c r="E165" s="1179"/>
      <c r="F165" s="1179"/>
      <c r="G165" s="1179"/>
      <c r="H165" s="598"/>
    </row>
    <row r="166" spans="1:8">
      <c r="A166" s="594"/>
      <c r="B166" s="595" t="s">
        <v>3470</v>
      </c>
      <c r="C166" s="596">
        <v>1</v>
      </c>
      <c r="D166" s="596">
        <v>2</v>
      </c>
      <c r="E166" s="597"/>
      <c r="F166" s="597"/>
      <c r="G166" s="597"/>
      <c r="H166" s="576">
        <f>PRODUCT(C166:G166)</f>
        <v>2</v>
      </c>
    </row>
    <row r="167" spans="1:8">
      <c r="A167" s="594"/>
      <c r="B167" s="595"/>
      <c r="C167" s="596"/>
      <c r="D167" s="596"/>
      <c r="E167" s="597"/>
      <c r="F167" s="597" t="s">
        <v>2560</v>
      </c>
      <c r="G167" s="600">
        <f>H166</f>
        <v>2</v>
      </c>
      <c r="H167" s="598" t="s">
        <v>1166</v>
      </c>
    </row>
    <row r="168" spans="1:8">
      <c r="A168" s="594">
        <f>A142+1</f>
        <v>21</v>
      </c>
      <c r="B168" s="1179" t="s">
        <v>4461</v>
      </c>
      <c r="C168" s="1179"/>
      <c r="D168" s="1179"/>
      <c r="E168" s="1179"/>
      <c r="F168" s="1179"/>
      <c r="G168" s="1179"/>
      <c r="H168" s="598"/>
    </row>
    <row r="169" spans="1:8">
      <c r="A169" s="594"/>
      <c r="B169" s="1179" t="s">
        <v>4462</v>
      </c>
      <c r="C169" s="1179"/>
      <c r="D169" s="1179"/>
      <c r="E169" s="1179"/>
      <c r="F169" s="1179"/>
      <c r="G169" s="1179"/>
      <c r="H169" s="598"/>
    </row>
    <row r="170" spans="1:8">
      <c r="A170" s="594"/>
      <c r="B170" s="595" t="s">
        <v>4933</v>
      </c>
      <c r="C170" s="596">
        <v>1</v>
      </c>
      <c r="D170" s="596">
        <v>2</v>
      </c>
      <c r="E170" s="597"/>
      <c r="F170" s="597"/>
      <c r="G170" s="597"/>
      <c r="H170" s="576">
        <f>PRODUCT(C170:G170)</f>
        <v>2</v>
      </c>
    </row>
    <row r="171" spans="1:8">
      <c r="A171" s="594"/>
      <c r="B171" s="595"/>
      <c r="C171" s="596"/>
      <c r="D171" s="596"/>
      <c r="E171" s="597"/>
      <c r="F171" s="597" t="s">
        <v>2560</v>
      </c>
      <c r="G171" s="600">
        <f>H170</f>
        <v>2</v>
      </c>
      <c r="H171" s="598" t="s">
        <v>1166</v>
      </c>
    </row>
    <row r="172" spans="1:8">
      <c r="A172" s="594"/>
      <c r="B172" s="1179" t="s">
        <v>4463</v>
      </c>
      <c r="C172" s="1179"/>
      <c r="D172" s="1179"/>
      <c r="E172" s="1179"/>
      <c r="F172" s="1179"/>
      <c r="G172" s="1179"/>
      <c r="H172" s="598"/>
    </row>
    <row r="173" spans="1:8">
      <c r="A173" s="594"/>
      <c r="B173" s="595" t="s">
        <v>4934</v>
      </c>
      <c r="C173" s="596">
        <v>1</v>
      </c>
      <c r="D173" s="596">
        <v>2</v>
      </c>
      <c r="E173" s="597"/>
      <c r="F173" s="597"/>
      <c r="G173" s="597"/>
      <c r="H173" s="576">
        <f>PRODUCT(C173:G173)</f>
        <v>2</v>
      </c>
    </row>
    <row r="174" spans="1:8">
      <c r="A174" s="594"/>
      <c r="B174" s="595"/>
      <c r="C174" s="596"/>
      <c r="D174" s="596"/>
      <c r="E174" s="597"/>
      <c r="F174" s="597" t="s">
        <v>2560</v>
      </c>
      <c r="G174" s="600">
        <f>H173</f>
        <v>2</v>
      </c>
      <c r="H174" s="598" t="s">
        <v>1166</v>
      </c>
    </row>
    <row r="175" spans="1:8">
      <c r="A175" s="594"/>
      <c r="B175" s="1179" t="s">
        <v>4464</v>
      </c>
      <c r="C175" s="1179"/>
      <c r="D175" s="1179"/>
      <c r="E175" s="1179"/>
      <c r="F175" s="1179"/>
      <c r="G175" s="1179"/>
      <c r="H175" s="598"/>
    </row>
    <row r="176" spans="1:8">
      <c r="A176" s="594"/>
      <c r="B176" s="595" t="s">
        <v>4934</v>
      </c>
      <c r="C176" s="596">
        <v>2</v>
      </c>
      <c r="D176" s="596">
        <v>2</v>
      </c>
      <c r="E176" s="597"/>
      <c r="F176" s="597"/>
      <c r="G176" s="597"/>
      <c r="H176" s="576">
        <f>PRODUCT(C176:G176)</f>
        <v>4</v>
      </c>
    </row>
    <row r="177" spans="1:8">
      <c r="A177" s="594"/>
      <c r="B177" s="595"/>
      <c r="C177" s="596"/>
      <c r="D177" s="596"/>
      <c r="E177" s="597"/>
      <c r="F177" s="597" t="s">
        <v>2560</v>
      </c>
      <c r="G177" s="600">
        <f>H176</f>
        <v>4</v>
      </c>
      <c r="H177" s="598" t="s">
        <v>1166</v>
      </c>
    </row>
    <row r="178" spans="1:8">
      <c r="A178" s="594"/>
      <c r="B178" s="1179" t="s">
        <v>4465</v>
      </c>
      <c r="C178" s="1179"/>
      <c r="D178" s="1179"/>
      <c r="E178" s="1179"/>
      <c r="F178" s="1179"/>
      <c r="G178" s="1179"/>
      <c r="H178" s="598"/>
    </row>
    <row r="179" spans="1:8">
      <c r="A179" s="594"/>
      <c r="B179" s="595" t="s">
        <v>4935</v>
      </c>
      <c r="C179" s="596">
        <v>1</v>
      </c>
      <c r="D179" s="596">
        <v>2</v>
      </c>
      <c r="E179" s="597"/>
      <c r="F179" s="597"/>
      <c r="G179" s="597"/>
      <c r="H179" s="576">
        <f>PRODUCT(C179:G179)</f>
        <v>2</v>
      </c>
    </row>
    <row r="180" spans="1:8">
      <c r="A180" s="594"/>
      <c r="B180" s="595"/>
      <c r="C180" s="596"/>
      <c r="D180" s="596"/>
      <c r="E180" s="597"/>
      <c r="F180" s="597" t="s">
        <v>2560</v>
      </c>
      <c r="G180" s="600">
        <f>H179</f>
        <v>2</v>
      </c>
      <c r="H180" s="598" t="s">
        <v>1166</v>
      </c>
    </row>
    <row r="181" spans="1:8">
      <c r="A181" s="594"/>
      <c r="B181" s="1179" t="s">
        <v>4466</v>
      </c>
      <c r="C181" s="1179"/>
      <c r="D181" s="1179"/>
      <c r="E181" s="1179"/>
      <c r="F181" s="1179"/>
      <c r="G181" s="1179"/>
      <c r="H181" s="598"/>
    </row>
    <row r="182" spans="1:8">
      <c r="A182" s="594"/>
      <c r="B182" s="595" t="s">
        <v>4936</v>
      </c>
      <c r="C182" s="596">
        <v>1</v>
      </c>
      <c r="D182" s="596">
        <v>2</v>
      </c>
      <c r="E182" s="597"/>
      <c r="F182" s="597"/>
      <c r="G182" s="597"/>
      <c r="H182" s="576">
        <f>PRODUCT(C182:G182)</f>
        <v>2</v>
      </c>
    </row>
    <row r="183" spans="1:8">
      <c r="A183" s="594"/>
      <c r="B183" s="595" t="s">
        <v>4937</v>
      </c>
      <c r="C183" s="596">
        <v>1</v>
      </c>
      <c r="D183" s="596">
        <v>2</v>
      </c>
      <c r="E183" s="597"/>
      <c r="F183" s="597"/>
      <c r="G183" s="597"/>
      <c r="H183" s="576">
        <f>PRODUCT(C183:G183)</f>
        <v>2</v>
      </c>
    </row>
    <row r="184" spans="1:8">
      <c r="A184" s="594"/>
      <c r="B184" s="595"/>
      <c r="C184" s="596"/>
      <c r="D184" s="596"/>
      <c r="E184" s="597"/>
      <c r="F184" s="597"/>
      <c r="G184" s="597"/>
      <c r="H184" s="598">
        <f>SUM(H182:H183)</f>
        <v>4</v>
      </c>
    </row>
    <row r="185" spans="1:8">
      <c r="A185" s="594"/>
      <c r="B185" s="595"/>
      <c r="C185" s="596"/>
      <c r="D185" s="596"/>
      <c r="E185" s="597"/>
      <c r="F185" s="597" t="s">
        <v>2560</v>
      </c>
      <c r="G185" s="597">
        <f>H184</f>
        <v>4</v>
      </c>
      <c r="H185" s="598" t="s">
        <v>1166</v>
      </c>
    </row>
    <row r="186" spans="1:8">
      <c r="A186" s="594"/>
      <c r="B186" s="1179" t="s">
        <v>4467</v>
      </c>
      <c r="C186" s="1179"/>
      <c r="D186" s="1179"/>
      <c r="E186" s="1179"/>
      <c r="F186" s="1179" t="s">
        <v>2560</v>
      </c>
      <c r="G186" s="1179">
        <v>4</v>
      </c>
      <c r="H186" s="598" t="s">
        <v>1166</v>
      </c>
    </row>
    <row r="187" spans="1:8">
      <c r="A187" s="594"/>
      <c r="B187" s="595" t="s">
        <v>4936</v>
      </c>
      <c r="C187" s="596">
        <v>1</v>
      </c>
      <c r="D187" s="596">
        <v>2</v>
      </c>
      <c r="E187" s="597"/>
      <c r="F187" s="597"/>
      <c r="G187" s="597"/>
      <c r="H187" s="576">
        <f>PRODUCT(C187:G187)</f>
        <v>2</v>
      </c>
    </row>
    <row r="188" spans="1:8">
      <c r="A188" s="594"/>
      <c r="B188" s="595" t="s">
        <v>4938</v>
      </c>
      <c r="C188" s="596">
        <v>1</v>
      </c>
      <c r="D188" s="596">
        <v>2</v>
      </c>
      <c r="E188" s="597"/>
      <c r="F188" s="597"/>
      <c r="G188" s="597"/>
      <c r="H188" s="576">
        <f>PRODUCT(C188:G188)</f>
        <v>2</v>
      </c>
    </row>
    <row r="189" spans="1:8">
      <c r="A189" s="594"/>
      <c r="B189" s="595"/>
      <c r="C189" s="596"/>
      <c r="D189" s="596"/>
      <c r="E189" s="597"/>
      <c r="F189" s="597"/>
      <c r="G189" s="597"/>
      <c r="H189" s="598">
        <f>SUM(H187:H188)</f>
        <v>4</v>
      </c>
    </row>
    <row r="190" spans="1:8">
      <c r="A190" s="594"/>
      <c r="B190" s="595"/>
      <c r="C190" s="596"/>
      <c r="D190" s="596"/>
      <c r="E190" s="597"/>
      <c r="F190" s="597" t="s">
        <v>2560</v>
      </c>
      <c r="G190" s="597">
        <f>H189</f>
        <v>4</v>
      </c>
      <c r="H190" s="598" t="s">
        <v>1166</v>
      </c>
    </row>
    <row r="191" spans="1:8">
      <c r="A191" s="594"/>
      <c r="B191" s="1179" t="s">
        <v>4468</v>
      </c>
      <c r="C191" s="1179"/>
      <c r="D191" s="1179"/>
      <c r="E191" s="1179"/>
      <c r="F191" s="1179"/>
      <c r="G191" s="1179"/>
      <c r="H191" s="598"/>
    </row>
    <row r="192" spans="1:8">
      <c r="A192" s="594"/>
      <c r="B192" s="595" t="s">
        <v>4933</v>
      </c>
      <c r="C192" s="596">
        <v>2</v>
      </c>
      <c r="D192" s="596">
        <v>2</v>
      </c>
      <c r="E192" s="597"/>
      <c r="F192" s="597"/>
      <c r="G192" s="597"/>
      <c r="H192" s="576">
        <f>PRODUCT(C192:G192)</f>
        <v>4</v>
      </c>
    </row>
    <row r="193" spans="1:8">
      <c r="A193" s="594"/>
      <c r="B193" s="595"/>
      <c r="C193" s="596"/>
      <c r="D193" s="596"/>
      <c r="E193" s="597"/>
      <c r="F193" s="597" t="s">
        <v>2560</v>
      </c>
      <c r="G193" s="597">
        <f>H192</f>
        <v>4</v>
      </c>
      <c r="H193" s="598" t="s">
        <v>1166</v>
      </c>
    </row>
    <row r="194" spans="1:8">
      <c r="A194" s="594"/>
      <c r="B194" s="1179" t="s">
        <v>4939</v>
      </c>
      <c r="C194" s="1179"/>
      <c r="D194" s="1179"/>
      <c r="E194" s="1179"/>
      <c r="F194" s="1179"/>
      <c r="G194" s="1179"/>
      <c r="H194" s="598"/>
    </row>
    <row r="195" spans="1:8">
      <c r="A195" s="594"/>
      <c r="B195" s="595" t="s">
        <v>4940</v>
      </c>
      <c r="C195" s="596">
        <v>2</v>
      </c>
      <c r="D195" s="596">
        <v>2</v>
      </c>
      <c r="E195" s="597"/>
      <c r="F195" s="597"/>
      <c r="G195" s="597"/>
      <c r="H195" s="576">
        <f>PRODUCT(C195:G195)</f>
        <v>4</v>
      </c>
    </row>
    <row r="196" spans="1:8">
      <c r="A196" s="594"/>
      <c r="B196" s="595"/>
      <c r="C196" s="596"/>
      <c r="D196" s="596"/>
      <c r="E196" s="597"/>
      <c r="F196" s="597" t="s">
        <v>2560</v>
      </c>
      <c r="G196" s="597">
        <f>H195</f>
        <v>4</v>
      </c>
      <c r="H196" s="598" t="s">
        <v>1166</v>
      </c>
    </row>
    <row r="197" spans="1:8">
      <c r="A197" s="594"/>
      <c r="B197" s="1179" t="s">
        <v>4469</v>
      </c>
      <c r="C197" s="1179"/>
      <c r="D197" s="1179"/>
      <c r="E197" s="1179"/>
      <c r="F197" s="1179"/>
      <c r="G197" s="1179"/>
      <c r="H197" s="598"/>
    </row>
    <row r="198" spans="1:8">
      <c r="A198" s="594"/>
      <c r="B198" s="595" t="s">
        <v>4941</v>
      </c>
      <c r="C198" s="596">
        <v>1</v>
      </c>
      <c r="D198" s="596">
        <v>2</v>
      </c>
      <c r="E198" s="597"/>
      <c r="F198" s="597"/>
      <c r="G198" s="597"/>
      <c r="H198" s="576">
        <f>PRODUCT(C198:G198)</f>
        <v>2</v>
      </c>
    </row>
    <row r="199" spans="1:8">
      <c r="A199" s="594"/>
      <c r="B199" s="595"/>
      <c r="C199" s="596"/>
      <c r="D199" s="596"/>
      <c r="E199" s="597"/>
      <c r="F199" s="597" t="s">
        <v>2560</v>
      </c>
      <c r="G199" s="597">
        <f>H198</f>
        <v>2</v>
      </c>
      <c r="H199" s="598" t="s">
        <v>1166</v>
      </c>
    </row>
    <row r="200" spans="1:8">
      <c r="A200" s="594"/>
      <c r="B200" s="1179" t="s">
        <v>4470</v>
      </c>
      <c r="C200" s="1179"/>
      <c r="D200" s="1179"/>
      <c r="E200" s="1179"/>
      <c r="F200" s="1179"/>
      <c r="G200" s="1179"/>
      <c r="H200" s="598"/>
    </row>
    <row r="201" spans="1:8">
      <c r="A201" s="594"/>
      <c r="B201" s="595" t="s">
        <v>4942</v>
      </c>
      <c r="C201" s="596">
        <v>2</v>
      </c>
      <c r="D201" s="596">
        <v>1</v>
      </c>
      <c r="E201" s="597"/>
      <c r="F201" s="597"/>
      <c r="G201" s="597"/>
      <c r="H201" s="576">
        <f>PRODUCT(C201:G201)</f>
        <v>2</v>
      </c>
    </row>
    <row r="202" spans="1:8">
      <c r="A202" s="594"/>
      <c r="B202" s="595"/>
      <c r="C202" s="596"/>
      <c r="D202" s="596"/>
      <c r="E202" s="597"/>
      <c r="F202" s="597"/>
      <c r="G202" s="597"/>
      <c r="H202" s="598">
        <f>SUM(H201)</f>
        <v>2</v>
      </c>
    </row>
    <row r="203" spans="1:8">
      <c r="A203" s="594"/>
      <c r="B203" s="595"/>
      <c r="C203" s="596"/>
      <c r="D203" s="596"/>
      <c r="E203" s="597"/>
      <c r="F203" s="597" t="s">
        <v>2560</v>
      </c>
      <c r="G203" s="597">
        <f>H202</f>
        <v>2</v>
      </c>
      <c r="H203" s="598" t="s">
        <v>1166</v>
      </c>
    </row>
    <row r="204" spans="1:8">
      <c r="A204" s="594"/>
      <c r="B204" s="1179" t="s">
        <v>4471</v>
      </c>
      <c r="C204" s="1179"/>
      <c r="D204" s="1179"/>
      <c r="E204" s="1179"/>
      <c r="F204" s="1179"/>
      <c r="G204" s="1179"/>
      <c r="H204" s="598"/>
    </row>
    <row r="205" spans="1:8">
      <c r="A205" s="594"/>
      <c r="B205" s="595" t="s">
        <v>4942</v>
      </c>
      <c r="C205" s="596">
        <v>2</v>
      </c>
      <c r="D205" s="596">
        <v>1</v>
      </c>
      <c r="E205" s="597"/>
      <c r="F205" s="597"/>
      <c r="G205" s="597"/>
      <c r="H205" s="576">
        <f>PRODUCT(C205:G205)</f>
        <v>2</v>
      </c>
    </row>
    <row r="206" spans="1:8">
      <c r="A206" s="594"/>
      <c r="B206" s="595"/>
      <c r="C206" s="596"/>
      <c r="D206" s="596"/>
      <c r="E206" s="597"/>
      <c r="F206" s="597"/>
      <c r="G206" s="597"/>
      <c r="H206" s="598">
        <f>SUM(H205)</f>
        <v>2</v>
      </c>
    </row>
    <row r="207" spans="1:8">
      <c r="A207" s="594"/>
      <c r="B207" s="595"/>
      <c r="C207" s="596"/>
      <c r="D207" s="596"/>
      <c r="E207" s="597"/>
      <c r="F207" s="597" t="s">
        <v>2560</v>
      </c>
      <c r="G207" s="597">
        <f>H206</f>
        <v>2</v>
      </c>
      <c r="H207" s="598" t="s">
        <v>1166</v>
      </c>
    </row>
    <row r="208" spans="1:8">
      <c r="A208" s="594"/>
      <c r="B208" s="1179" t="s">
        <v>4472</v>
      </c>
      <c r="C208" s="1179"/>
      <c r="D208" s="1179"/>
      <c r="E208" s="1179"/>
      <c r="F208" s="1179"/>
      <c r="G208" s="1179"/>
      <c r="H208" s="598"/>
    </row>
    <row r="209" spans="1:8">
      <c r="A209" s="594"/>
      <c r="B209" s="595" t="s">
        <v>4473</v>
      </c>
      <c r="C209" s="596">
        <v>2</v>
      </c>
      <c r="D209" s="596">
        <v>2</v>
      </c>
      <c r="E209" s="597"/>
      <c r="F209" s="597"/>
      <c r="G209" s="597"/>
      <c r="H209" s="576">
        <f>PRODUCT(C209:G209)</f>
        <v>4</v>
      </c>
    </row>
    <row r="210" spans="1:8">
      <c r="A210" s="594"/>
      <c r="B210" s="595" t="s">
        <v>4943</v>
      </c>
      <c r="C210" s="596">
        <v>1</v>
      </c>
      <c r="D210" s="596">
        <v>2</v>
      </c>
      <c r="E210" s="597"/>
      <c r="F210" s="597"/>
      <c r="G210" s="597"/>
      <c r="H210" s="576">
        <f>PRODUCT(C210:G210)</f>
        <v>2</v>
      </c>
    </row>
    <row r="211" spans="1:8">
      <c r="A211" s="594"/>
      <c r="B211" s="595"/>
      <c r="C211" s="596"/>
      <c r="D211" s="596"/>
      <c r="E211" s="597"/>
      <c r="F211" s="597"/>
      <c r="G211" s="597"/>
      <c r="H211" s="598">
        <f>SUM(H209:H210)</f>
        <v>6</v>
      </c>
    </row>
    <row r="212" spans="1:8">
      <c r="A212" s="594"/>
      <c r="B212" s="595"/>
      <c r="C212" s="596"/>
      <c r="D212" s="596"/>
      <c r="E212" s="597"/>
      <c r="F212" s="597" t="s">
        <v>2560</v>
      </c>
      <c r="G212" s="597">
        <f>H211</f>
        <v>6</v>
      </c>
      <c r="H212" s="598" t="s">
        <v>1166</v>
      </c>
    </row>
    <row r="213" spans="1:8">
      <c r="A213" s="594"/>
      <c r="B213" s="1179" t="s">
        <v>4474</v>
      </c>
      <c r="C213" s="1179"/>
      <c r="D213" s="1179"/>
      <c r="E213" s="1179"/>
      <c r="F213" s="1179"/>
      <c r="G213" s="1179"/>
      <c r="H213" s="598"/>
    </row>
    <row r="214" spans="1:8">
      <c r="A214" s="594"/>
      <c r="B214" s="595" t="s">
        <v>4944</v>
      </c>
      <c r="C214" s="596">
        <v>1</v>
      </c>
      <c r="D214" s="596">
        <v>2</v>
      </c>
      <c r="E214" s="597"/>
      <c r="F214" s="597"/>
      <c r="G214" s="597"/>
      <c r="H214" s="576">
        <f>PRODUCT(C214:G214)</f>
        <v>2</v>
      </c>
    </row>
    <row r="215" spans="1:8">
      <c r="A215" s="594"/>
      <c r="B215" s="595"/>
      <c r="C215" s="596"/>
      <c r="D215" s="596"/>
      <c r="E215" s="597"/>
      <c r="F215" s="597"/>
      <c r="G215" s="597"/>
      <c r="H215" s="598">
        <f>SUM(H214)</f>
        <v>2</v>
      </c>
    </row>
    <row r="216" spans="1:8">
      <c r="A216" s="594"/>
      <c r="B216" s="595"/>
      <c r="C216" s="597"/>
      <c r="D216" s="597"/>
      <c r="E216" s="597"/>
      <c r="F216" s="597" t="s">
        <v>2560</v>
      </c>
      <c r="G216" s="597">
        <f>H215</f>
        <v>2</v>
      </c>
      <c r="H216" s="598" t="s">
        <v>1166</v>
      </c>
    </row>
    <row r="217" spans="1:8" hidden="1">
      <c r="A217" s="594" t="e">
        <f>#REF!+1</f>
        <v>#REF!</v>
      </c>
      <c r="B217" s="1180" t="s">
        <v>4475</v>
      </c>
      <c r="C217" s="1181"/>
      <c r="D217" s="1181"/>
      <c r="E217" s="1182"/>
      <c r="F217" s="597" t="s">
        <v>528</v>
      </c>
      <c r="G217" s="597"/>
      <c r="H217" s="598"/>
    </row>
    <row r="218" spans="1:8" hidden="1">
      <c r="A218" s="594" t="e">
        <f>A217+1</f>
        <v>#REF!</v>
      </c>
      <c r="B218" s="1180" t="s">
        <v>4476</v>
      </c>
      <c r="C218" s="1181"/>
      <c r="D218" s="1181"/>
      <c r="E218" s="1182"/>
      <c r="F218" s="597" t="s">
        <v>528</v>
      </c>
      <c r="G218" s="597"/>
      <c r="H218" s="598"/>
    </row>
    <row r="219" spans="1:8" hidden="1">
      <c r="A219" s="594" t="e">
        <f>A218+1</f>
        <v>#REF!</v>
      </c>
      <c r="B219" s="1180" t="s">
        <v>4477</v>
      </c>
      <c r="C219" s="1181"/>
      <c r="D219" s="1181"/>
      <c r="E219" s="1182"/>
      <c r="F219" s="597" t="s">
        <v>528</v>
      </c>
      <c r="G219" s="597"/>
      <c r="H219" s="598"/>
    </row>
    <row r="220" spans="1:8" hidden="1">
      <c r="A220" s="594" t="e">
        <f>A219+1</f>
        <v>#REF!</v>
      </c>
      <c r="B220" s="1180" t="s">
        <v>4478</v>
      </c>
      <c r="C220" s="1181"/>
      <c r="D220" s="1181"/>
      <c r="E220" s="1182"/>
      <c r="F220" s="597" t="s">
        <v>528</v>
      </c>
      <c r="G220" s="597"/>
      <c r="H220" s="598"/>
    </row>
  </sheetData>
  <mergeCells count="59">
    <mergeCell ref="B61:H61"/>
    <mergeCell ref="A1:H1"/>
    <mergeCell ref="A2:H2"/>
    <mergeCell ref="A3:H3"/>
    <mergeCell ref="A4:H4"/>
    <mergeCell ref="A5:A6"/>
    <mergeCell ref="B5:B6"/>
    <mergeCell ref="C5:D6"/>
    <mergeCell ref="E5:G5"/>
    <mergeCell ref="H5:H6"/>
    <mergeCell ref="B7:G7"/>
    <mergeCell ref="B27:H27"/>
    <mergeCell ref="B46:H46"/>
    <mergeCell ref="B53:H53"/>
    <mergeCell ref="B58:H58"/>
    <mergeCell ref="B219:E219"/>
    <mergeCell ref="B220:E220"/>
    <mergeCell ref="B217:E217"/>
    <mergeCell ref="B218:E218"/>
    <mergeCell ref="B68:G68"/>
    <mergeCell ref="B73:G73"/>
    <mergeCell ref="B78:G78"/>
    <mergeCell ref="B84:G84"/>
    <mergeCell ref="B88:G88"/>
    <mergeCell ref="B93:G93"/>
    <mergeCell ref="B98:G98"/>
    <mergeCell ref="B102:G102"/>
    <mergeCell ref="B106:G106"/>
    <mergeCell ref="B109:G109"/>
    <mergeCell ref="B111:G111"/>
    <mergeCell ref="B116:G116"/>
    <mergeCell ref="B120:G120"/>
    <mergeCell ref="B125:G125"/>
    <mergeCell ref="B126:G126"/>
    <mergeCell ref="B129:G129"/>
    <mergeCell ref="B139:G139"/>
    <mergeCell ref="B142:G142"/>
    <mergeCell ref="B143:G143"/>
    <mergeCell ref="B146:G146"/>
    <mergeCell ref="B149:G149"/>
    <mergeCell ref="B152:G152"/>
    <mergeCell ref="B155:G155"/>
    <mergeCell ref="B159:G159"/>
    <mergeCell ref="B162:G162"/>
    <mergeCell ref="B165:G165"/>
    <mergeCell ref="B168:G168"/>
    <mergeCell ref="B169:G169"/>
    <mergeCell ref="B172:G172"/>
    <mergeCell ref="B175:G175"/>
    <mergeCell ref="B178:G178"/>
    <mergeCell ref="B181:G181"/>
    <mergeCell ref="B186:G186"/>
    <mergeCell ref="B208:G208"/>
    <mergeCell ref="B213:G213"/>
    <mergeCell ref="B191:G191"/>
    <mergeCell ref="B194:G194"/>
    <mergeCell ref="B197:G197"/>
    <mergeCell ref="B200:G200"/>
    <mergeCell ref="B204:G204"/>
  </mergeCells>
  <pageMargins left="0.6" right="0.6" top="0.6" bottom="0.39370078740157499" header="0.31496062992126" footer="0.31496062992126"/>
  <pageSetup paperSize="9" scale="95" orientation="portrait" r:id="rId1"/>
</worksheet>
</file>

<file path=xl/worksheets/sheet18.xml><?xml version="1.0" encoding="utf-8"?>
<worksheet xmlns="http://schemas.openxmlformats.org/spreadsheetml/2006/main" xmlns:r="http://schemas.openxmlformats.org/officeDocument/2006/relationships">
  <dimension ref="A1:M156"/>
  <sheetViews>
    <sheetView topLeftCell="A76" zoomScale="115" zoomScaleNormal="115" workbookViewId="0">
      <selection activeCell="B81" sqref="B81"/>
    </sheetView>
  </sheetViews>
  <sheetFormatPr defaultColWidth="8.88671875" defaultRowHeight="15"/>
  <cols>
    <col min="1" max="1" width="3.77734375" style="603" customWidth="1"/>
    <col min="2" max="2" width="30.44140625" style="603" customWidth="1"/>
    <col min="3" max="3" width="4.21875" style="630" customWidth="1"/>
    <col min="4" max="4" width="4.44140625" style="630" customWidth="1"/>
    <col min="5" max="8" width="7.44140625" style="631" customWidth="1"/>
    <col min="9" max="11" width="8.5546875" style="603" customWidth="1"/>
    <col min="12" max="256" width="8.88671875" style="603"/>
    <col min="257" max="257" width="3.77734375" style="603" customWidth="1"/>
    <col min="258" max="258" width="30.44140625" style="603" customWidth="1"/>
    <col min="259" max="259" width="4.21875" style="603" customWidth="1"/>
    <col min="260" max="260" width="4.44140625" style="603" customWidth="1"/>
    <col min="261" max="264" width="7.44140625" style="603" customWidth="1"/>
    <col min="265" max="267" width="8.5546875" style="603" customWidth="1"/>
    <col min="268" max="512" width="8.88671875" style="603"/>
    <col min="513" max="513" width="3.77734375" style="603" customWidth="1"/>
    <col min="514" max="514" width="30.44140625" style="603" customWidth="1"/>
    <col min="515" max="515" width="4.21875" style="603" customWidth="1"/>
    <col min="516" max="516" width="4.44140625" style="603" customWidth="1"/>
    <col min="517" max="520" width="7.44140625" style="603" customWidth="1"/>
    <col min="521" max="523" width="8.5546875" style="603" customWidth="1"/>
    <col min="524" max="768" width="8.88671875" style="603"/>
    <col min="769" max="769" width="3.77734375" style="603" customWidth="1"/>
    <col min="770" max="770" width="30.44140625" style="603" customWidth="1"/>
    <col min="771" max="771" width="4.21875" style="603" customWidth="1"/>
    <col min="772" max="772" width="4.44140625" style="603" customWidth="1"/>
    <col min="773" max="776" width="7.44140625" style="603" customWidth="1"/>
    <col min="777" max="779" width="8.5546875" style="603" customWidth="1"/>
    <col min="780" max="1024" width="8.88671875" style="603"/>
    <col min="1025" max="1025" width="3.77734375" style="603" customWidth="1"/>
    <col min="1026" max="1026" width="30.44140625" style="603" customWidth="1"/>
    <col min="1027" max="1027" width="4.21875" style="603" customWidth="1"/>
    <col min="1028" max="1028" width="4.44140625" style="603" customWidth="1"/>
    <col min="1029" max="1032" width="7.44140625" style="603" customWidth="1"/>
    <col min="1033" max="1035" width="8.5546875" style="603" customWidth="1"/>
    <col min="1036" max="1280" width="8.88671875" style="603"/>
    <col min="1281" max="1281" width="3.77734375" style="603" customWidth="1"/>
    <col min="1282" max="1282" width="30.44140625" style="603" customWidth="1"/>
    <col min="1283" max="1283" width="4.21875" style="603" customWidth="1"/>
    <col min="1284" max="1284" width="4.44140625" style="603" customWidth="1"/>
    <col min="1285" max="1288" width="7.44140625" style="603" customWidth="1"/>
    <col min="1289" max="1291" width="8.5546875" style="603" customWidth="1"/>
    <col min="1292" max="1536" width="8.88671875" style="603"/>
    <col min="1537" max="1537" width="3.77734375" style="603" customWidth="1"/>
    <col min="1538" max="1538" width="30.44140625" style="603" customWidth="1"/>
    <col min="1539" max="1539" width="4.21875" style="603" customWidth="1"/>
    <col min="1540" max="1540" width="4.44140625" style="603" customWidth="1"/>
    <col min="1541" max="1544" width="7.44140625" style="603" customWidth="1"/>
    <col min="1545" max="1547" width="8.5546875" style="603" customWidth="1"/>
    <col min="1548" max="1792" width="8.88671875" style="603"/>
    <col min="1793" max="1793" width="3.77734375" style="603" customWidth="1"/>
    <col min="1794" max="1794" width="30.44140625" style="603" customWidth="1"/>
    <col min="1795" max="1795" width="4.21875" style="603" customWidth="1"/>
    <col min="1796" max="1796" width="4.44140625" style="603" customWidth="1"/>
    <col min="1797" max="1800" width="7.44140625" style="603" customWidth="1"/>
    <col min="1801" max="1803" width="8.5546875" style="603" customWidth="1"/>
    <col min="1804" max="2048" width="8.88671875" style="603"/>
    <col min="2049" max="2049" width="3.77734375" style="603" customWidth="1"/>
    <col min="2050" max="2050" width="30.44140625" style="603" customWidth="1"/>
    <col min="2051" max="2051" width="4.21875" style="603" customWidth="1"/>
    <col min="2052" max="2052" width="4.44140625" style="603" customWidth="1"/>
    <col min="2053" max="2056" width="7.44140625" style="603" customWidth="1"/>
    <col min="2057" max="2059" width="8.5546875" style="603" customWidth="1"/>
    <col min="2060" max="2304" width="8.88671875" style="603"/>
    <col min="2305" max="2305" width="3.77734375" style="603" customWidth="1"/>
    <col min="2306" max="2306" width="30.44140625" style="603" customWidth="1"/>
    <col min="2307" max="2307" width="4.21875" style="603" customWidth="1"/>
    <col min="2308" max="2308" width="4.44140625" style="603" customWidth="1"/>
    <col min="2309" max="2312" width="7.44140625" style="603" customWidth="1"/>
    <col min="2313" max="2315" width="8.5546875" style="603" customWidth="1"/>
    <col min="2316" max="2560" width="8.88671875" style="603"/>
    <col min="2561" max="2561" width="3.77734375" style="603" customWidth="1"/>
    <col min="2562" max="2562" width="30.44140625" style="603" customWidth="1"/>
    <col min="2563" max="2563" width="4.21875" style="603" customWidth="1"/>
    <col min="2564" max="2564" width="4.44140625" style="603" customWidth="1"/>
    <col min="2565" max="2568" width="7.44140625" style="603" customWidth="1"/>
    <col min="2569" max="2571" width="8.5546875" style="603" customWidth="1"/>
    <col min="2572" max="2816" width="8.88671875" style="603"/>
    <col min="2817" max="2817" width="3.77734375" style="603" customWidth="1"/>
    <col min="2818" max="2818" width="30.44140625" style="603" customWidth="1"/>
    <col min="2819" max="2819" width="4.21875" style="603" customWidth="1"/>
    <col min="2820" max="2820" width="4.44140625" style="603" customWidth="1"/>
    <col min="2821" max="2824" width="7.44140625" style="603" customWidth="1"/>
    <col min="2825" max="2827" width="8.5546875" style="603" customWidth="1"/>
    <col min="2828" max="3072" width="8.88671875" style="603"/>
    <col min="3073" max="3073" width="3.77734375" style="603" customWidth="1"/>
    <col min="3074" max="3074" width="30.44140625" style="603" customWidth="1"/>
    <col min="3075" max="3075" width="4.21875" style="603" customWidth="1"/>
    <col min="3076" max="3076" width="4.44140625" style="603" customWidth="1"/>
    <col min="3077" max="3080" width="7.44140625" style="603" customWidth="1"/>
    <col min="3081" max="3083" width="8.5546875" style="603" customWidth="1"/>
    <col min="3084" max="3328" width="8.88671875" style="603"/>
    <col min="3329" max="3329" width="3.77734375" style="603" customWidth="1"/>
    <col min="3330" max="3330" width="30.44140625" style="603" customWidth="1"/>
    <col min="3331" max="3331" width="4.21875" style="603" customWidth="1"/>
    <col min="3332" max="3332" width="4.44140625" style="603" customWidth="1"/>
    <col min="3333" max="3336" width="7.44140625" style="603" customWidth="1"/>
    <col min="3337" max="3339" width="8.5546875" style="603" customWidth="1"/>
    <col min="3340" max="3584" width="8.88671875" style="603"/>
    <col min="3585" max="3585" width="3.77734375" style="603" customWidth="1"/>
    <col min="3586" max="3586" width="30.44140625" style="603" customWidth="1"/>
    <col min="3587" max="3587" width="4.21875" style="603" customWidth="1"/>
    <col min="3588" max="3588" width="4.44140625" style="603" customWidth="1"/>
    <col min="3589" max="3592" width="7.44140625" style="603" customWidth="1"/>
    <col min="3593" max="3595" width="8.5546875" style="603" customWidth="1"/>
    <col min="3596" max="3840" width="8.88671875" style="603"/>
    <col min="3841" max="3841" width="3.77734375" style="603" customWidth="1"/>
    <col min="3842" max="3842" width="30.44140625" style="603" customWidth="1"/>
    <col min="3843" max="3843" width="4.21875" style="603" customWidth="1"/>
    <col min="3844" max="3844" width="4.44140625" style="603" customWidth="1"/>
    <col min="3845" max="3848" width="7.44140625" style="603" customWidth="1"/>
    <col min="3849" max="3851" width="8.5546875" style="603" customWidth="1"/>
    <col min="3852" max="4096" width="8.88671875" style="603"/>
    <col min="4097" max="4097" width="3.77734375" style="603" customWidth="1"/>
    <col min="4098" max="4098" width="30.44140625" style="603" customWidth="1"/>
    <col min="4099" max="4099" width="4.21875" style="603" customWidth="1"/>
    <col min="4100" max="4100" width="4.44140625" style="603" customWidth="1"/>
    <col min="4101" max="4104" width="7.44140625" style="603" customWidth="1"/>
    <col min="4105" max="4107" width="8.5546875" style="603" customWidth="1"/>
    <col min="4108" max="4352" width="8.88671875" style="603"/>
    <col min="4353" max="4353" width="3.77734375" style="603" customWidth="1"/>
    <col min="4354" max="4354" width="30.44140625" style="603" customWidth="1"/>
    <col min="4355" max="4355" width="4.21875" style="603" customWidth="1"/>
    <col min="4356" max="4356" width="4.44140625" style="603" customWidth="1"/>
    <col min="4357" max="4360" width="7.44140625" style="603" customWidth="1"/>
    <col min="4361" max="4363" width="8.5546875" style="603" customWidth="1"/>
    <col min="4364" max="4608" width="8.88671875" style="603"/>
    <col min="4609" max="4609" width="3.77734375" style="603" customWidth="1"/>
    <col min="4610" max="4610" width="30.44140625" style="603" customWidth="1"/>
    <col min="4611" max="4611" width="4.21875" style="603" customWidth="1"/>
    <col min="4612" max="4612" width="4.44140625" style="603" customWidth="1"/>
    <col min="4613" max="4616" width="7.44140625" style="603" customWidth="1"/>
    <col min="4617" max="4619" width="8.5546875" style="603" customWidth="1"/>
    <col min="4620" max="4864" width="8.88671875" style="603"/>
    <col min="4865" max="4865" width="3.77734375" style="603" customWidth="1"/>
    <col min="4866" max="4866" width="30.44140625" style="603" customWidth="1"/>
    <col min="4867" max="4867" width="4.21875" style="603" customWidth="1"/>
    <col min="4868" max="4868" width="4.44140625" style="603" customWidth="1"/>
    <col min="4869" max="4872" width="7.44140625" style="603" customWidth="1"/>
    <col min="4873" max="4875" width="8.5546875" style="603" customWidth="1"/>
    <col min="4876" max="5120" width="8.88671875" style="603"/>
    <col min="5121" max="5121" width="3.77734375" style="603" customWidth="1"/>
    <col min="5122" max="5122" width="30.44140625" style="603" customWidth="1"/>
    <col min="5123" max="5123" width="4.21875" style="603" customWidth="1"/>
    <col min="5124" max="5124" width="4.44140625" style="603" customWidth="1"/>
    <col min="5125" max="5128" width="7.44140625" style="603" customWidth="1"/>
    <col min="5129" max="5131" width="8.5546875" style="603" customWidth="1"/>
    <col min="5132" max="5376" width="8.88671875" style="603"/>
    <col min="5377" max="5377" width="3.77734375" style="603" customWidth="1"/>
    <col min="5378" max="5378" width="30.44140625" style="603" customWidth="1"/>
    <col min="5379" max="5379" width="4.21875" style="603" customWidth="1"/>
    <col min="5380" max="5380" width="4.44140625" style="603" customWidth="1"/>
    <col min="5381" max="5384" width="7.44140625" style="603" customWidth="1"/>
    <col min="5385" max="5387" width="8.5546875" style="603" customWidth="1"/>
    <col min="5388" max="5632" width="8.88671875" style="603"/>
    <col min="5633" max="5633" width="3.77734375" style="603" customWidth="1"/>
    <col min="5634" max="5634" width="30.44140625" style="603" customWidth="1"/>
    <col min="5635" max="5635" width="4.21875" style="603" customWidth="1"/>
    <col min="5636" max="5636" width="4.44140625" style="603" customWidth="1"/>
    <col min="5637" max="5640" width="7.44140625" style="603" customWidth="1"/>
    <col min="5641" max="5643" width="8.5546875" style="603" customWidth="1"/>
    <col min="5644" max="5888" width="8.88671875" style="603"/>
    <col min="5889" max="5889" width="3.77734375" style="603" customWidth="1"/>
    <col min="5890" max="5890" width="30.44140625" style="603" customWidth="1"/>
    <col min="5891" max="5891" width="4.21875" style="603" customWidth="1"/>
    <col min="5892" max="5892" width="4.44140625" style="603" customWidth="1"/>
    <col min="5893" max="5896" width="7.44140625" style="603" customWidth="1"/>
    <col min="5897" max="5899" width="8.5546875" style="603" customWidth="1"/>
    <col min="5900" max="6144" width="8.88671875" style="603"/>
    <col min="6145" max="6145" width="3.77734375" style="603" customWidth="1"/>
    <col min="6146" max="6146" width="30.44140625" style="603" customWidth="1"/>
    <col min="6147" max="6147" width="4.21875" style="603" customWidth="1"/>
    <col min="6148" max="6148" width="4.44140625" style="603" customWidth="1"/>
    <col min="6149" max="6152" width="7.44140625" style="603" customWidth="1"/>
    <col min="6153" max="6155" width="8.5546875" style="603" customWidth="1"/>
    <col min="6156" max="6400" width="8.88671875" style="603"/>
    <col min="6401" max="6401" width="3.77734375" style="603" customWidth="1"/>
    <col min="6402" max="6402" width="30.44140625" style="603" customWidth="1"/>
    <col min="6403" max="6403" width="4.21875" style="603" customWidth="1"/>
    <col min="6404" max="6404" width="4.44140625" style="603" customWidth="1"/>
    <col min="6405" max="6408" width="7.44140625" style="603" customWidth="1"/>
    <col min="6409" max="6411" width="8.5546875" style="603" customWidth="1"/>
    <col min="6412" max="6656" width="8.88671875" style="603"/>
    <col min="6657" max="6657" width="3.77734375" style="603" customWidth="1"/>
    <col min="6658" max="6658" width="30.44140625" style="603" customWidth="1"/>
    <col min="6659" max="6659" width="4.21875" style="603" customWidth="1"/>
    <col min="6660" max="6660" width="4.44140625" style="603" customWidth="1"/>
    <col min="6661" max="6664" width="7.44140625" style="603" customWidth="1"/>
    <col min="6665" max="6667" width="8.5546875" style="603" customWidth="1"/>
    <col min="6668" max="6912" width="8.88671875" style="603"/>
    <col min="6913" max="6913" width="3.77734375" style="603" customWidth="1"/>
    <col min="6914" max="6914" width="30.44140625" style="603" customWidth="1"/>
    <col min="6915" max="6915" width="4.21875" style="603" customWidth="1"/>
    <col min="6916" max="6916" width="4.44140625" style="603" customWidth="1"/>
    <col min="6917" max="6920" width="7.44140625" style="603" customWidth="1"/>
    <col min="6921" max="6923" width="8.5546875" style="603" customWidth="1"/>
    <col min="6924" max="7168" width="8.88671875" style="603"/>
    <col min="7169" max="7169" width="3.77734375" style="603" customWidth="1"/>
    <col min="7170" max="7170" width="30.44140625" style="603" customWidth="1"/>
    <col min="7171" max="7171" width="4.21875" style="603" customWidth="1"/>
    <col min="7172" max="7172" width="4.44140625" style="603" customWidth="1"/>
    <col min="7173" max="7176" width="7.44140625" style="603" customWidth="1"/>
    <col min="7177" max="7179" width="8.5546875" style="603" customWidth="1"/>
    <col min="7180" max="7424" width="8.88671875" style="603"/>
    <col min="7425" max="7425" width="3.77734375" style="603" customWidth="1"/>
    <col min="7426" max="7426" width="30.44140625" style="603" customWidth="1"/>
    <col min="7427" max="7427" width="4.21875" style="603" customWidth="1"/>
    <col min="7428" max="7428" width="4.44140625" style="603" customWidth="1"/>
    <col min="7429" max="7432" width="7.44140625" style="603" customWidth="1"/>
    <col min="7433" max="7435" width="8.5546875" style="603" customWidth="1"/>
    <col min="7436" max="7680" width="8.88671875" style="603"/>
    <col min="7681" max="7681" width="3.77734375" style="603" customWidth="1"/>
    <col min="7682" max="7682" width="30.44140625" style="603" customWidth="1"/>
    <col min="7683" max="7683" width="4.21875" style="603" customWidth="1"/>
    <col min="7684" max="7684" width="4.44140625" style="603" customWidth="1"/>
    <col min="7685" max="7688" width="7.44140625" style="603" customWidth="1"/>
    <col min="7689" max="7691" width="8.5546875" style="603" customWidth="1"/>
    <col min="7692" max="7936" width="8.88671875" style="603"/>
    <col min="7937" max="7937" width="3.77734375" style="603" customWidth="1"/>
    <col min="7938" max="7938" width="30.44140625" style="603" customWidth="1"/>
    <col min="7939" max="7939" width="4.21875" style="603" customWidth="1"/>
    <col min="7940" max="7940" width="4.44140625" style="603" customWidth="1"/>
    <col min="7941" max="7944" width="7.44140625" style="603" customWidth="1"/>
    <col min="7945" max="7947" width="8.5546875" style="603" customWidth="1"/>
    <col min="7948" max="8192" width="8.88671875" style="603"/>
    <col min="8193" max="8193" width="3.77734375" style="603" customWidth="1"/>
    <col min="8194" max="8194" width="30.44140625" style="603" customWidth="1"/>
    <col min="8195" max="8195" width="4.21875" style="603" customWidth="1"/>
    <col min="8196" max="8196" width="4.44140625" style="603" customWidth="1"/>
    <col min="8197" max="8200" width="7.44140625" style="603" customWidth="1"/>
    <col min="8201" max="8203" width="8.5546875" style="603" customWidth="1"/>
    <col min="8204" max="8448" width="8.88671875" style="603"/>
    <col min="8449" max="8449" width="3.77734375" style="603" customWidth="1"/>
    <col min="8450" max="8450" width="30.44140625" style="603" customWidth="1"/>
    <col min="8451" max="8451" width="4.21875" style="603" customWidth="1"/>
    <col min="8452" max="8452" width="4.44140625" style="603" customWidth="1"/>
    <col min="8453" max="8456" width="7.44140625" style="603" customWidth="1"/>
    <col min="8457" max="8459" width="8.5546875" style="603" customWidth="1"/>
    <col min="8460" max="8704" width="8.88671875" style="603"/>
    <col min="8705" max="8705" width="3.77734375" style="603" customWidth="1"/>
    <col min="8706" max="8706" width="30.44140625" style="603" customWidth="1"/>
    <col min="8707" max="8707" width="4.21875" style="603" customWidth="1"/>
    <col min="8708" max="8708" width="4.44140625" style="603" customWidth="1"/>
    <col min="8709" max="8712" width="7.44140625" style="603" customWidth="1"/>
    <col min="8713" max="8715" width="8.5546875" style="603" customWidth="1"/>
    <col min="8716" max="8960" width="8.88671875" style="603"/>
    <col min="8961" max="8961" width="3.77734375" style="603" customWidth="1"/>
    <col min="8962" max="8962" width="30.44140625" style="603" customWidth="1"/>
    <col min="8963" max="8963" width="4.21875" style="603" customWidth="1"/>
    <col min="8964" max="8964" width="4.44140625" style="603" customWidth="1"/>
    <col min="8965" max="8968" width="7.44140625" style="603" customWidth="1"/>
    <col min="8969" max="8971" width="8.5546875" style="603" customWidth="1"/>
    <col min="8972" max="9216" width="8.88671875" style="603"/>
    <col min="9217" max="9217" width="3.77734375" style="603" customWidth="1"/>
    <col min="9218" max="9218" width="30.44140625" style="603" customWidth="1"/>
    <col min="9219" max="9219" width="4.21875" style="603" customWidth="1"/>
    <col min="9220" max="9220" width="4.44140625" style="603" customWidth="1"/>
    <col min="9221" max="9224" width="7.44140625" style="603" customWidth="1"/>
    <col min="9225" max="9227" width="8.5546875" style="603" customWidth="1"/>
    <col min="9228" max="9472" width="8.88671875" style="603"/>
    <col min="9473" max="9473" width="3.77734375" style="603" customWidth="1"/>
    <col min="9474" max="9474" width="30.44140625" style="603" customWidth="1"/>
    <col min="9475" max="9475" width="4.21875" style="603" customWidth="1"/>
    <col min="9476" max="9476" width="4.44140625" style="603" customWidth="1"/>
    <col min="9477" max="9480" width="7.44140625" style="603" customWidth="1"/>
    <col min="9481" max="9483" width="8.5546875" style="603" customWidth="1"/>
    <col min="9484" max="9728" width="8.88671875" style="603"/>
    <col min="9729" max="9729" width="3.77734375" style="603" customWidth="1"/>
    <col min="9730" max="9730" width="30.44140625" style="603" customWidth="1"/>
    <col min="9731" max="9731" width="4.21875" style="603" customWidth="1"/>
    <col min="9732" max="9732" width="4.44140625" style="603" customWidth="1"/>
    <col min="9733" max="9736" width="7.44140625" style="603" customWidth="1"/>
    <col min="9737" max="9739" width="8.5546875" style="603" customWidth="1"/>
    <col min="9740" max="9984" width="8.88671875" style="603"/>
    <col min="9985" max="9985" width="3.77734375" style="603" customWidth="1"/>
    <col min="9986" max="9986" width="30.44140625" style="603" customWidth="1"/>
    <col min="9987" max="9987" width="4.21875" style="603" customWidth="1"/>
    <col min="9988" max="9988" width="4.44140625" style="603" customWidth="1"/>
    <col min="9989" max="9992" width="7.44140625" style="603" customWidth="1"/>
    <col min="9993" max="9995" width="8.5546875" style="603" customWidth="1"/>
    <col min="9996" max="10240" width="8.88671875" style="603"/>
    <col min="10241" max="10241" width="3.77734375" style="603" customWidth="1"/>
    <col min="10242" max="10242" width="30.44140625" style="603" customWidth="1"/>
    <col min="10243" max="10243" width="4.21875" style="603" customWidth="1"/>
    <col min="10244" max="10244" width="4.44140625" style="603" customWidth="1"/>
    <col min="10245" max="10248" width="7.44140625" style="603" customWidth="1"/>
    <col min="10249" max="10251" width="8.5546875" style="603" customWidth="1"/>
    <col min="10252" max="10496" width="8.88671875" style="603"/>
    <col min="10497" max="10497" width="3.77734375" style="603" customWidth="1"/>
    <col min="10498" max="10498" width="30.44140625" style="603" customWidth="1"/>
    <col min="10499" max="10499" width="4.21875" style="603" customWidth="1"/>
    <col min="10500" max="10500" width="4.44140625" style="603" customWidth="1"/>
    <col min="10501" max="10504" width="7.44140625" style="603" customWidth="1"/>
    <col min="10505" max="10507" width="8.5546875" style="603" customWidth="1"/>
    <col min="10508" max="10752" width="8.88671875" style="603"/>
    <col min="10753" max="10753" width="3.77734375" style="603" customWidth="1"/>
    <col min="10754" max="10754" width="30.44140625" style="603" customWidth="1"/>
    <col min="10755" max="10755" width="4.21875" style="603" customWidth="1"/>
    <col min="10756" max="10756" width="4.44140625" style="603" customWidth="1"/>
    <col min="10757" max="10760" width="7.44140625" style="603" customWidth="1"/>
    <col min="10761" max="10763" width="8.5546875" style="603" customWidth="1"/>
    <col min="10764" max="11008" width="8.88671875" style="603"/>
    <col min="11009" max="11009" width="3.77734375" style="603" customWidth="1"/>
    <col min="11010" max="11010" width="30.44140625" style="603" customWidth="1"/>
    <col min="11011" max="11011" width="4.21875" style="603" customWidth="1"/>
    <col min="11012" max="11012" width="4.44140625" style="603" customWidth="1"/>
    <col min="11013" max="11016" width="7.44140625" style="603" customWidth="1"/>
    <col min="11017" max="11019" width="8.5546875" style="603" customWidth="1"/>
    <col min="11020" max="11264" width="8.88671875" style="603"/>
    <col min="11265" max="11265" width="3.77734375" style="603" customWidth="1"/>
    <col min="11266" max="11266" width="30.44140625" style="603" customWidth="1"/>
    <col min="11267" max="11267" width="4.21875" style="603" customWidth="1"/>
    <col min="11268" max="11268" width="4.44140625" style="603" customWidth="1"/>
    <col min="11269" max="11272" width="7.44140625" style="603" customWidth="1"/>
    <col min="11273" max="11275" width="8.5546875" style="603" customWidth="1"/>
    <col min="11276" max="11520" width="8.88671875" style="603"/>
    <col min="11521" max="11521" width="3.77734375" style="603" customWidth="1"/>
    <col min="11522" max="11522" width="30.44140625" style="603" customWidth="1"/>
    <col min="11523" max="11523" width="4.21875" style="603" customWidth="1"/>
    <col min="11524" max="11524" width="4.44140625" style="603" customWidth="1"/>
    <col min="11525" max="11528" width="7.44140625" style="603" customWidth="1"/>
    <col min="11529" max="11531" width="8.5546875" style="603" customWidth="1"/>
    <col min="11532" max="11776" width="8.88671875" style="603"/>
    <col min="11777" max="11777" width="3.77734375" style="603" customWidth="1"/>
    <col min="11778" max="11778" width="30.44140625" style="603" customWidth="1"/>
    <col min="11779" max="11779" width="4.21875" style="603" customWidth="1"/>
    <col min="11780" max="11780" width="4.44140625" style="603" customWidth="1"/>
    <col min="11781" max="11784" width="7.44140625" style="603" customWidth="1"/>
    <col min="11785" max="11787" width="8.5546875" style="603" customWidth="1"/>
    <col min="11788" max="12032" width="8.88671875" style="603"/>
    <col min="12033" max="12033" width="3.77734375" style="603" customWidth="1"/>
    <col min="12034" max="12034" width="30.44140625" style="603" customWidth="1"/>
    <col min="12035" max="12035" width="4.21875" style="603" customWidth="1"/>
    <col min="12036" max="12036" width="4.44140625" style="603" customWidth="1"/>
    <col min="12037" max="12040" width="7.44140625" style="603" customWidth="1"/>
    <col min="12041" max="12043" width="8.5546875" style="603" customWidth="1"/>
    <col min="12044" max="12288" width="8.88671875" style="603"/>
    <col min="12289" max="12289" width="3.77734375" style="603" customWidth="1"/>
    <col min="12290" max="12290" width="30.44140625" style="603" customWidth="1"/>
    <col min="12291" max="12291" width="4.21875" style="603" customWidth="1"/>
    <col min="12292" max="12292" width="4.44140625" style="603" customWidth="1"/>
    <col min="12293" max="12296" width="7.44140625" style="603" customWidth="1"/>
    <col min="12297" max="12299" width="8.5546875" style="603" customWidth="1"/>
    <col min="12300" max="12544" width="8.88671875" style="603"/>
    <col min="12545" max="12545" width="3.77734375" style="603" customWidth="1"/>
    <col min="12546" max="12546" width="30.44140625" style="603" customWidth="1"/>
    <col min="12547" max="12547" width="4.21875" style="603" customWidth="1"/>
    <col min="12548" max="12548" width="4.44140625" style="603" customWidth="1"/>
    <col min="12549" max="12552" width="7.44140625" style="603" customWidth="1"/>
    <col min="12553" max="12555" width="8.5546875" style="603" customWidth="1"/>
    <col min="12556" max="12800" width="8.88671875" style="603"/>
    <col min="12801" max="12801" width="3.77734375" style="603" customWidth="1"/>
    <col min="12802" max="12802" width="30.44140625" style="603" customWidth="1"/>
    <col min="12803" max="12803" width="4.21875" style="603" customWidth="1"/>
    <col min="12804" max="12804" width="4.44140625" style="603" customWidth="1"/>
    <col min="12805" max="12808" width="7.44140625" style="603" customWidth="1"/>
    <col min="12809" max="12811" width="8.5546875" style="603" customWidth="1"/>
    <col min="12812" max="13056" width="8.88671875" style="603"/>
    <col min="13057" max="13057" width="3.77734375" style="603" customWidth="1"/>
    <col min="13058" max="13058" width="30.44140625" style="603" customWidth="1"/>
    <col min="13059" max="13059" width="4.21875" style="603" customWidth="1"/>
    <col min="13060" max="13060" width="4.44140625" style="603" customWidth="1"/>
    <col min="13061" max="13064" width="7.44140625" style="603" customWidth="1"/>
    <col min="13065" max="13067" width="8.5546875" style="603" customWidth="1"/>
    <col min="13068" max="13312" width="8.88671875" style="603"/>
    <col min="13313" max="13313" width="3.77734375" style="603" customWidth="1"/>
    <col min="13314" max="13314" width="30.44140625" style="603" customWidth="1"/>
    <col min="13315" max="13315" width="4.21875" style="603" customWidth="1"/>
    <col min="13316" max="13316" width="4.44140625" style="603" customWidth="1"/>
    <col min="13317" max="13320" width="7.44140625" style="603" customWidth="1"/>
    <col min="13321" max="13323" width="8.5546875" style="603" customWidth="1"/>
    <col min="13324" max="13568" width="8.88671875" style="603"/>
    <col min="13569" max="13569" width="3.77734375" style="603" customWidth="1"/>
    <col min="13570" max="13570" width="30.44140625" style="603" customWidth="1"/>
    <col min="13571" max="13571" width="4.21875" style="603" customWidth="1"/>
    <col min="13572" max="13572" width="4.44140625" style="603" customWidth="1"/>
    <col min="13573" max="13576" width="7.44140625" style="603" customWidth="1"/>
    <col min="13577" max="13579" width="8.5546875" style="603" customWidth="1"/>
    <col min="13580" max="13824" width="8.88671875" style="603"/>
    <col min="13825" max="13825" width="3.77734375" style="603" customWidth="1"/>
    <col min="13826" max="13826" width="30.44140625" style="603" customWidth="1"/>
    <col min="13827" max="13827" width="4.21875" style="603" customWidth="1"/>
    <col min="13828" max="13828" width="4.44140625" style="603" customWidth="1"/>
    <col min="13829" max="13832" width="7.44140625" style="603" customWidth="1"/>
    <col min="13833" max="13835" width="8.5546875" style="603" customWidth="1"/>
    <col min="13836" max="14080" width="8.88671875" style="603"/>
    <col min="14081" max="14081" width="3.77734375" style="603" customWidth="1"/>
    <col min="14082" max="14082" width="30.44140625" style="603" customWidth="1"/>
    <col min="14083" max="14083" width="4.21875" style="603" customWidth="1"/>
    <col min="14084" max="14084" width="4.44140625" style="603" customWidth="1"/>
    <col min="14085" max="14088" width="7.44140625" style="603" customWidth="1"/>
    <col min="14089" max="14091" width="8.5546875" style="603" customWidth="1"/>
    <col min="14092" max="14336" width="8.88671875" style="603"/>
    <col min="14337" max="14337" width="3.77734375" style="603" customWidth="1"/>
    <col min="14338" max="14338" width="30.44140625" style="603" customWidth="1"/>
    <col min="14339" max="14339" width="4.21875" style="603" customWidth="1"/>
    <col min="14340" max="14340" width="4.44140625" style="603" customWidth="1"/>
    <col min="14341" max="14344" width="7.44140625" style="603" customWidth="1"/>
    <col min="14345" max="14347" width="8.5546875" style="603" customWidth="1"/>
    <col min="14348" max="14592" width="8.88671875" style="603"/>
    <col min="14593" max="14593" width="3.77734375" style="603" customWidth="1"/>
    <col min="14594" max="14594" width="30.44140625" style="603" customWidth="1"/>
    <col min="14595" max="14595" width="4.21875" style="603" customWidth="1"/>
    <col min="14596" max="14596" width="4.44140625" style="603" customWidth="1"/>
    <col min="14597" max="14600" width="7.44140625" style="603" customWidth="1"/>
    <col min="14601" max="14603" width="8.5546875" style="603" customWidth="1"/>
    <col min="14604" max="14848" width="8.88671875" style="603"/>
    <col min="14849" max="14849" width="3.77734375" style="603" customWidth="1"/>
    <col min="14850" max="14850" width="30.44140625" style="603" customWidth="1"/>
    <col min="14851" max="14851" width="4.21875" style="603" customWidth="1"/>
    <col min="14852" max="14852" width="4.44140625" style="603" customWidth="1"/>
    <col min="14853" max="14856" width="7.44140625" style="603" customWidth="1"/>
    <col min="14857" max="14859" width="8.5546875" style="603" customWidth="1"/>
    <col min="14860" max="15104" width="8.88671875" style="603"/>
    <col min="15105" max="15105" width="3.77734375" style="603" customWidth="1"/>
    <col min="15106" max="15106" width="30.44140625" style="603" customWidth="1"/>
    <col min="15107" max="15107" width="4.21875" style="603" customWidth="1"/>
    <col min="15108" max="15108" width="4.44140625" style="603" customWidth="1"/>
    <col min="15109" max="15112" width="7.44140625" style="603" customWidth="1"/>
    <col min="15113" max="15115" width="8.5546875" style="603" customWidth="1"/>
    <col min="15116" max="15360" width="8.88671875" style="603"/>
    <col min="15361" max="15361" width="3.77734375" style="603" customWidth="1"/>
    <col min="15362" max="15362" width="30.44140625" style="603" customWidth="1"/>
    <col min="15363" max="15363" width="4.21875" style="603" customWidth="1"/>
    <col min="15364" max="15364" width="4.44140625" style="603" customWidth="1"/>
    <col min="15365" max="15368" width="7.44140625" style="603" customWidth="1"/>
    <col min="15369" max="15371" width="8.5546875" style="603" customWidth="1"/>
    <col min="15372" max="15616" width="8.88671875" style="603"/>
    <col min="15617" max="15617" width="3.77734375" style="603" customWidth="1"/>
    <col min="15618" max="15618" width="30.44140625" style="603" customWidth="1"/>
    <col min="15619" max="15619" width="4.21875" style="603" customWidth="1"/>
    <col min="15620" max="15620" width="4.44140625" style="603" customWidth="1"/>
    <col min="15621" max="15624" width="7.44140625" style="603" customWidth="1"/>
    <col min="15625" max="15627" width="8.5546875" style="603" customWidth="1"/>
    <col min="15628" max="15872" width="8.88671875" style="603"/>
    <col min="15873" max="15873" width="3.77734375" style="603" customWidth="1"/>
    <col min="15874" max="15874" width="30.44140625" style="603" customWidth="1"/>
    <col min="15875" max="15875" width="4.21875" style="603" customWidth="1"/>
    <col min="15876" max="15876" width="4.44140625" style="603" customWidth="1"/>
    <col min="15877" max="15880" width="7.44140625" style="603" customWidth="1"/>
    <col min="15881" max="15883" width="8.5546875" style="603" customWidth="1"/>
    <col min="15884" max="16128" width="8.88671875" style="603"/>
    <col min="16129" max="16129" width="3.77734375" style="603" customWidth="1"/>
    <col min="16130" max="16130" width="30.44140625" style="603" customWidth="1"/>
    <col min="16131" max="16131" width="4.21875" style="603" customWidth="1"/>
    <col min="16132" max="16132" width="4.44140625" style="603" customWidth="1"/>
    <col min="16133" max="16136" width="7.44140625" style="603" customWidth="1"/>
    <col min="16137" max="16139" width="8.5546875" style="603" customWidth="1"/>
    <col min="16140" max="16384" width="8.88671875" style="603"/>
  </cols>
  <sheetData>
    <row r="1" spans="1:13" ht="22.5" customHeight="1">
      <c r="A1" s="1214" t="s">
        <v>2403</v>
      </c>
      <c r="B1" s="1214"/>
      <c r="C1" s="1214"/>
      <c r="D1" s="1214"/>
      <c r="E1" s="1214"/>
      <c r="F1" s="1214"/>
      <c r="G1" s="1214"/>
      <c r="H1" s="1214"/>
    </row>
    <row r="2" spans="1:13" ht="22.5" customHeight="1">
      <c r="A2" s="1214" t="s">
        <v>3478</v>
      </c>
      <c r="B2" s="1214"/>
      <c r="C2" s="1214"/>
      <c r="D2" s="1214"/>
      <c r="E2" s="1214"/>
      <c r="F2" s="1214"/>
      <c r="G2" s="1214"/>
      <c r="H2" s="1214"/>
    </row>
    <row r="3" spans="1:13" ht="64.900000000000006" customHeight="1">
      <c r="A3" s="1215" t="str">
        <f>PAVER!A2</f>
        <v>Name of work:  Construction of Urban Police Station Building at Nachiyarkoil in Thanjavur District under Announcement made by the Hon’ble Chief Minister for the year 2023 - 2024</v>
      </c>
      <c r="B3" s="1215"/>
      <c r="C3" s="1215"/>
      <c r="D3" s="1215"/>
      <c r="E3" s="1215"/>
      <c r="F3" s="1215"/>
      <c r="G3" s="1215"/>
      <c r="H3" s="1215"/>
    </row>
    <row r="4" spans="1:13" ht="20.100000000000001" customHeight="1">
      <c r="A4" s="1214" t="s">
        <v>4479</v>
      </c>
      <c r="B4" s="1214"/>
      <c r="C4" s="1214"/>
      <c r="D4" s="1214"/>
      <c r="E4" s="1214"/>
      <c r="F4" s="1214"/>
      <c r="G4" s="1214"/>
      <c r="H4" s="1214"/>
    </row>
    <row r="5" spans="1:13" ht="20.100000000000001" customHeight="1">
      <c r="A5" s="1216" t="s">
        <v>3601</v>
      </c>
      <c r="B5" s="1217" t="s">
        <v>4404</v>
      </c>
      <c r="C5" s="1218" t="s">
        <v>1130</v>
      </c>
      <c r="D5" s="1218"/>
      <c r="E5" s="1217" t="s">
        <v>4386</v>
      </c>
      <c r="F5" s="1217"/>
      <c r="G5" s="1217"/>
      <c r="H5" s="1217" t="s">
        <v>844</v>
      </c>
    </row>
    <row r="6" spans="1:13" ht="20.100000000000001" customHeight="1">
      <c r="A6" s="1217"/>
      <c r="B6" s="1217"/>
      <c r="C6" s="1218"/>
      <c r="D6" s="1218"/>
      <c r="E6" s="604" t="s">
        <v>4387</v>
      </c>
      <c r="F6" s="604" t="s">
        <v>4218</v>
      </c>
      <c r="G6" s="604" t="s">
        <v>3294</v>
      </c>
      <c r="H6" s="1217"/>
      <c r="J6" s="605"/>
    </row>
    <row r="7" spans="1:13" ht="34.9" customHeight="1">
      <c r="A7" s="376">
        <v>1</v>
      </c>
      <c r="B7" s="1041" t="s">
        <v>4480</v>
      </c>
      <c r="C7" s="1042"/>
      <c r="D7" s="1042"/>
      <c r="E7" s="1042"/>
      <c r="F7" s="1042"/>
      <c r="G7" s="1043"/>
      <c r="H7" s="374"/>
      <c r="K7" s="603" t="s">
        <v>4481</v>
      </c>
    </row>
    <row r="8" spans="1:13" ht="19.899999999999999" customHeight="1">
      <c r="A8" s="376"/>
      <c r="B8" s="606" t="s">
        <v>4482</v>
      </c>
      <c r="C8" s="376">
        <v>1</v>
      </c>
      <c r="D8" s="376">
        <v>1</v>
      </c>
      <c r="E8" s="374">
        <v>5</v>
      </c>
      <c r="F8" s="607" t="s">
        <v>4382</v>
      </c>
      <c r="G8" s="607" t="s">
        <v>4382</v>
      </c>
      <c r="H8" s="374">
        <f>PRODUCT(C8:G8)</f>
        <v>5</v>
      </c>
      <c r="K8" s="603">
        <f>8+9+4+1</f>
        <v>22</v>
      </c>
      <c r="L8" s="603">
        <f>K8/0.6</f>
        <v>36.67</v>
      </c>
      <c r="M8" s="603">
        <f>ROUNDUP(L8,0)</f>
        <v>37</v>
      </c>
    </row>
    <row r="9" spans="1:13" ht="19.899999999999999" customHeight="1">
      <c r="A9" s="376"/>
      <c r="B9" s="606"/>
      <c r="C9" s="376"/>
      <c r="D9" s="376"/>
      <c r="E9" s="374"/>
      <c r="F9" s="374"/>
      <c r="G9" s="374"/>
      <c r="H9" s="374">
        <f>SUM(H8:H8)</f>
        <v>5</v>
      </c>
    </row>
    <row r="10" spans="1:13" ht="34.9" customHeight="1">
      <c r="A10" s="376"/>
      <c r="B10" s="375" t="s">
        <v>4483</v>
      </c>
      <c r="C10" s="376"/>
      <c r="D10" s="1213" t="s">
        <v>4484</v>
      </c>
      <c r="E10" s="1213"/>
      <c r="F10" s="1213"/>
      <c r="G10" s="390"/>
      <c r="H10" s="374">
        <f>5*2.31</f>
        <v>11.55</v>
      </c>
      <c r="I10" s="603">
        <f>H9/1.8</f>
        <v>2.78</v>
      </c>
      <c r="L10" s="603">
        <f>9+5.5+6</f>
        <v>20.5</v>
      </c>
    </row>
    <row r="11" spans="1:13" ht="19.899999999999999" customHeight="1">
      <c r="A11" s="376"/>
      <c r="B11" s="375"/>
      <c r="C11" s="376"/>
      <c r="D11" s="376"/>
      <c r="E11" s="376"/>
      <c r="F11" s="376"/>
      <c r="G11" s="390"/>
      <c r="H11" s="374">
        <v>0.05</v>
      </c>
    </row>
    <row r="12" spans="1:13" ht="19.899999999999999" customHeight="1">
      <c r="A12" s="376"/>
      <c r="B12" s="606"/>
      <c r="C12" s="376"/>
      <c r="D12" s="376"/>
      <c r="E12" s="374"/>
      <c r="F12" s="390" t="s">
        <v>2560</v>
      </c>
      <c r="G12" s="390">
        <f>H10+H11</f>
        <v>11.6</v>
      </c>
      <c r="H12" s="519" t="s">
        <v>1341</v>
      </c>
      <c r="I12" s="603" t="e">
        <f>#REF!*1.1</f>
        <v>#REF!</v>
      </c>
    </row>
    <row r="13" spans="1:13" ht="19.899999999999999" customHeight="1">
      <c r="A13" s="376">
        <v>2</v>
      </c>
      <c r="B13" s="1041" t="s">
        <v>4485</v>
      </c>
      <c r="C13" s="1042"/>
      <c r="D13" s="1042"/>
      <c r="E13" s="1042"/>
      <c r="F13" s="1042"/>
      <c r="G13" s="1043"/>
      <c r="H13" s="374"/>
    </row>
    <row r="14" spans="1:13" ht="19.899999999999999" customHeight="1">
      <c r="A14" s="376"/>
      <c r="B14" s="606" t="s">
        <v>4486</v>
      </c>
      <c r="C14" s="376"/>
      <c r="D14" s="376"/>
      <c r="E14" s="374"/>
      <c r="F14" s="374"/>
      <c r="G14" s="374"/>
      <c r="H14" s="374"/>
    </row>
    <row r="15" spans="1:13" ht="19.899999999999999" customHeight="1">
      <c r="A15" s="376"/>
      <c r="B15" s="606" t="s">
        <v>4397</v>
      </c>
      <c r="C15" s="376">
        <v>1</v>
      </c>
      <c r="D15" s="376">
        <v>1</v>
      </c>
      <c r="E15" s="374">
        <v>12</v>
      </c>
      <c r="F15" s="607" t="s">
        <v>4382</v>
      </c>
      <c r="G15" s="607" t="s">
        <v>4382</v>
      </c>
      <c r="H15" s="374">
        <f>PRODUCT(C15:G15)</f>
        <v>12</v>
      </c>
    </row>
    <row r="16" spans="1:13" ht="19.899999999999999" customHeight="1">
      <c r="A16" s="376"/>
      <c r="B16" s="606"/>
      <c r="C16" s="376"/>
      <c r="D16" s="376"/>
      <c r="E16" s="374"/>
      <c r="F16" s="374"/>
      <c r="G16" s="374"/>
      <c r="H16" s="374">
        <f>SUM(H15:H15)</f>
        <v>12</v>
      </c>
    </row>
    <row r="17" spans="1:10" ht="19.899999999999999" customHeight="1">
      <c r="A17" s="376"/>
      <c r="B17" s="606"/>
      <c r="C17" s="376"/>
      <c r="D17" s="376"/>
      <c r="E17" s="374"/>
      <c r="F17" s="390" t="s">
        <v>2560</v>
      </c>
      <c r="G17" s="608">
        <f>H16</f>
        <v>12</v>
      </c>
      <c r="H17" s="609" t="s">
        <v>669</v>
      </c>
    </row>
    <row r="18" spans="1:10" ht="19.899999999999999" customHeight="1">
      <c r="A18" s="376"/>
      <c r="B18" s="606" t="s">
        <v>4776</v>
      </c>
      <c r="C18" s="376"/>
      <c r="D18" s="376"/>
      <c r="E18" s="374"/>
      <c r="F18" s="374"/>
      <c r="G18" s="374"/>
      <c r="H18" s="374"/>
    </row>
    <row r="19" spans="1:10" ht="19.899999999999999" customHeight="1">
      <c r="A19" s="376"/>
      <c r="B19" s="606" t="s">
        <v>4487</v>
      </c>
      <c r="C19" s="376">
        <v>2</v>
      </c>
      <c r="D19" s="376">
        <v>2</v>
      </c>
      <c r="E19" s="374">
        <v>1</v>
      </c>
      <c r="F19" s="607" t="s">
        <v>4382</v>
      </c>
      <c r="G19" s="607" t="s">
        <v>4382</v>
      </c>
      <c r="H19" s="374">
        <f>PRODUCT(C19:G19)</f>
        <v>4</v>
      </c>
    </row>
    <row r="20" spans="1:10" ht="19.899999999999999" customHeight="1">
      <c r="A20" s="376"/>
      <c r="B20" s="606"/>
      <c r="C20" s="376"/>
      <c r="D20" s="376"/>
      <c r="E20" s="374"/>
      <c r="F20" s="374"/>
      <c r="G20" s="374"/>
      <c r="H20" s="374">
        <f>SUM(H19:H19)</f>
        <v>4</v>
      </c>
    </row>
    <row r="21" spans="1:10" ht="19.899999999999999" customHeight="1">
      <c r="A21" s="376"/>
      <c r="B21" s="606"/>
      <c r="C21" s="376"/>
      <c r="D21" s="376"/>
      <c r="E21" s="374"/>
      <c r="F21" s="390" t="s">
        <v>2560</v>
      </c>
      <c r="G21" s="390">
        <f>H20</f>
        <v>4</v>
      </c>
      <c r="H21" s="519" t="s">
        <v>838</v>
      </c>
    </row>
    <row r="22" spans="1:10" ht="34.9" customHeight="1">
      <c r="A22" s="610">
        <v>3</v>
      </c>
      <c r="B22" s="1048" t="s">
        <v>4488</v>
      </c>
      <c r="C22" s="1049"/>
      <c r="D22" s="1049"/>
      <c r="E22" s="1049"/>
      <c r="F22" s="1049"/>
      <c r="G22" s="1050"/>
      <c r="H22" s="611"/>
    </row>
    <row r="23" spans="1:10" ht="19.899999999999999" customHeight="1">
      <c r="A23" s="610"/>
      <c r="B23" s="612" t="s">
        <v>4397</v>
      </c>
      <c r="C23" s="613"/>
      <c r="D23" s="613"/>
      <c r="E23" s="614"/>
      <c r="F23" s="374"/>
      <c r="G23" s="614"/>
      <c r="H23" s="614"/>
    </row>
    <row r="24" spans="1:10" ht="30">
      <c r="A24" s="610"/>
      <c r="B24" s="612" t="s">
        <v>4778</v>
      </c>
      <c r="C24" s="613">
        <v>1</v>
      </c>
      <c r="D24" s="613">
        <v>3</v>
      </c>
      <c r="E24" s="614">
        <v>12</v>
      </c>
      <c r="F24" s="607" t="s">
        <v>4382</v>
      </c>
      <c r="G24" s="607" t="s">
        <v>4382</v>
      </c>
      <c r="H24" s="614">
        <f>E24*D24*C24</f>
        <v>36</v>
      </c>
      <c r="J24" s="603" t="s">
        <v>4489</v>
      </c>
    </row>
    <row r="25" spans="1:10" ht="19.899999999999999" customHeight="1">
      <c r="A25" s="610"/>
      <c r="B25" s="612"/>
      <c r="C25" s="613"/>
      <c r="D25" s="613"/>
      <c r="E25" s="614"/>
      <c r="F25" s="374"/>
      <c r="G25" s="614"/>
      <c r="H25" s="614">
        <f>SUM(H23:H24)</f>
        <v>36</v>
      </c>
    </row>
    <row r="26" spans="1:10" ht="19.899999999999999" customHeight="1">
      <c r="A26" s="610"/>
      <c r="B26" s="612"/>
      <c r="C26" s="613"/>
      <c r="D26" s="613"/>
      <c r="E26" s="614"/>
      <c r="F26" s="390" t="s">
        <v>2560</v>
      </c>
      <c r="G26" s="390">
        <f>H25</f>
        <v>36</v>
      </c>
      <c r="H26" s="615" t="s">
        <v>669</v>
      </c>
    </row>
    <row r="27" spans="1:10" ht="49.9" customHeight="1">
      <c r="A27" s="616">
        <v>4</v>
      </c>
      <c r="B27" s="1048" t="s">
        <v>4490</v>
      </c>
      <c r="C27" s="1049"/>
      <c r="D27" s="1049"/>
      <c r="E27" s="1049"/>
      <c r="F27" s="1049"/>
      <c r="G27" s="1050"/>
      <c r="H27" s="614"/>
    </row>
    <row r="28" spans="1:10" ht="19.899999999999999" customHeight="1">
      <c r="A28" s="610"/>
      <c r="B28" s="612" t="s">
        <v>4491</v>
      </c>
      <c r="C28" s="613"/>
      <c r="D28" s="613"/>
      <c r="E28" s="614"/>
      <c r="F28" s="374"/>
      <c r="G28" s="614"/>
      <c r="H28" s="614"/>
    </row>
    <row r="29" spans="1:10" ht="19.899999999999999" customHeight="1">
      <c r="A29" s="610"/>
      <c r="B29" s="612" t="s">
        <v>4492</v>
      </c>
      <c r="C29" s="613">
        <v>1</v>
      </c>
      <c r="D29" s="613">
        <v>1</v>
      </c>
      <c r="E29" s="614">
        <v>35</v>
      </c>
      <c r="F29" s="607" t="s">
        <v>4382</v>
      </c>
      <c r="G29" s="607" t="s">
        <v>4382</v>
      </c>
      <c r="H29" s="374">
        <f>E29*D29*C29</f>
        <v>35</v>
      </c>
    </row>
    <row r="30" spans="1:10" ht="19.899999999999999" customHeight="1">
      <c r="A30" s="376"/>
      <c r="B30" s="617"/>
      <c r="C30" s="376"/>
      <c r="D30" s="376"/>
      <c r="E30" s="374"/>
      <c r="F30" s="374"/>
      <c r="G30" s="374"/>
      <c r="H30" s="374">
        <f>SUM(H29:H29)</f>
        <v>35</v>
      </c>
    </row>
    <row r="31" spans="1:10" ht="19.899999999999999" customHeight="1">
      <c r="A31" s="376"/>
      <c r="B31" s="617"/>
      <c r="C31" s="376"/>
      <c r="D31" s="376"/>
      <c r="E31" s="374"/>
      <c r="F31" s="390" t="s">
        <v>2560</v>
      </c>
      <c r="G31" s="390">
        <f>H30</f>
        <v>35</v>
      </c>
      <c r="H31" s="519" t="s">
        <v>669</v>
      </c>
    </row>
    <row r="32" spans="1:10" ht="34.9" customHeight="1">
      <c r="A32" s="376">
        <f>+A27+1</f>
        <v>5</v>
      </c>
      <c r="B32" s="1041" t="s">
        <v>4493</v>
      </c>
      <c r="C32" s="1042"/>
      <c r="D32" s="1042"/>
      <c r="E32" s="1042"/>
      <c r="F32" s="1042"/>
      <c r="G32" s="1043"/>
      <c r="H32" s="374"/>
    </row>
    <row r="33" spans="1:9" ht="19.899999999999999" customHeight="1">
      <c r="A33" s="376"/>
      <c r="B33" s="606" t="s">
        <v>4494</v>
      </c>
      <c r="C33" s="376">
        <v>1</v>
      </c>
      <c r="D33" s="376">
        <v>2</v>
      </c>
      <c r="E33" s="607" t="s">
        <v>4382</v>
      </c>
      <c r="F33" s="607" t="s">
        <v>4382</v>
      </c>
      <c r="G33" s="607" t="s">
        <v>4382</v>
      </c>
      <c r="H33" s="374">
        <f>PRODUCT(C33:G33)</f>
        <v>2</v>
      </c>
    </row>
    <row r="34" spans="1:9" ht="19.899999999999999" customHeight="1">
      <c r="A34" s="376"/>
      <c r="B34" s="606"/>
      <c r="C34" s="376"/>
      <c r="D34" s="376"/>
      <c r="E34" s="374"/>
      <c r="F34" s="390" t="s">
        <v>2560</v>
      </c>
      <c r="G34" s="390">
        <f>+H33</f>
        <v>2</v>
      </c>
      <c r="H34" s="519" t="s">
        <v>1166</v>
      </c>
    </row>
    <row r="35" spans="1:9" ht="49.9" customHeight="1">
      <c r="A35" s="376">
        <f>+A32+1</f>
        <v>6</v>
      </c>
      <c r="B35" s="1041" t="s">
        <v>4495</v>
      </c>
      <c r="C35" s="1042"/>
      <c r="D35" s="1042"/>
      <c r="E35" s="1042"/>
      <c r="F35" s="1042"/>
      <c r="G35" s="1043"/>
      <c r="H35" s="374"/>
    </row>
    <row r="36" spans="1:9" ht="20.100000000000001" customHeight="1">
      <c r="A36" s="376"/>
      <c r="B36" s="606" t="s">
        <v>4494</v>
      </c>
      <c r="C36" s="376">
        <f>+C33</f>
        <v>1</v>
      </c>
      <c r="D36" s="376">
        <v>2</v>
      </c>
      <c r="E36" s="607" t="s">
        <v>4382</v>
      </c>
      <c r="F36" s="607" t="s">
        <v>4382</v>
      </c>
      <c r="G36" s="607" t="s">
        <v>4382</v>
      </c>
      <c r="H36" s="374">
        <f>PRODUCT(C36:G36)</f>
        <v>2</v>
      </c>
    </row>
    <row r="37" spans="1:9" ht="20.100000000000001" customHeight="1">
      <c r="A37" s="376"/>
      <c r="B37" s="606"/>
      <c r="C37" s="376"/>
      <c r="D37" s="376"/>
      <c r="E37" s="374"/>
      <c r="F37" s="390" t="s">
        <v>2560</v>
      </c>
      <c r="G37" s="390">
        <f>+H36</f>
        <v>2</v>
      </c>
      <c r="H37" s="519" t="s">
        <v>1166</v>
      </c>
    </row>
    <row r="38" spans="1:9" ht="49.9" customHeight="1">
      <c r="A38" s="376">
        <v>7</v>
      </c>
      <c r="B38" s="1041" t="s">
        <v>4496</v>
      </c>
      <c r="C38" s="1042"/>
      <c r="D38" s="1042"/>
      <c r="E38" s="1042"/>
      <c r="F38" s="1042"/>
      <c r="G38" s="1043"/>
      <c r="H38" s="374"/>
    </row>
    <row r="39" spans="1:9" ht="19.899999999999999" customHeight="1">
      <c r="A39" s="376"/>
      <c r="B39" s="606" t="s">
        <v>4494</v>
      </c>
      <c r="C39" s="376">
        <v>1</v>
      </c>
      <c r="D39" s="376">
        <v>1</v>
      </c>
      <c r="E39" s="607" t="s">
        <v>4382</v>
      </c>
      <c r="F39" s="607" t="s">
        <v>4382</v>
      </c>
      <c r="G39" s="607" t="s">
        <v>4382</v>
      </c>
      <c r="H39" s="374">
        <f>PRODUCT(C39:G39)</f>
        <v>1</v>
      </c>
    </row>
    <row r="40" spans="1:9" ht="19.899999999999999" customHeight="1">
      <c r="A40" s="376"/>
      <c r="B40" s="606"/>
      <c r="C40" s="376"/>
      <c r="D40" s="376"/>
      <c r="E40" s="374"/>
      <c r="F40" s="390" t="s">
        <v>4146</v>
      </c>
      <c r="G40" s="390">
        <f>H39</f>
        <v>1</v>
      </c>
      <c r="H40" s="519" t="s">
        <v>453</v>
      </c>
    </row>
    <row r="41" spans="1:9" ht="34.9" customHeight="1">
      <c r="A41" s="376">
        <v>8</v>
      </c>
      <c r="B41" s="1041" t="s">
        <v>4972</v>
      </c>
      <c r="C41" s="1042"/>
      <c r="D41" s="1042"/>
      <c r="E41" s="1042"/>
      <c r="F41" s="1042"/>
      <c r="G41" s="1043"/>
      <c r="H41" s="390"/>
    </row>
    <row r="42" spans="1:9" ht="19.899999999999999" customHeight="1">
      <c r="A42" s="376"/>
      <c r="B42" s="606"/>
      <c r="C42" s="376"/>
      <c r="D42" s="376"/>
      <c r="E42" s="374"/>
      <c r="F42" s="374"/>
      <c r="G42" s="374"/>
      <c r="H42" s="374">
        <f>G31</f>
        <v>35</v>
      </c>
    </row>
    <row r="43" spans="1:9" ht="19.899999999999999" customHeight="1">
      <c r="A43" s="376"/>
      <c r="B43" s="606"/>
      <c r="C43" s="376"/>
      <c r="D43" s="376"/>
      <c r="E43" s="374"/>
      <c r="F43" s="390" t="s">
        <v>2560</v>
      </c>
      <c r="G43" s="390">
        <f>+H42</f>
        <v>35</v>
      </c>
      <c r="H43" s="519" t="s">
        <v>669</v>
      </c>
      <c r="I43" s="603" t="e">
        <f>SUM(#REF!)</f>
        <v>#REF!</v>
      </c>
    </row>
    <row r="44" spans="1:9" ht="90" hidden="1" customHeight="1">
      <c r="A44" s="376">
        <f t="shared" ref="A44:A49" si="0">+A41+1</f>
        <v>9</v>
      </c>
      <c r="B44" s="606"/>
      <c r="C44" s="376"/>
      <c r="D44" s="376"/>
      <c r="E44" s="374"/>
      <c r="F44" s="390"/>
      <c r="G44" s="390"/>
      <c r="H44" s="390"/>
    </row>
    <row r="45" spans="1:9" ht="42" hidden="1" customHeight="1">
      <c r="A45" s="376">
        <f t="shared" si="0"/>
        <v>1</v>
      </c>
      <c r="B45" s="606"/>
      <c r="C45" s="376"/>
      <c r="D45" s="376"/>
      <c r="E45" s="374"/>
      <c r="F45" s="374"/>
      <c r="G45" s="374"/>
      <c r="H45" s="374"/>
    </row>
    <row r="46" spans="1:9" ht="20.100000000000001" hidden="1" customHeight="1">
      <c r="A46" s="376">
        <f t="shared" si="0"/>
        <v>1</v>
      </c>
      <c r="B46" s="606"/>
      <c r="C46" s="376"/>
      <c r="D46" s="376"/>
      <c r="E46" s="374"/>
      <c r="F46" s="390"/>
      <c r="G46" s="390"/>
      <c r="H46" s="390"/>
    </row>
    <row r="47" spans="1:9" ht="93.75" hidden="1" customHeight="1">
      <c r="A47" s="376">
        <f t="shared" si="0"/>
        <v>10</v>
      </c>
      <c r="B47" s="606"/>
      <c r="C47" s="376"/>
      <c r="D47" s="376"/>
      <c r="E47" s="374"/>
      <c r="F47" s="390"/>
      <c r="G47" s="390"/>
      <c r="H47" s="390"/>
    </row>
    <row r="48" spans="1:9" ht="55.5" hidden="1" customHeight="1">
      <c r="A48" s="376">
        <f t="shared" si="0"/>
        <v>2</v>
      </c>
      <c r="B48" s="606"/>
      <c r="C48" s="376"/>
      <c r="D48" s="376"/>
      <c r="E48" s="374"/>
      <c r="F48" s="374"/>
      <c r="G48" s="374"/>
      <c r="H48" s="374"/>
    </row>
    <row r="49" spans="1:9" ht="20.100000000000001" hidden="1" customHeight="1">
      <c r="A49" s="376">
        <f t="shared" si="0"/>
        <v>2</v>
      </c>
      <c r="B49" s="606"/>
      <c r="C49" s="376"/>
      <c r="D49" s="376"/>
      <c r="E49" s="374"/>
      <c r="F49" s="390"/>
      <c r="G49" s="390"/>
      <c r="H49" s="390"/>
      <c r="I49" s="603">
        <f>SUM(H51:H51)</f>
        <v>20</v>
      </c>
    </row>
    <row r="50" spans="1:9" ht="19.899999999999999" customHeight="1">
      <c r="A50" s="376">
        <v>9</v>
      </c>
      <c r="B50" s="1041" t="s">
        <v>4973</v>
      </c>
      <c r="C50" s="1042"/>
      <c r="D50" s="1042"/>
      <c r="E50" s="1042"/>
      <c r="F50" s="1042"/>
      <c r="G50" s="1043"/>
      <c r="H50" s="390"/>
    </row>
    <row r="51" spans="1:9" ht="19.899999999999999" customHeight="1">
      <c r="A51" s="376"/>
      <c r="B51" s="606" t="s">
        <v>4494</v>
      </c>
      <c r="C51" s="376">
        <v>2</v>
      </c>
      <c r="D51" s="376">
        <v>10</v>
      </c>
      <c r="E51" s="607" t="s">
        <v>4382</v>
      </c>
      <c r="F51" s="607" t="s">
        <v>4382</v>
      </c>
      <c r="G51" s="607" t="s">
        <v>4382</v>
      </c>
      <c r="H51" s="374">
        <f>PRODUCT(C51:G51)</f>
        <v>20</v>
      </c>
    </row>
    <row r="52" spans="1:9" ht="19.899999999999999" customHeight="1">
      <c r="A52" s="376"/>
      <c r="B52" s="606"/>
      <c r="C52" s="376"/>
      <c r="D52" s="376"/>
      <c r="E52" s="374"/>
      <c r="F52" s="390" t="s">
        <v>2560</v>
      </c>
      <c r="G52" s="390">
        <f>+H51</f>
        <v>20</v>
      </c>
      <c r="H52" s="519" t="s">
        <v>1166</v>
      </c>
    </row>
    <row r="53" spans="1:9" ht="19.899999999999999" customHeight="1">
      <c r="A53" s="376">
        <v>10</v>
      </c>
      <c r="B53" s="1041" t="s">
        <v>4497</v>
      </c>
      <c r="C53" s="1042"/>
      <c r="D53" s="1042"/>
      <c r="E53" s="1042"/>
      <c r="F53" s="1042"/>
      <c r="G53" s="1043"/>
      <c r="H53" s="390"/>
      <c r="I53" s="603" t="e">
        <f>SUM(#REF!)</f>
        <v>#REF!</v>
      </c>
    </row>
    <row r="54" spans="1:9" ht="19.899999999999999" customHeight="1">
      <c r="A54" s="376"/>
      <c r="B54" s="386" t="s">
        <v>3312</v>
      </c>
      <c r="C54" s="618"/>
      <c r="D54" s="618"/>
      <c r="E54" s="374"/>
      <c r="F54" s="390"/>
      <c r="G54" s="390"/>
      <c r="H54" s="374"/>
    </row>
    <row r="55" spans="1:9" ht="19.899999999999999" customHeight="1">
      <c r="A55" s="376"/>
      <c r="B55" s="375" t="s">
        <v>4057</v>
      </c>
      <c r="C55" s="618">
        <v>1</v>
      </c>
      <c r="D55" s="618">
        <v>6</v>
      </c>
      <c r="E55" s="607" t="s">
        <v>4382</v>
      </c>
      <c r="F55" s="607" t="s">
        <v>4382</v>
      </c>
      <c r="G55" s="607" t="s">
        <v>4382</v>
      </c>
      <c r="H55" s="374">
        <f>PRODUCT(C55:G55)</f>
        <v>6</v>
      </c>
    </row>
    <row r="56" spans="1:9" ht="19.899999999999999" customHeight="1">
      <c r="A56" s="376"/>
      <c r="B56" s="375" t="s">
        <v>4058</v>
      </c>
      <c r="C56" s="618">
        <v>1</v>
      </c>
      <c r="D56" s="618">
        <v>2</v>
      </c>
      <c r="E56" s="607" t="s">
        <v>4382</v>
      </c>
      <c r="F56" s="607" t="s">
        <v>4382</v>
      </c>
      <c r="G56" s="607" t="s">
        <v>4382</v>
      </c>
      <c r="H56" s="374">
        <f t="shared" ref="H56:H76" si="1">PRODUCT(C56:G56)</f>
        <v>2</v>
      </c>
    </row>
    <row r="57" spans="1:9" ht="19.899999999999999" customHeight="1">
      <c r="A57" s="376"/>
      <c r="B57" s="375" t="s">
        <v>3802</v>
      </c>
      <c r="C57" s="618">
        <v>1</v>
      </c>
      <c r="D57" s="618">
        <v>1</v>
      </c>
      <c r="E57" s="607" t="s">
        <v>4382</v>
      </c>
      <c r="F57" s="607" t="s">
        <v>4382</v>
      </c>
      <c r="G57" s="607" t="s">
        <v>4382</v>
      </c>
      <c r="H57" s="374">
        <f t="shared" si="1"/>
        <v>1</v>
      </c>
    </row>
    <row r="58" spans="1:9" ht="19.899999999999999" customHeight="1">
      <c r="A58" s="376"/>
      <c r="B58" s="375" t="s">
        <v>4059</v>
      </c>
      <c r="C58" s="618">
        <v>1</v>
      </c>
      <c r="D58" s="618">
        <v>2</v>
      </c>
      <c r="E58" s="607" t="s">
        <v>4382</v>
      </c>
      <c r="F58" s="607" t="s">
        <v>4382</v>
      </c>
      <c r="G58" s="607" t="s">
        <v>4382</v>
      </c>
      <c r="H58" s="374">
        <f t="shared" si="1"/>
        <v>2</v>
      </c>
    </row>
    <row r="59" spans="1:9" ht="19.899999999999999" customHeight="1">
      <c r="A59" s="376"/>
      <c r="B59" s="375" t="s">
        <v>3508</v>
      </c>
      <c r="C59" s="618">
        <v>1</v>
      </c>
      <c r="D59" s="618">
        <v>3</v>
      </c>
      <c r="E59" s="607" t="s">
        <v>4382</v>
      </c>
      <c r="F59" s="607" t="s">
        <v>4382</v>
      </c>
      <c r="G59" s="607" t="s">
        <v>4382</v>
      </c>
      <c r="H59" s="374">
        <f t="shared" si="1"/>
        <v>3</v>
      </c>
    </row>
    <row r="60" spans="1:9" ht="19.899999999999999" customHeight="1">
      <c r="A60" s="376"/>
      <c r="B60" s="375" t="s">
        <v>3506</v>
      </c>
      <c r="C60" s="618">
        <v>1</v>
      </c>
      <c r="D60" s="618">
        <v>2</v>
      </c>
      <c r="E60" s="607" t="s">
        <v>4382</v>
      </c>
      <c r="F60" s="607" t="s">
        <v>4382</v>
      </c>
      <c r="G60" s="607" t="s">
        <v>4382</v>
      </c>
      <c r="H60" s="374">
        <f t="shared" si="1"/>
        <v>2</v>
      </c>
    </row>
    <row r="61" spans="1:9" ht="19.899999999999999" customHeight="1">
      <c r="A61" s="376"/>
      <c r="B61" s="386" t="s">
        <v>3306</v>
      </c>
      <c r="C61" s="618"/>
      <c r="D61" s="618"/>
      <c r="E61" s="607"/>
      <c r="F61" s="607"/>
      <c r="G61" s="607"/>
      <c r="H61" s="374"/>
    </row>
    <row r="62" spans="1:9" ht="19.899999999999999" customHeight="1">
      <c r="A62" s="376"/>
      <c r="B62" s="375" t="s">
        <v>4060</v>
      </c>
      <c r="C62" s="618">
        <v>1</v>
      </c>
      <c r="D62" s="618">
        <v>2</v>
      </c>
      <c r="E62" s="607" t="s">
        <v>4382</v>
      </c>
      <c r="F62" s="607" t="s">
        <v>4382</v>
      </c>
      <c r="G62" s="607" t="s">
        <v>4382</v>
      </c>
      <c r="H62" s="374">
        <f t="shared" si="1"/>
        <v>2</v>
      </c>
    </row>
    <row r="63" spans="1:9" ht="19.899999999999999" customHeight="1">
      <c r="A63" s="376"/>
      <c r="B63" s="375" t="s">
        <v>3852</v>
      </c>
      <c r="C63" s="618">
        <v>1</v>
      </c>
      <c r="D63" s="618">
        <v>2</v>
      </c>
      <c r="E63" s="607" t="s">
        <v>4382</v>
      </c>
      <c r="F63" s="607" t="s">
        <v>4382</v>
      </c>
      <c r="G63" s="607" t="s">
        <v>4382</v>
      </c>
      <c r="H63" s="374">
        <f t="shared" si="1"/>
        <v>2</v>
      </c>
    </row>
    <row r="64" spans="1:9" ht="19.899999999999999" customHeight="1">
      <c r="A64" s="376"/>
      <c r="B64" s="375" t="s">
        <v>4128</v>
      </c>
      <c r="C64" s="618">
        <v>1</v>
      </c>
      <c r="D64" s="618">
        <v>2</v>
      </c>
      <c r="E64" s="607" t="s">
        <v>4382</v>
      </c>
      <c r="F64" s="607" t="s">
        <v>4382</v>
      </c>
      <c r="G64" s="607" t="s">
        <v>4382</v>
      </c>
      <c r="H64" s="374">
        <f t="shared" si="1"/>
        <v>2</v>
      </c>
    </row>
    <row r="65" spans="1:9" ht="19.899999999999999" customHeight="1">
      <c r="A65" s="376"/>
      <c r="B65" s="375" t="s">
        <v>4062</v>
      </c>
      <c r="C65" s="618">
        <v>1</v>
      </c>
      <c r="D65" s="618">
        <v>2</v>
      </c>
      <c r="E65" s="607" t="s">
        <v>4382</v>
      </c>
      <c r="F65" s="607" t="s">
        <v>4382</v>
      </c>
      <c r="G65" s="607" t="s">
        <v>4382</v>
      </c>
      <c r="H65" s="374">
        <f t="shared" si="1"/>
        <v>2</v>
      </c>
    </row>
    <row r="66" spans="1:9" ht="19.899999999999999" customHeight="1">
      <c r="A66" s="376"/>
      <c r="B66" s="375" t="s">
        <v>4063</v>
      </c>
      <c r="C66" s="618">
        <v>1</v>
      </c>
      <c r="D66" s="618">
        <v>2</v>
      </c>
      <c r="E66" s="607" t="s">
        <v>4382</v>
      </c>
      <c r="F66" s="607" t="s">
        <v>4382</v>
      </c>
      <c r="G66" s="607" t="s">
        <v>4382</v>
      </c>
      <c r="H66" s="374">
        <f t="shared" si="1"/>
        <v>2</v>
      </c>
    </row>
    <row r="67" spans="1:9" ht="19.899999999999999" customHeight="1">
      <c r="A67" s="376"/>
      <c r="B67" s="375" t="s">
        <v>4064</v>
      </c>
      <c r="C67" s="618">
        <v>1</v>
      </c>
      <c r="D67" s="618">
        <v>3</v>
      </c>
      <c r="E67" s="607" t="s">
        <v>4382</v>
      </c>
      <c r="F67" s="607" t="s">
        <v>4382</v>
      </c>
      <c r="G67" s="607" t="s">
        <v>4382</v>
      </c>
      <c r="H67" s="374">
        <f t="shared" si="1"/>
        <v>3</v>
      </c>
    </row>
    <row r="68" spans="1:9" ht="19.899999999999999" customHeight="1">
      <c r="A68" s="376"/>
      <c r="B68" s="375" t="s">
        <v>3857</v>
      </c>
      <c r="C68" s="618">
        <v>1</v>
      </c>
      <c r="D68" s="618">
        <v>3</v>
      </c>
      <c r="E68" s="607" t="s">
        <v>4382</v>
      </c>
      <c r="F68" s="607" t="s">
        <v>4382</v>
      </c>
      <c r="G68" s="607" t="s">
        <v>4382</v>
      </c>
      <c r="H68" s="374">
        <f t="shared" si="1"/>
        <v>3</v>
      </c>
    </row>
    <row r="69" spans="1:9" ht="19.899999999999999" customHeight="1">
      <c r="A69" s="376"/>
      <c r="B69" s="386" t="s">
        <v>4065</v>
      </c>
      <c r="C69" s="618"/>
      <c r="D69" s="618"/>
      <c r="E69" s="607"/>
      <c r="F69" s="607"/>
      <c r="G69" s="607"/>
      <c r="H69" s="374"/>
    </row>
    <row r="70" spans="1:9" ht="19.899999999999999" customHeight="1">
      <c r="A70" s="376"/>
      <c r="B70" s="375" t="s">
        <v>4060</v>
      </c>
      <c r="C70" s="618">
        <v>1</v>
      </c>
      <c r="D70" s="618">
        <v>2</v>
      </c>
      <c r="E70" s="607" t="s">
        <v>4382</v>
      </c>
      <c r="F70" s="607" t="s">
        <v>4382</v>
      </c>
      <c r="G70" s="607" t="s">
        <v>4382</v>
      </c>
      <c r="H70" s="374">
        <f t="shared" si="1"/>
        <v>2</v>
      </c>
    </row>
    <row r="71" spans="1:9" ht="19.899999999999999" customHeight="1">
      <c r="A71" s="376"/>
      <c r="B71" s="375" t="s">
        <v>4063</v>
      </c>
      <c r="C71" s="618">
        <v>1</v>
      </c>
      <c r="D71" s="618">
        <v>2</v>
      </c>
      <c r="E71" s="607" t="s">
        <v>4382</v>
      </c>
      <c r="F71" s="607" t="s">
        <v>4382</v>
      </c>
      <c r="G71" s="607" t="s">
        <v>4382</v>
      </c>
      <c r="H71" s="374">
        <f t="shared" si="1"/>
        <v>2</v>
      </c>
    </row>
    <row r="72" spans="1:9" ht="19.899999999999999" customHeight="1">
      <c r="A72" s="376"/>
      <c r="B72" s="375" t="s">
        <v>4061</v>
      </c>
      <c r="C72" s="618">
        <v>1</v>
      </c>
      <c r="D72" s="618">
        <v>2</v>
      </c>
      <c r="E72" s="607" t="s">
        <v>4382</v>
      </c>
      <c r="F72" s="607" t="s">
        <v>4382</v>
      </c>
      <c r="G72" s="607" t="s">
        <v>4382</v>
      </c>
      <c r="H72" s="374">
        <f t="shared" si="1"/>
        <v>2</v>
      </c>
    </row>
    <row r="73" spans="1:9" ht="19.899999999999999" customHeight="1">
      <c r="A73" s="376"/>
      <c r="B73" s="375" t="s">
        <v>4066</v>
      </c>
      <c r="C73" s="618">
        <v>1</v>
      </c>
      <c r="D73" s="618">
        <v>1</v>
      </c>
      <c r="E73" s="607" t="s">
        <v>4382</v>
      </c>
      <c r="F73" s="607" t="s">
        <v>4382</v>
      </c>
      <c r="G73" s="607" t="s">
        <v>4382</v>
      </c>
      <c r="H73" s="374">
        <f t="shared" si="1"/>
        <v>1</v>
      </c>
    </row>
    <row r="74" spans="1:9" ht="19.899999999999999" customHeight="1">
      <c r="A74" s="376"/>
      <c r="B74" s="375" t="s">
        <v>4067</v>
      </c>
      <c r="C74" s="618">
        <v>3</v>
      </c>
      <c r="D74" s="618">
        <v>2</v>
      </c>
      <c r="E74" s="607" t="s">
        <v>4382</v>
      </c>
      <c r="F74" s="607" t="s">
        <v>4382</v>
      </c>
      <c r="G74" s="607" t="s">
        <v>4382</v>
      </c>
      <c r="H74" s="374">
        <f t="shared" si="1"/>
        <v>6</v>
      </c>
    </row>
    <row r="75" spans="1:9" ht="19.899999999999999" customHeight="1">
      <c r="A75" s="376"/>
      <c r="B75" s="375" t="s">
        <v>4064</v>
      </c>
      <c r="C75" s="618">
        <v>1</v>
      </c>
      <c r="D75" s="618">
        <v>3</v>
      </c>
      <c r="E75" s="607" t="s">
        <v>4382</v>
      </c>
      <c r="F75" s="607" t="s">
        <v>4382</v>
      </c>
      <c r="G75" s="607" t="s">
        <v>4382</v>
      </c>
      <c r="H75" s="374">
        <f t="shared" si="1"/>
        <v>3</v>
      </c>
    </row>
    <row r="76" spans="1:9" ht="19.899999999999999" customHeight="1">
      <c r="A76" s="376"/>
      <c r="B76" s="375" t="s">
        <v>4068</v>
      </c>
      <c r="C76" s="618">
        <v>1</v>
      </c>
      <c r="D76" s="618">
        <v>2</v>
      </c>
      <c r="E76" s="607" t="s">
        <v>4382</v>
      </c>
      <c r="F76" s="607" t="s">
        <v>4382</v>
      </c>
      <c r="G76" s="607" t="s">
        <v>4382</v>
      </c>
      <c r="H76" s="374">
        <f t="shared" si="1"/>
        <v>2</v>
      </c>
    </row>
    <row r="77" spans="1:9" ht="19.899999999999999" customHeight="1">
      <c r="A77" s="376"/>
      <c r="B77" s="619"/>
      <c r="C77" s="376"/>
      <c r="D77" s="376"/>
      <c r="E77" s="374"/>
      <c r="F77" s="390"/>
      <c r="G77" s="390"/>
      <c r="H77" s="374">
        <f>SUM(H54:H76)</f>
        <v>50</v>
      </c>
    </row>
    <row r="78" spans="1:9" ht="19.899999999999999" customHeight="1">
      <c r="A78" s="376"/>
      <c r="B78" s="606"/>
      <c r="C78" s="376"/>
      <c r="D78" s="376"/>
      <c r="E78" s="374"/>
      <c r="F78" s="390" t="s">
        <v>2560</v>
      </c>
      <c r="G78" s="390">
        <f>+H77</f>
        <v>50</v>
      </c>
      <c r="H78" s="519" t="s">
        <v>1166</v>
      </c>
      <c r="I78" s="603">
        <f>SUM(H132:H132)</f>
        <v>6</v>
      </c>
    </row>
    <row r="79" spans="1:9" ht="19.899999999999999" customHeight="1">
      <c r="A79" s="376">
        <v>11</v>
      </c>
      <c r="B79" s="1041" t="s">
        <v>4498</v>
      </c>
      <c r="C79" s="1042"/>
      <c r="D79" s="1042"/>
      <c r="E79" s="1042"/>
      <c r="F79" s="1042"/>
      <c r="G79" s="1043"/>
      <c r="H79" s="390"/>
    </row>
    <row r="80" spans="1:9" ht="19.899999999999999" customHeight="1">
      <c r="A80" s="376"/>
      <c r="B80" s="386" t="s">
        <v>3312</v>
      </c>
      <c r="C80" s="618"/>
      <c r="D80" s="618"/>
      <c r="E80" s="374"/>
      <c r="F80" s="390"/>
      <c r="G80" s="390"/>
      <c r="H80" s="374"/>
    </row>
    <row r="81" spans="1:8" ht="19.899999999999999" customHeight="1">
      <c r="A81" s="376"/>
      <c r="B81" s="375" t="s">
        <v>4085</v>
      </c>
      <c r="C81" s="618">
        <v>1</v>
      </c>
      <c r="D81" s="618">
        <v>4</v>
      </c>
      <c r="E81" s="607" t="s">
        <v>4382</v>
      </c>
      <c r="F81" s="607" t="s">
        <v>4382</v>
      </c>
      <c r="G81" s="607" t="s">
        <v>4382</v>
      </c>
      <c r="H81" s="374">
        <f t="shared" ref="H81:H82" si="2">PRODUCT(C81:G81)</f>
        <v>4</v>
      </c>
    </row>
    <row r="82" spans="1:8" ht="19.899999999999999" customHeight="1">
      <c r="A82" s="376"/>
      <c r="B82" s="375" t="s">
        <v>4086</v>
      </c>
      <c r="C82" s="618">
        <v>1</v>
      </c>
      <c r="D82" s="618">
        <v>2</v>
      </c>
      <c r="E82" s="607" t="s">
        <v>4382</v>
      </c>
      <c r="F82" s="607" t="s">
        <v>4382</v>
      </c>
      <c r="G82" s="607" t="s">
        <v>4382</v>
      </c>
      <c r="H82" s="374">
        <f t="shared" si="2"/>
        <v>2</v>
      </c>
    </row>
    <row r="83" spans="1:8" ht="19.899999999999999" customHeight="1">
      <c r="A83" s="376"/>
      <c r="B83" s="619"/>
      <c r="C83" s="376"/>
      <c r="D83" s="376"/>
      <c r="E83" s="374"/>
      <c r="F83" s="390"/>
      <c r="G83" s="390" t="s">
        <v>1827</v>
      </c>
      <c r="H83" s="374">
        <f>SUM(H80:H82)</f>
        <v>6</v>
      </c>
    </row>
    <row r="84" spans="1:8" ht="19.899999999999999" customHeight="1">
      <c r="A84" s="376"/>
      <c r="B84" s="606"/>
      <c r="C84" s="376"/>
      <c r="D84" s="376"/>
      <c r="E84" s="374"/>
      <c r="F84" s="390" t="s">
        <v>2560</v>
      </c>
      <c r="G84" s="390">
        <f>+H83</f>
        <v>6</v>
      </c>
      <c r="H84" s="519" t="s">
        <v>1166</v>
      </c>
    </row>
    <row r="85" spans="1:8" ht="19.899999999999999" customHeight="1">
      <c r="A85" s="376">
        <v>12</v>
      </c>
      <c r="B85" s="1041" t="s">
        <v>4499</v>
      </c>
      <c r="C85" s="1042"/>
      <c r="D85" s="1042"/>
      <c r="E85" s="1042"/>
      <c r="F85" s="1042"/>
      <c r="G85" s="1043"/>
      <c r="H85" s="390"/>
    </row>
    <row r="86" spans="1:8" ht="19.899999999999999" customHeight="1">
      <c r="A86" s="376"/>
      <c r="B86" s="606" t="s">
        <v>4974</v>
      </c>
      <c r="C86" s="376"/>
      <c r="D86" s="376"/>
      <c r="E86" s="374"/>
      <c r="F86" s="390"/>
      <c r="G86" s="390"/>
      <c r="H86" s="390"/>
    </row>
    <row r="87" spans="1:8" ht="19.899999999999999" customHeight="1">
      <c r="A87" s="376"/>
      <c r="B87" s="619" t="s">
        <v>4044</v>
      </c>
      <c r="C87" s="616"/>
      <c r="D87" s="616"/>
      <c r="E87" s="374"/>
      <c r="F87" s="390"/>
      <c r="G87" s="390"/>
      <c r="H87" s="374"/>
    </row>
    <row r="88" spans="1:8" ht="19.899999999999999" customHeight="1">
      <c r="A88" s="376"/>
      <c r="B88" s="375" t="s">
        <v>3312</v>
      </c>
      <c r="C88" s="618"/>
      <c r="D88" s="618"/>
      <c r="E88" s="607"/>
      <c r="F88" s="607"/>
      <c r="G88" s="607"/>
      <c r="H88" s="374"/>
    </row>
    <row r="89" spans="1:8" ht="19.899999999999999" customHeight="1">
      <c r="A89" s="376"/>
      <c r="B89" s="375" t="s">
        <v>3810</v>
      </c>
      <c r="C89" s="618">
        <v>1</v>
      </c>
      <c r="D89" s="618">
        <v>2</v>
      </c>
      <c r="E89" s="607" t="s">
        <v>4382</v>
      </c>
      <c r="F89" s="607" t="s">
        <v>4382</v>
      </c>
      <c r="G89" s="607" t="s">
        <v>4382</v>
      </c>
      <c r="H89" s="374">
        <f t="shared" ref="H89:H123" si="3">PRODUCT(C89:G89)</f>
        <v>2</v>
      </c>
    </row>
    <row r="90" spans="1:8" ht="19.899999999999999" customHeight="1">
      <c r="A90" s="376"/>
      <c r="B90" s="375" t="s">
        <v>3814</v>
      </c>
      <c r="C90" s="618">
        <v>1</v>
      </c>
      <c r="D90" s="618">
        <v>1</v>
      </c>
      <c r="E90" s="607" t="s">
        <v>4382</v>
      </c>
      <c r="F90" s="607" t="s">
        <v>4382</v>
      </c>
      <c r="G90" s="607" t="s">
        <v>4382</v>
      </c>
      <c r="H90" s="374">
        <f t="shared" si="3"/>
        <v>1</v>
      </c>
    </row>
    <row r="91" spans="1:8" ht="19.899999999999999" customHeight="1">
      <c r="A91" s="376"/>
      <c r="B91" s="375" t="s">
        <v>3509</v>
      </c>
      <c r="C91" s="618">
        <v>1</v>
      </c>
      <c r="D91" s="618">
        <v>1</v>
      </c>
      <c r="E91" s="607" t="s">
        <v>4382</v>
      </c>
      <c r="F91" s="607" t="s">
        <v>4382</v>
      </c>
      <c r="G91" s="607" t="s">
        <v>4382</v>
      </c>
      <c r="H91" s="374">
        <f t="shared" si="3"/>
        <v>1</v>
      </c>
    </row>
    <row r="92" spans="1:8" ht="19.899999999999999" customHeight="1">
      <c r="A92" s="376"/>
      <c r="B92" s="375" t="s">
        <v>3813</v>
      </c>
      <c r="C92" s="618">
        <v>1</v>
      </c>
      <c r="D92" s="618">
        <v>1</v>
      </c>
      <c r="E92" s="607" t="s">
        <v>4382</v>
      </c>
      <c r="F92" s="607" t="s">
        <v>4382</v>
      </c>
      <c r="G92" s="607" t="s">
        <v>4382</v>
      </c>
      <c r="H92" s="374">
        <f t="shared" si="3"/>
        <v>1</v>
      </c>
    </row>
    <row r="93" spans="1:8" ht="19.899999999999999" customHeight="1">
      <c r="A93" s="376"/>
      <c r="B93" s="375" t="s">
        <v>4089</v>
      </c>
      <c r="C93" s="618">
        <v>1</v>
      </c>
      <c r="D93" s="618">
        <v>2</v>
      </c>
      <c r="E93" s="607" t="s">
        <v>4382</v>
      </c>
      <c r="F93" s="607" t="s">
        <v>4382</v>
      </c>
      <c r="G93" s="607" t="s">
        <v>4382</v>
      </c>
      <c r="H93" s="374">
        <f t="shared" si="3"/>
        <v>2</v>
      </c>
    </row>
    <row r="94" spans="1:8" ht="19.899999999999999" customHeight="1">
      <c r="A94" s="376"/>
      <c r="B94" s="375" t="s">
        <v>4090</v>
      </c>
      <c r="C94" s="618">
        <v>1</v>
      </c>
      <c r="D94" s="618">
        <v>2</v>
      </c>
      <c r="E94" s="607" t="s">
        <v>4382</v>
      </c>
      <c r="F94" s="607" t="s">
        <v>4382</v>
      </c>
      <c r="G94" s="607" t="s">
        <v>4382</v>
      </c>
      <c r="H94" s="374">
        <f t="shared" si="3"/>
        <v>2</v>
      </c>
    </row>
    <row r="95" spans="1:8" ht="19.899999999999999" customHeight="1">
      <c r="A95" s="376"/>
      <c r="B95" s="375" t="s">
        <v>4091</v>
      </c>
      <c r="C95" s="618">
        <v>1</v>
      </c>
      <c r="D95" s="618">
        <v>2</v>
      </c>
      <c r="E95" s="607" t="s">
        <v>4382</v>
      </c>
      <c r="F95" s="607" t="s">
        <v>4382</v>
      </c>
      <c r="G95" s="607" t="s">
        <v>4382</v>
      </c>
      <c r="H95" s="374">
        <f t="shared" si="3"/>
        <v>2</v>
      </c>
    </row>
    <row r="96" spans="1:8" ht="19.899999999999999" customHeight="1">
      <c r="A96" s="376"/>
      <c r="B96" s="375" t="s">
        <v>4092</v>
      </c>
      <c r="C96" s="618">
        <v>1</v>
      </c>
      <c r="D96" s="618">
        <v>1</v>
      </c>
      <c r="E96" s="607" t="s">
        <v>4382</v>
      </c>
      <c r="F96" s="607" t="s">
        <v>4382</v>
      </c>
      <c r="G96" s="607" t="s">
        <v>4382</v>
      </c>
      <c r="H96" s="374">
        <f t="shared" si="3"/>
        <v>1</v>
      </c>
    </row>
    <row r="97" spans="1:8" ht="19.899999999999999" customHeight="1">
      <c r="A97" s="376"/>
      <c r="B97" s="375" t="s">
        <v>4093</v>
      </c>
      <c r="C97" s="618">
        <v>1</v>
      </c>
      <c r="D97" s="618">
        <v>2</v>
      </c>
      <c r="E97" s="607" t="s">
        <v>4382</v>
      </c>
      <c r="F97" s="607" t="s">
        <v>4382</v>
      </c>
      <c r="G97" s="607" t="s">
        <v>4382</v>
      </c>
      <c r="H97" s="374">
        <f t="shared" si="3"/>
        <v>2</v>
      </c>
    </row>
    <row r="98" spans="1:8" ht="19.899999999999999" customHeight="1">
      <c r="A98" s="376"/>
      <c r="B98" s="375" t="s">
        <v>4094</v>
      </c>
      <c r="C98" s="618">
        <v>1</v>
      </c>
      <c r="D98" s="618">
        <v>2</v>
      </c>
      <c r="E98" s="607" t="s">
        <v>4382</v>
      </c>
      <c r="F98" s="607" t="s">
        <v>4382</v>
      </c>
      <c r="G98" s="607" t="s">
        <v>4382</v>
      </c>
      <c r="H98" s="374">
        <f t="shared" si="3"/>
        <v>2</v>
      </c>
    </row>
    <row r="99" spans="1:8" ht="19.899999999999999" customHeight="1">
      <c r="A99" s="376"/>
      <c r="B99" s="375" t="s">
        <v>4095</v>
      </c>
      <c r="C99" s="618">
        <v>1</v>
      </c>
      <c r="D99" s="618">
        <v>1</v>
      </c>
      <c r="E99" s="607" t="s">
        <v>4382</v>
      </c>
      <c r="F99" s="607" t="s">
        <v>4382</v>
      </c>
      <c r="G99" s="607" t="s">
        <v>4382</v>
      </c>
      <c r="H99" s="374">
        <f t="shared" si="3"/>
        <v>1</v>
      </c>
    </row>
    <row r="100" spans="1:8" ht="19.899999999999999" customHeight="1">
      <c r="A100" s="376"/>
      <c r="B100" s="620" t="s">
        <v>4096</v>
      </c>
      <c r="C100" s="616"/>
      <c r="D100" s="616"/>
      <c r="E100" s="607"/>
      <c r="F100" s="607"/>
      <c r="G100" s="607"/>
      <c r="H100" s="374"/>
    </row>
    <row r="101" spans="1:8" ht="19.899999999999999" customHeight="1">
      <c r="A101" s="376"/>
      <c r="B101" s="386" t="s">
        <v>3312</v>
      </c>
      <c r="C101" s="618"/>
      <c r="D101" s="618"/>
      <c r="E101" s="607"/>
      <c r="F101" s="607"/>
      <c r="G101" s="607"/>
      <c r="H101" s="374"/>
    </row>
    <row r="102" spans="1:8" ht="19.899999999999999" customHeight="1">
      <c r="A102" s="376"/>
      <c r="B102" s="375" t="s">
        <v>3506</v>
      </c>
      <c r="C102" s="618">
        <v>1</v>
      </c>
      <c r="D102" s="618">
        <v>1</v>
      </c>
      <c r="E102" s="607" t="s">
        <v>4382</v>
      </c>
      <c r="F102" s="607" t="s">
        <v>4382</v>
      </c>
      <c r="G102" s="607" t="s">
        <v>4382</v>
      </c>
      <c r="H102" s="374">
        <f t="shared" si="3"/>
        <v>1</v>
      </c>
    </row>
    <row r="103" spans="1:8" ht="19.899999999999999" customHeight="1">
      <c r="A103" s="376"/>
      <c r="B103" s="375" t="s">
        <v>3849</v>
      </c>
      <c r="C103" s="618">
        <v>1</v>
      </c>
      <c r="D103" s="618">
        <v>1</v>
      </c>
      <c r="E103" s="607" t="s">
        <v>4382</v>
      </c>
      <c r="F103" s="607" t="s">
        <v>4382</v>
      </c>
      <c r="G103" s="607" t="s">
        <v>4382</v>
      </c>
      <c r="H103" s="374">
        <f t="shared" si="3"/>
        <v>1</v>
      </c>
    </row>
    <row r="104" spans="1:8" ht="19.899999999999999" customHeight="1">
      <c r="A104" s="376"/>
      <c r="B104" s="375" t="s">
        <v>4059</v>
      </c>
      <c r="C104" s="618">
        <v>1</v>
      </c>
      <c r="D104" s="618">
        <v>1</v>
      </c>
      <c r="E104" s="607" t="s">
        <v>4382</v>
      </c>
      <c r="F104" s="607" t="s">
        <v>4382</v>
      </c>
      <c r="G104" s="607" t="s">
        <v>4382</v>
      </c>
      <c r="H104" s="374">
        <f t="shared" si="3"/>
        <v>1</v>
      </c>
    </row>
    <row r="105" spans="1:8" ht="19.899999999999999" customHeight="1">
      <c r="A105" s="376"/>
      <c r="B105" s="386" t="s">
        <v>3306</v>
      </c>
      <c r="C105" s="618"/>
      <c r="D105" s="618"/>
      <c r="E105" s="607"/>
      <c r="F105" s="607"/>
      <c r="G105" s="607"/>
      <c r="H105" s="374"/>
    </row>
    <row r="106" spans="1:8" ht="19.899999999999999" customHeight="1">
      <c r="A106" s="376"/>
      <c r="B106" s="375" t="s">
        <v>3295</v>
      </c>
      <c r="C106" s="618">
        <v>1</v>
      </c>
      <c r="D106" s="618">
        <v>1</v>
      </c>
      <c r="E106" s="607" t="s">
        <v>4382</v>
      </c>
      <c r="F106" s="607" t="s">
        <v>4382</v>
      </c>
      <c r="G106" s="607" t="s">
        <v>4382</v>
      </c>
      <c r="H106" s="374">
        <f t="shared" si="3"/>
        <v>1</v>
      </c>
    </row>
    <row r="107" spans="1:8" ht="19.899999999999999" customHeight="1">
      <c r="A107" s="376"/>
      <c r="B107" s="375" t="s">
        <v>3852</v>
      </c>
      <c r="C107" s="618">
        <v>1</v>
      </c>
      <c r="D107" s="618">
        <v>1</v>
      </c>
      <c r="E107" s="607" t="s">
        <v>4382</v>
      </c>
      <c r="F107" s="607" t="s">
        <v>4382</v>
      </c>
      <c r="G107" s="607" t="s">
        <v>4382</v>
      </c>
      <c r="H107" s="374">
        <f t="shared" si="3"/>
        <v>1</v>
      </c>
    </row>
    <row r="108" spans="1:8" ht="19.899999999999999" customHeight="1">
      <c r="A108" s="376"/>
      <c r="B108" s="375" t="s">
        <v>4070</v>
      </c>
      <c r="C108" s="618">
        <v>1</v>
      </c>
      <c r="D108" s="618">
        <v>2</v>
      </c>
      <c r="E108" s="607" t="s">
        <v>4382</v>
      </c>
      <c r="F108" s="607" t="s">
        <v>4382</v>
      </c>
      <c r="G108" s="607" t="s">
        <v>4382</v>
      </c>
      <c r="H108" s="374">
        <f t="shared" si="3"/>
        <v>2</v>
      </c>
    </row>
    <row r="109" spans="1:8" ht="19.899999999999999" customHeight="1">
      <c r="A109" s="376"/>
      <c r="B109" s="375" t="s">
        <v>3855</v>
      </c>
      <c r="C109" s="618">
        <v>1</v>
      </c>
      <c r="D109" s="618">
        <v>2</v>
      </c>
      <c r="E109" s="607" t="s">
        <v>4382</v>
      </c>
      <c r="F109" s="607" t="s">
        <v>4382</v>
      </c>
      <c r="G109" s="607" t="s">
        <v>4382</v>
      </c>
      <c r="H109" s="374">
        <f t="shared" si="3"/>
        <v>2</v>
      </c>
    </row>
    <row r="110" spans="1:8" ht="19.899999999999999" customHeight="1">
      <c r="A110" s="376"/>
      <c r="B110" s="375" t="s">
        <v>4064</v>
      </c>
      <c r="C110" s="618">
        <v>1</v>
      </c>
      <c r="D110" s="618">
        <v>2</v>
      </c>
      <c r="E110" s="607" t="s">
        <v>4382</v>
      </c>
      <c r="F110" s="607" t="s">
        <v>4382</v>
      </c>
      <c r="G110" s="607" t="s">
        <v>4382</v>
      </c>
      <c r="H110" s="374">
        <f t="shared" si="3"/>
        <v>2</v>
      </c>
    </row>
    <row r="111" spans="1:8" ht="19.899999999999999" customHeight="1">
      <c r="A111" s="376"/>
      <c r="B111" s="375" t="s">
        <v>3856</v>
      </c>
      <c r="C111" s="618">
        <v>1</v>
      </c>
      <c r="D111" s="618">
        <v>1</v>
      </c>
      <c r="E111" s="607" t="s">
        <v>4382</v>
      </c>
      <c r="F111" s="607" t="s">
        <v>4382</v>
      </c>
      <c r="G111" s="607" t="s">
        <v>4382</v>
      </c>
      <c r="H111" s="374">
        <f t="shared" si="3"/>
        <v>1</v>
      </c>
    </row>
    <row r="112" spans="1:8" ht="19.899999999999999" customHeight="1">
      <c r="A112" s="376"/>
      <c r="B112" s="375" t="s">
        <v>3857</v>
      </c>
      <c r="C112" s="618">
        <v>1</v>
      </c>
      <c r="D112" s="618">
        <v>2</v>
      </c>
      <c r="E112" s="607" t="s">
        <v>4382</v>
      </c>
      <c r="F112" s="607" t="s">
        <v>4382</v>
      </c>
      <c r="G112" s="607" t="s">
        <v>4382</v>
      </c>
      <c r="H112" s="374">
        <f t="shared" si="3"/>
        <v>2</v>
      </c>
    </row>
    <row r="113" spans="1:8" ht="19.899999999999999" customHeight="1">
      <c r="A113" s="376"/>
      <c r="B113" s="375" t="s">
        <v>4071</v>
      </c>
      <c r="C113" s="618">
        <v>1</v>
      </c>
      <c r="D113" s="618">
        <v>2</v>
      </c>
      <c r="E113" s="607" t="s">
        <v>4382</v>
      </c>
      <c r="F113" s="607" t="s">
        <v>4382</v>
      </c>
      <c r="G113" s="607" t="s">
        <v>4382</v>
      </c>
      <c r="H113" s="374">
        <f t="shared" si="3"/>
        <v>2</v>
      </c>
    </row>
    <row r="114" spans="1:8" ht="19.899999999999999" customHeight="1">
      <c r="A114" s="376"/>
      <c r="B114" s="386" t="s">
        <v>4043</v>
      </c>
      <c r="C114" s="618"/>
      <c r="D114" s="618"/>
      <c r="E114" s="607"/>
      <c r="F114" s="607"/>
      <c r="G114" s="607"/>
      <c r="H114" s="374"/>
    </row>
    <row r="115" spans="1:8" ht="19.899999999999999" customHeight="1">
      <c r="A115" s="376"/>
      <c r="B115" s="375" t="s">
        <v>3295</v>
      </c>
      <c r="C115" s="618">
        <v>1</v>
      </c>
      <c r="D115" s="618">
        <v>1</v>
      </c>
      <c r="E115" s="607" t="s">
        <v>4382</v>
      </c>
      <c r="F115" s="607" t="s">
        <v>4382</v>
      </c>
      <c r="G115" s="607" t="s">
        <v>4382</v>
      </c>
      <c r="H115" s="374">
        <f t="shared" si="3"/>
        <v>1</v>
      </c>
    </row>
    <row r="116" spans="1:8" ht="19.899999999999999" customHeight="1">
      <c r="A116" s="376"/>
      <c r="B116" s="375" t="s">
        <v>3856</v>
      </c>
      <c r="C116" s="618">
        <v>1</v>
      </c>
      <c r="D116" s="618">
        <v>1</v>
      </c>
      <c r="E116" s="607" t="s">
        <v>4382</v>
      </c>
      <c r="F116" s="607" t="s">
        <v>4382</v>
      </c>
      <c r="G116" s="607" t="s">
        <v>4382</v>
      </c>
      <c r="H116" s="374">
        <f t="shared" si="3"/>
        <v>1</v>
      </c>
    </row>
    <row r="117" spans="1:8" ht="19.899999999999999" customHeight="1">
      <c r="A117" s="376"/>
      <c r="B117" s="375" t="s">
        <v>3858</v>
      </c>
      <c r="C117" s="618">
        <v>1</v>
      </c>
      <c r="D117" s="618">
        <v>2</v>
      </c>
      <c r="E117" s="607" t="s">
        <v>4382</v>
      </c>
      <c r="F117" s="607" t="s">
        <v>4382</v>
      </c>
      <c r="G117" s="607" t="s">
        <v>4382</v>
      </c>
      <c r="H117" s="374">
        <f t="shared" si="3"/>
        <v>2</v>
      </c>
    </row>
    <row r="118" spans="1:8" ht="19.899999999999999" customHeight="1">
      <c r="A118" s="376"/>
      <c r="B118" s="375" t="s">
        <v>3939</v>
      </c>
      <c r="C118" s="618">
        <v>1</v>
      </c>
      <c r="D118" s="618">
        <v>2</v>
      </c>
      <c r="E118" s="607" t="s">
        <v>4382</v>
      </c>
      <c r="F118" s="607" t="s">
        <v>4382</v>
      </c>
      <c r="G118" s="607" t="s">
        <v>4382</v>
      </c>
      <c r="H118" s="374">
        <f t="shared" si="3"/>
        <v>2</v>
      </c>
    </row>
    <row r="119" spans="1:8" ht="19.899999999999999" customHeight="1">
      <c r="A119" s="376"/>
      <c r="B119" s="375" t="s">
        <v>3940</v>
      </c>
      <c r="C119" s="618">
        <v>1</v>
      </c>
      <c r="D119" s="618">
        <v>1</v>
      </c>
      <c r="E119" s="607" t="s">
        <v>4382</v>
      </c>
      <c r="F119" s="607" t="s">
        <v>4382</v>
      </c>
      <c r="G119" s="607" t="s">
        <v>4382</v>
      </c>
      <c r="H119" s="374">
        <f t="shared" si="3"/>
        <v>1</v>
      </c>
    </row>
    <row r="120" spans="1:8" ht="19.899999999999999" customHeight="1">
      <c r="A120" s="376"/>
      <c r="B120" s="375" t="s">
        <v>3344</v>
      </c>
      <c r="C120" s="618">
        <v>1</v>
      </c>
      <c r="D120" s="618">
        <v>1</v>
      </c>
      <c r="E120" s="607" t="s">
        <v>4382</v>
      </c>
      <c r="F120" s="607" t="s">
        <v>4382</v>
      </c>
      <c r="G120" s="607" t="s">
        <v>4382</v>
      </c>
      <c r="H120" s="374">
        <f t="shared" si="3"/>
        <v>1</v>
      </c>
    </row>
    <row r="121" spans="1:8" ht="19.899999999999999" customHeight="1">
      <c r="A121" s="376"/>
      <c r="B121" s="375" t="s">
        <v>4072</v>
      </c>
      <c r="C121" s="618">
        <v>1</v>
      </c>
      <c r="D121" s="618">
        <v>1</v>
      </c>
      <c r="E121" s="607" t="s">
        <v>4382</v>
      </c>
      <c r="F121" s="607" t="s">
        <v>4382</v>
      </c>
      <c r="G121" s="607" t="s">
        <v>4382</v>
      </c>
      <c r="H121" s="374">
        <f t="shared" si="3"/>
        <v>1</v>
      </c>
    </row>
    <row r="122" spans="1:8" ht="19.899999999999999" customHeight="1">
      <c r="A122" s="376"/>
      <c r="B122" s="375" t="s">
        <v>4097</v>
      </c>
      <c r="C122" s="618">
        <v>1</v>
      </c>
      <c r="D122" s="618">
        <v>2</v>
      </c>
      <c r="E122" s="607" t="s">
        <v>4382</v>
      </c>
      <c r="F122" s="607" t="s">
        <v>4382</v>
      </c>
      <c r="G122" s="607" t="s">
        <v>4382</v>
      </c>
      <c r="H122" s="374">
        <f t="shared" si="3"/>
        <v>2</v>
      </c>
    </row>
    <row r="123" spans="1:8" ht="19.899999999999999" customHeight="1">
      <c r="A123" s="376"/>
      <c r="B123" s="375" t="s">
        <v>4073</v>
      </c>
      <c r="C123" s="618">
        <v>1</v>
      </c>
      <c r="D123" s="618">
        <v>3</v>
      </c>
      <c r="E123" s="607" t="s">
        <v>4382</v>
      </c>
      <c r="F123" s="607" t="s">
        <v>4382</v>
      </c>
      <c r="G123" s="607" t="s">
        <v>4382</v>
      </c>
      <c r="H123" s="374">
        <f t="shared" si="3"/>
        <v>3</v>
      </c>
    </row>
    <row r="124" spans="1:8" ht="19.899999999999999" customHeight="1">
      <c r="A124" s="376"/>
      <c r="B124" s="606"/>
      <c r="C124" s="376"/>
      <c r="D124" s="376"/>
      <c r="E124" s="374"/>
      <c r="F124" s="390"/>
      <c r="G124" s="374" t="s">
        <v>1827</v>
      </c>
      <c r="H124" s="374">
        <f>SUM(H87:H123)</f>
        <v>47</v>
      </c>
    </row>
    <row r="125" spans="1:8" ht="19.899999999999999" customHeight="1">
      <c r="A125" s="376"/>
      <c r="B125" s="606"/>
      <c r="C125" s="376"/>
      <c r="D125" s="376"/>
      <c r="E125" s="374"/>
      <c r="F125" s="390" t="s">
        <v>2560</v>
      </c>
      <c r="G125" s="390">
        <f>+H124</f>
        <v>47</v>
      </c>
      <c r="H125" s="519" t="s">
        <v>1166</v>
      </c>
    </row>
    <row r="126" spans="1:8" ht="19.899999999999999" customHeight="1">
      <c r="A126" s="376">
        <v>13</v>
      </c>
      <c r="B126" s="1041" t="s">
        <v>4500</v>
      </c>
      <c r="C126" s="1042"/>
      <c r="D126" s="1042"/>
      <c r="E126" s="1042"/>
      <c r="F126" s="1042"/>
      <c r="G126" s="1043"/>
      <c r="H126" s="390"/>
    </row>
    <row r="127" spans="1:8" ht="20.100000000000001" customHeight="1">
      <c r="A127" s="376"/>
      <c r="B127" s="375" t="s">
        <v>4085</v>
      </c>
      <c r="C127" s="618">
        <v>1</v>
      </c>
      <c r="D127" s="618">
        <v>4</v>
      </c>
      <c r="E127" s="607" t="s">
        <v>4382</v>
      </c>
      <c r="F127" s="607" t="s">
        <v>4382</v>
      </c>
      <c r="G127" s="607" t="s">
        <v>4382</v>
      </c>
      <c r="H127" s="374">
        <f>PRODUCT(C127:G127)</f>
        <v>4</v>
      </c>
    </row>
    <row r="128" spans="1:8" ht="20.100000000000001" customHeight="1">
      <c r="A128" s="376"/>
      <c r="B128" s="375" t="s">
        <v>4086</v>
      </c>
      <c r="C128" s="618">
        <v>1</v>
      </c>
      <c r="D128" s="618">
        <v>2</v>
      </c>
      <c r="E128" s="607" t="s">
        <v>4382</v>
      </c>
      <c r="F128" s="607" t="s">
        <v>4382</v>
      </c>
      <c r="G128" s="607" t="s">
        <v>4382</v>
      </c>
      <c r="H128" s="374">
        <f>PRODUCT(C128:G128)</f>
        <v>2</v>
      </c>
    </row>
    <row r="129" spans="1:8" ht="20.100000000000001" customHeight="1">
      <c r="A129" s="376"/>
      <c r="B129" s="606"/>
      <c r="C129" s="376"/>
      <c r="D129" s="376"/>
      <c r="E129" s="374"/>
      <c r="F129" s="390"/>
      <c r="G129" s="390"/>
      <c r="H129" s="374">
        <f>SUM(H127:H128)</f>
        <v>6</v>
      </c>
    </row>
    <row r="130" spans="1:8" ht="20.100000000000001" customHeight="1">
      <c r="A130" s="376"/>
      <c r="B130" s="617"/>
      <c r="C130" s="376"/>
      <c r="D130" s="376"/>
      <c r="E130" s="374"/>
      <c r="F130" s="390" t="s">
        <v>2560</v>
      </c>
      <c r="G130" s="390">
        <f>+H129</f>
        <v>6</v>
      </c>
      <c r="H130" s="519" t="s">
        <v>1166</v>
      </c>
    </row>
    <row r="131" spans="1:8" ht="34.9" customHeight="1">
      <c r="A131" s="376">
        <v>14</v>
      </c>
      <c r="B131" s="1041" t="s">
        <v>4501</v>
      </c>
      <c r="C131" s="1042"/>
      <c r="D131" s="1042"/>
      <c r="E131" s="1042"/>
      <c r="F131" s="1042"/>
      <c r="G131" s="1043"/>
      <c r="H131" s="390"/>
    </row>
    <row r="132" spans="1:8" ht="20.100000000000001" customHeight="1">
      <c r="A132" s="376"/>
      <c r="B132" s="606" t="s">
        <v>4502</v>
      </c>
      <c r="C132" s="376">
        <v>1</v>
      </c>
      <c r="D132" s="376">
        <v>6</v>
      </c>
      <c r="E132" s="607" t="s">
        <v>4382</v>
      </c>
      <c r="F132" s="607" t="s">
        <v>4382</v>
      </c>
      <c r="G132" s="607" t="s">
        <v>4382</v>
      </c>
      <c r="H132" s="374">
        <f>PRODUCT(C132:G132)</f>
        <v>6</v>
      </c>
    </row>
    <row r="133" spans="1:8" ht="20.100000000000001" customHeight="1">
      <c r="A133" s="376"/>
      <c r="B133" s="606"/>
      <c r="C133" s="376"/>
      <c r="D133" s="376"/>
      <c r="E133" s="374"/>
      <c r="F133" s="390"/>
      <c r="G133" s="390"/>
      <c r="H133" s="374">
        <f>SUM(H132:H132)</f>
        <v>6</v>
      </c>
    </row>
    <row r="134" spans="1:8" ht="20.100000000000001" customHeight="1">
      <c r="A134" s="376"/>
      <c r="B134" s="606"/>
      <c r="C134" s="376"/>
      <c r="D134" s="376"/>
      <c r="E134" s="374"/>
      <c r="F134" s="390" t="s">
        <v>2560</v>
      </c>
      <c r="G134" s="390">
        <f>+H133</f>
        <v>6</v>
      </c>
      <c r="H134" s="519" t="s">
        <v>1166</v>
      </c>
    </row>
    <row r="135" spans="1:8" ht="79.900000000000006" customHeight="1">
      <c r="A135" s="621">
        <v>15</v>
      </c>
      <c r="B135" s="1209" t="s">
        <v>1884</v>
      </c>
      <c r="C135" s="1210"/>
      <c r="D135" s="1210"/>
      <c r="E135" s="1210"/>
      <c r="F135" s="1210"/>
      <c r="G135" s="1211"/>
      <c r="H135" s="390"/>
    </row>
    <row r="136" spans="1:8" ht="19.899999999999999" customHeight="1">
      <c r="A136" s="621"/>
      <c r="B136" s="622" t="s">
        <v>4503</v>
      </c>
      <c r="C136" s="613">
        <v>1</v>
      </c>
      <c r="D136" s="613">
        <v>6</v>
      </c>
      <c r="E136" s="614">
        <v>14</v>
      </c>
      <c r="F136" s="607" t="s">
        <v>4382</v>
      </c>
      <c r="G136" s="607" t="s">
        <v>4382</v>
      </c>
      <c r="H136" s="374">
        <f>PRODUCT(C136:G136)</f>
        <v>84</v>
      </c>
    </row>
    <row r="137" spans="1:8" ht="19.899999999999999" customHeight="1">
      <c r="A137" s="376"/>
      <c r="B137" s="606"/>
      <c r="C137" s="376"/>
      <c r="D137" s="376"/>
      <c r="E137" s="374"/>
      <c r="F137" s="390" t="s">
        <v>2560</v>
      </c>
      <c r="G137" s="390">
        <f>+H136</f>
        <v>84</v>
      </c>
      <c r="H137" s="519" t="s">
        <v>2155</v>
      </c>
    </row>
    <row r="138" spans="1:8" ht="19.899999999999999" customHeight="1">
      <c r="A138" s="621">
        <f>A135+1</f>
        <v>16</v>
      </c>
      <c r="B138" s="1209" t="s">
        <v>4504</v>
      </c>
      <c r="C138" s="1210"/>
      <c r="D138" s="1210"/>
      <c r="E138" s="1210"/>
      <c r="F138" s="1210"/>
      <c r="G138" s="1211"/>
      <c r="H138" s="614"/>
    </row>
    <row r="139" spans="1:8" ht="19.899999999999999" customHeight="1">
      <c r="A139" s="621"/>
      <c r="B139" s="623" t="s">
        <v>4505</v>
      </c>
      <c r="C139" s="613">
        <v>1</v>
      </c>
      <c r="D139" s="613">
        <v>2</v>
      </c>
      <c r="E139" s="607" t="s">
        <v>4382</v>
      </c>
      <c r="F139" s="607" t="s">
        <v>4382</v>
      </c>
      <c r="G139" s="607" t="s">
        <v>4382</v>
      </c>
      <c r="H139" s="614">
        <f>PRODUCT(C139:G139)</f>
        <v>2</v>
      </c>
    </row>
    <row r="140" spans="1:8" ht="19.899999999999999" customHeight="1">
      <c r="A140" s="621"/>
      <c r="B140" s="623"/>
      <c r="C140" s="613"/>
      <c r="D140" s="613"/>
      <c r="E140" s="614"/>
      <c r="F140" s="390" t="s">
        <v>2560</v>
      </c>
      <c r="G140" s="390">
        <f>+H139</f>
        <v>2</v>
      </c>
      <c r="H140" s="519" t="s">
        <v>1166</v>
      </c>
    </row>
    <row r="141" spans="1:8" ht="33" customHeight="1">
      <c r="A141" s="621">
        <f>A138+1</f>
        <v>17</v>
      </c>
      <c r="B141" s="1212" t="s">
        <v>4777</v>
      </c>
      <c r="C141" s="1210"/>
      <c r="D141" s="1210"/>
      <c r="E141" s="1210"/>
      <c r="F141" s="1210"/>
      <c r="G141" s="1211"/>
      <c r="H141" s="611"/>
    </row>
    <row r="142" spans="1:8" ht="19.899999999999999" customHeight="1">
      <c r="A142" s="621"/>
      <c r="B142" s="623" t="s">
        <v>4506</v>
      </c>
      <c r="C142" s="613">
        <v>1</v>
      </c>
      <c r="D142" s="613">
        <v>1</v>
      </c>
      <c r="E142" s="607" t="s">
        <v>4382</v>
      </c>
      <c r="F142" s="607" t="s">
        <v>4382</v>
      </c>
      <c r="G142" s="607" t="s">
        <v>4382</v>
      </c>
      <c r="H142" s="614">
        <f>PRODUCT(C142:G142)</f>
        <v>1</v>
      </c>
    </row>
    <row r="143" spans="1:8" ht="19.899999999999999" customHeight="1">
      <c r="A143" s="621"/>
      <c r="B143" s="623"/>
      <c r="C143" s="613"/>
      <c r="D143" s="613"/>
      <c r="E143" s="614"/>
      <c r="F143" s="390" t="s">
        <v>2560</v>
      </c>
      <c r="G143" s="390">
        <f>+H142</f>
        <v>1</v>
      </c>
      <c r="H143" s="519" t="s">
        <v>1130</v>
      </c>
    </row>
    <row r="144" spans="1:8" ht="19.899999999999999" customHeight="1">
      <c r="A144" s="523">
        <f>A141+1</f>
        <v>18</v>
      </c>
      <c r="B144" s="1203" t="s">
        <v>4507</v>
      </c>
      <c r="C144" s="1204"/>
      <c r="D144" s="1204"/>
      <c r="E144" s="1204"/>
      <c r="F144" s="1204"/>
      <c r="G144" s="1205"/>
      <c r="H144" s="624"/>
    </row>
    <row r="145" spans="1:8" ht="19.899999999999999" customHeight="1">
      <c r="A145" s="523"/>
      <c r="B145" s="625"/>
      <c r="C145" s="613">
        <v>1</v>
      </c>
      <c r="D145" s="613">
        <v>2</v>
      </c>
      <c r="E145" s="607" t="s">
        <v>4382</v>
      </c>
      <c r="F145" s="607" t="s">
        <v>4382</v>
      </c>
      <c r="G145" s="607" t="s">
        <v>4382</v>
      </c>
      <c r="H145" s="614">
        <f>PRODUCT(C145:G145)</f>
        <v>2</v>
      </c>
    </row>
    <row r="146" spans="1:8" ht="19.899999999999999" customHeight="1">
      <c r="A146" s="523"/>
      <c r="B146" s="619"/>
      <c r="C146" s="626"/>
      <c r="D146" s="626"/>
      <c r="E146" s="627"/>
      <c r="F146" s="390" t="s">
        <v>2560</v>
      </c>
      <c r="G146" s="390">
        <f>+H145</f>
        <v>2</v>
      </c>
      <c r="H146" s="519" t="s">
        <v>1166</v>
      </c>
    </row>
    <row r="147" spans="1:8" ht="19.899999999999999" customHeight="1">
      <c r="A147" s="523">
        <f>A144+1</f>
        <v>19</v>
      </c>
      <c r="B147" s="1203" t="s">
        <v>4508</v>
      </c>
      <c r="C147" s="1204"/>
      <c r="D147" s="1204"/>
      <c r="E147" s="1204"/>
      <c r="F147" s="1204"/>
      <c r="G147" s="1205"/>
      <c r="H147" s="624"/>
    </row>
    <row r="148" spans="1:8" ht="19.899999999999999" customHeight="1">
      <c r="A148" s="523"/>
      <c r="B148" s="619"/>
      <c r="C148" s="626">
        <v>1</v>
      </c>
      <c r="D148" s="626">
        <v>4</v>
      </c>
      <c r="E148" s="607" t="s">
        <v>4382</v>
      </c>
      <c r="F148" s="607" t="s">
        <v>4382</v>
      </c>
      <c r="G148" s="607" t="s">
        <v>4382</v>
      </c>
      <c r="H148" s="627">
        <f>PRODUCT(C148:G148)</f>
        <v>4</v>
      </c>
    </row>
    <row r="149" spans="1:8" ht="19.899999999999999" customHeight="1">
      <c r="A149" s="523"/>
      <c r="B149" s="619"/>
      <c r="C149" s="626"/>
      <c r="D149" s="626"/>
      <c r="E149" s="627"/>
      <c r="F149" s="390" t="s">
        <v>2560</v>
      </c>
      <c r="G149" s="390">
        <f>+H148</f>
        <v>4</v>
      </c>
      <c r="H149" s="519" t="s">
        <v>1166</v>
      </c>
    </row>
    <row r="150" spans="1:8" ht="75" customHeight="1">
      <c r="A150" s="618">
        <f>A147+1</f>
        <v>20</v>
      </c>
      <c r="B150" s="1206" t="s">
        <v>4509</v>
      </c>
      <c r="C150" s="1207"/>
      <c r="D150" s="1207"/>
      <c r="E150" s="1207"/>
      <c r="F150" s="1207"/>
      <c r="G150" s="1208"/>
      <c r="H150" s="374"/>
    </row>
    <row r="151" spans="1:8" ht="19.899999999999999" customHeight="1">
      <c r="A151" s="618"/>
      <c r="B151" s="518" t="s">
        <v>4510</v>
      </c>
      <c r="C151" s="628">
        <v>1</v>
      </c>
      <c r="D151" s="628">
        <v>1</v>
      </c>
      <c r="E151" s="607" t="s">
        <v>4382</v>
      </c>
      <c r="F151" s="607" t="s">
        <v>4382</v>
      </c>
      <c r="G151" s="607" t="s">
        <v>4382</v>
      </c>
      <c r="H151" s="627">
        <f>PRODUCT(C151:G151)</f>
        <v>1</v>
      </c>
    </row>
    <row r="152" spans="1:8" ht="19.899999999999999" customHeight="1">
      <c r="A152" s="618"/>
      <c r="B152" s="619"/>
      <c r="C152" s="618"/>
      <c r="D152" s="618"/>
      <c r="E152" s="629"/>
      <c r="F152" s="390" t="s">
        <v>2560</v>
      </c>
      <c r="G152" s="390">
        <f>+H151</f>
        <v>1</v>
      </c>
      <c r="H152" s="519" t="s">
        <v>1130</v>
      </c>
    </row>
    <row r="153" spans="1:8" ht="19.899999999999999" customHeight="1">
      <c r="A153" s="618"/>
      <c r="B153" s="619"/>
      <c r="C153" s="618"/>
      <c r="D153" s="618"/>
      <c r="E153" s="629"/>
      <c r="F153" s="390"/>
      <c r="G153" s="390"/>
      <c r="H153" s="390"/>
    </row>
    <row r="154" spans="1:8" ht="20.100000000000001" customHeight="1"/>
    <row r="155" spans="1:8" ht="20.100000000000001" customHeight="1"/>
    <row r="156" spans="1:8" ht="20.100000000000001" customHeight="1">
      <c r="A156" s="632"/>
      <c r="B156" s="632"/>
      <c r="C156" s="632"/>
      <c r="D156" s="632"/>
      <c r="E156" s="632"/>
      <c r="F156" s="632"/>
      <c r="G156" s="632"/>
      <c r="H156" s="632"/>
    </row>
  </sheetData>
  <mergeCells count="30">
    <mergeCell ref="A1:H1"/>
    <mergeCell ref="A2:H2"/>
    <mergeCell ref="A3:H3"/>
    <mergeCell ref="A4:H4"/>
    <mergeCell ref="A5:A6"/>
    <mergeCell ref="B5:B6"/>
    <mergeCell ref="C5:D6"/>
    <mergeCell ref="E5:G5"/>
    <mergeCell ref="H5:H6"/>
    <mergeCell ref="B79:G79"/>
    <mergeCell ref="B7:G7"/>
    <mergeCell ref="D10:F10"/>
    <mergeCell ref="B13:G13"/>
    <mergeCell ref="B22:G22"/>
    <mergeCell ref="B27:G27"/>
    <mergeCell ref="B32:G32"/>
    <mergeCell ref="B35:G35"/>
    <mergeCell ref="B38:G38"/>
    <mergeCell ref="B41:G41"/>
    <mergeCell ref="B50:G50"/>
    <mergeCell ref="B53:G53"/>
    <mergeCell ref="B144:G144"/>
    <mergeCell ref="B147:G147"/>
    <mergeCell ref="B150:G150"/>
    <mergeCell ref="B85:G85"/>
    <mergeCell ref="B126:G126"/>
    <mergeCell ref="B131:G131"/>
    <mergeCell ref="B135:G135"/>
    <mergeCell ref="B138:G138"/>
    <mergeCell ref="B141:G141"/>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dimension ref="A1:M59"/>
  <sheetViews>
    <sheetView topLeftCell="A7" workbookViewId="0">
      <selection activeCell="H12" sqref="H12"/>
    </sheetView>
  </sheetViews>
  <sheetFormatPr defaultColWidth="8.88671875" defaultRowHeight="15.75"/>
  <cols>
    <col min="1" max="1" width="4.21875" style="174" customWidth="1"/>
    <col min="2" max="2" width="28.44140625" style="222" customWidth="1"/>
    <col min="3" max="4" width="3.44140625" style="642" customWidth="1"/>
    <col min="5" max="7" width="7.21875" style="174" customWidth="1"/>
    <col min="8" max="8" width="8.21875" style="221" customWidth="1"/>
    <col min="9" max="9" width="6.33203125" style="222" customWidth="1"/>
    <col min="10" max="11" width="8.88671875" style="174" customWidth="1"/>
    <col min="12" max="12" width="9.77734375" style="174" bestFit="1" customWidth="1"/>
    <col min="13" max="256" width="8.88671875" style="174"/>
    <col min="257" max="257" width="4.21875" style="174" customWidth="1"/>
    <col min="258" max="258" width="28.44140625" style="174" customWidth="1"/>
    <col min="259" max="260" width="3.44140625" style="174" customWidth="1"/>
    <col min="261" max="263" width="7.21875" style="174" customWidth="1"/>
    <col min="264" max="264" width="8.21875" style="174" customWidth="1"/>
    <col min="265" max="265" width="6.33203125" style="174" customWidth="1"/>
    <col min="266" max="267" width="8.88671875" style="174" customWidth="1"/>
    <col min="268" max="268" width="9.77734375" style="174" bestFit="1" customWidth="1"/>
    <col min="269" max="512" width="8.88671875" style="174"/>
    <col min="513" max="513" width="4.21875" style="174" customWidth="1"/>
    <col min="514" max="514" width="28.44140625" style="174" customWidth="1"/>
    <col min="515" max="516" width="3.44140625" style="174" customWidth="1"/>
    <col min="517" max="519" width="7.21875" style="174" customWidth="1"/>
    <col min="520" max="520" width="8.21875" style="174" customWidth="1"/>
    <col min="521" max="521" width="6.33203125" style="174" customWidth="1"/>
    <col min="522" max="523" width="8.88671875" style="174" customWidth="1"/>
    <col min="524" max="524" width="9.77734375" style="174" bestFit="1" customWidth="1"/>
    <col min="525" max="768" width="8.88671875" style="174"/>
    <col min="769" max="769" width="4.21875" style="174" customWidth="1"/>
    <col min="770" max="770" width="28.44140625" style="174" customWidth="1"/>
    <col min="771" max="772" width="3.44140625" style="174" customWidth="1"/>
    <col min="773" max="775" width="7.21875" style="174" customWidth="1"/>
    <col min="776" max="776" width="8.21875" style="174" customWidth="1"/>
    <col min="777" max="777" width="6.33203125" style="174" customWidth="1"/>
    <col min="778" max="779" width="8.88671875" style="174" customWidth="1"/>
    <col min="780" max="780" width="9.77734375" style="174" bestFit="1" customWidth="1"/>
    <col min="781" max="1024" width="8.88671875" style="174"/>
    <col min="1025" max="1025" width="4.21875" style="174" customWidth="1"/>
    <col min="1026" max="1026" width="28.44140625" style="174" customWidth="1"/>
    <col min="1027" max="1028" width="3.44140625" style="174" customWidth="1"/>
    <col min="1029" max="1031" width="7.21875" style="174" customWidth="1"/>
    <col min="1032" max="1032" width="8.21875" style="174" customWidth="1"/>
    <col min="1033" max="1033" width="6.33203125" style="174" customWidth="1"/>
    <col min="1034" max="1035" width="8.88671875" style="174" customWidth="1"/>
    <col min="1036" max="1036" width="9.77734375" style="174" bestFit="1" customWidth="1"/>
    <col min="1037" max="1280" width="8.88671875" style="174"/>
    <col min="1281" max="1281" width="4.21875" style="174" customWidth="1"/>
    <col min="1282" max="1282" width="28.44140625" style="174" customWidth="1"/>
    <col min="1283" max="1284" width="3.44140625" style="174" customWidth="1"/>
    <col min="1285" max="1287" width="7.21875" style="174" customWidth="1"/>
    <col min="1288" max="1288" width="8.21875" style="174" customWidth="1"/>
    <col min="1289" max="1289" width="6.33203125" style="174" customWidth="1"/>
    <col min="1290" max="1291" width="8.88671875" style="174" customWidth="1"/>
    <col min="1292" max="1292" width="9.77734375" style="174" bestFit="1" customWidth="1"/>
    <col min="1293" max="1536" width="8.88671875" style="174"/>
    <col min="1537" max="1537" width="4.21875" style="174" customWidth="1"/>
    <col min="1538" max="1538" width="28.44140625" style="174" customWidth="1"/>
    <col min="1539" max="1540" width="3.44140625" style="174" customWidth="1"/>
    <col min="1541" max="1543" width="7.21875" style="174" customWidth="1"/>
    <col min="1544" max="1544" width="8.21875" style="174" customWidth="1"/>
    <col min="1545" max="1545" width="6.33203125" style="174" customWidth="1"/>
    <col min="1546" max="1547" width="8.88671875" style="174" customWidth="1"/>
    <col min="1548" max="1548" width="9.77734375" style="174" bestFit="1" customWidth="1"/>
    <col min="1549" max="1792" width="8.88671875" style="174"/>
    <col min="1793" max="1793" width="4.21875" style="174" customWidth="1"/>
    <col min="1794" max="1794" width="28.44140625" style="174" customWidth="1"/>
    <col min="1795" max="1796" width="3.44140625" style="174" customWidth="1"/>
    <col min="1797" max="1799" width="7.21875" style="174" customWidth="1"/>
    <col min="1800" max="1800" width="8.21875" style="174" customWidth="1"/>
    <col min="1801" max="1801" width="6.33203125" style="174" customWidth="1"/>
    <col min="1802" max="1803" width="8.88671875" style="174" customWidth="1"/>
    <col min="1804" max="1804" width="9.77734375" style="174" bestFit="1" customWidth="1"/>
    <col min="1805" max="2048" width="8.88671875" style="174"/>
    <col min="2049" max="2049" width="4.21875" style="174" customWidth="1"/>
    <col min="2050" max="2050" width="28.44140625" style="174" customWidth="1"/>
    <col min="2051" max="2052" width="3.44140625" style="174" customWidth="1"/>
    <col min="2053" max="2055" width="7.21875" style="174" customWidth="1"/>
    <col min="2056" max="2056" width="8.21875" style="174" customWidth="1"/>
    <col min="2057" max="2057" width="6.33203125" style="174" customWidth="1"/>
    <col min="2058" max="2059" width="8.88671875" style="174" customWidth="1"/>
    <col min="2060" max="2060" width="9.77734375" style="174" bestFit="1" customWidth="1"/>
    <col min="2061" max="2304" width="8.88671875" style="174"/>
    <col min="2305" max="2305" width="4.21875" style="174" customWidth="1"/>
    <col min="2306" max="2306" width="28.44140625" style="174" customWidth="1"/>
    <col min="2307" max="2308" width="3.44140625" style="174" customWidth="1"/>
    <col min="2309" max="2311" width="7.21875" style="174" customWidth="1"/>
    <col min="2312" max="2312" width="8.21875" style="174" customWidth="1"/>
    <col min="2313" max="2313" width="6.33203125" style="174" customWidth="1"/>
    <col min="2314" max="2315" width="8.88671875" style="174" customWidth="1"/>
    <col min="2316" max="2316" width="9.77734375" style="174" bestFit="1" customWidth="1"/>
    <col min="2317" max="2560" width="8.88671875" style="174"/>
    <col min="2561" max="2561" width="4.21875" style="174" customWidth="1"/>
    <col min="2562" max="2562" width="28.44140625" style="174" customWidth="1"/>
    <col min="2563" max="2564" width="3.44140625" style="174" customWidth="1"/>
    <col min="2565" max="2567" width="7.21875" style="174" customWidth="1"/>
    <col min="2568" max="2568" width="8.21875" style="174" customWidth="1"/>
    <col min="2569" max="2569" width="6.33203125" style="174" customWidth="1"/>
    <col min="2570" max="2571" width="8.88671875" style="174" customWidth="1"/>
    <col min="2572" max="2572" width="9.77734375" style="174" bestFit="1" customWidth="1"/>
    <col min="2573" max="2816" width="8.88671875" style="174"/>
    <col min="2817" max="2817" width="4.21875" style="174" customWidth="1"/>
    <col min="2818" max="2818" width="28.44140625" style="174" customWidth="1"/>
    <col min="2819" max="2820" width="3.44140625" style="174" customWidth="1"/>
    <col min="2821" max="2823" width="7.21875" style="174" customWidth="1"/>
    <col min="2824" max="2824" width="8.21875" style="174" customWidth="1"/>
    <col min="2825" max="2825" width="6.33203125" style="174" customWidth="1"/>
    <col min="2826" max="2827" width="8.88671875" style="174" customWidth="1"/>
    <col min="2828" max="2828" width="9.77734375" style="174" bestFit="1" customWidth="1"/>
    <col min="2829" max="3072" width="8.88671875" style="174"/>
    <col min="3073" max="3073" width="4.21875" style="174" customWidth="1"/>
    <col min="3074" max="3074" width="28.44140625" style="174" customWidth="1"/>
    <col min="3075" max="3076" width="3.44140625" style="174" customWidth="1"/>
    <col min="3077" max="3079" width="7.21875" style="174" customWidth="1"/>
    <col min="3080" max="3080" width="8.21875" style="174" customWidth="1"/>
    <col min="3081" max="3081" width="6.33203125" style="174" customWidth="1"/>
    <col min="3082" max="3083" width="8.88671875" style="174" customWidth="1"/>
    <col min="3084" max="3084" width="9.77734375" style="174" bestFit="1" customWidth="1"/>
    <col min="3085" max="3328" width="8.88671875" style="174"/>
    <col min="3329" max="3329" width="4.21875" style="174" customWidth="1"/>
    <col min="3330" max="3330" width="28.44140625" style="174" customWidth="1"/>
    <col min="3331" max="3332" width="3.44140625" style="174" customWidth="1"/>
    <col min="3333" max="3335" width="7.21875" style="174" customWidth="1"/>
    <col min="3336" max="3336" width="8.21875" style="174" customWidth="1"/>
    <col min="3337" max="3337" width="6.33203125" style="174" customWidth="1"/>
    <col min="3338" max="3339" width="8.88671875" style="174" customWidth="1"/>
    <col min="3340" max="3340" width="9.77734375" style="174" bestFit="1" customWidth="1"/>
    <col min="3341" max="3584" width="8.88671875" style="174"/>
    <col min="3585" max="3585" width="4.21875" style="174" customWidth="1"/>
    <col min="3586" max="3586" width="28.44140625" style="174" customWidth="1"/>
    <col min="3587" max="3588" width="3.44140625" style="174" customWidth="1"/>
    <col min="3589" max="3591" width="7.21875" style="174" customWidth="1"/>
    <col min="3592" max="3592" width="8.21875" style="174" customWidth="1"/>
    <col min="3593" max="3593" width="6.33203125" style="174" customWidth="1"/>
    <col min="3594" max="3595" width="8.88671875" style="174" customWidth="1"/>
    <col min="3596" max="3596" width="9.77734375" style="174" bestFit="1" customWidth="1"/>
    <col min="3597" max="3840" width="8.88671875" style="174"/>
    <col min="3841" max="3841" width="4.21875" style="174" customWidth="1"/>
    <col min="3842" max="3842" width="28.44140625" style="174" customWidth="1"/>
    <col min="3843" max="3844" width="3.44140625" style="174" customWidth="1"/>
    <col min="3845" max="3847" width="7.21875" style="174" customWidth="1"/>
    <col min="3848" max="3848" width="8.21875" style="174" customWidth="1"/>
    <col min="3849" max="3849" width="6.33203125" style="174" customWidth="1"/>
    <col min="3850" max="3851" width="8.88671875" style="174" customWidth="1"/>
    <col min="3852" max="3852" width="9.77734375" style="174" bestFit="1" customWidth="1"/>
    <col min="3853" max="4096" width="8.88671875" style="174"/>
    <col min="4097" max="4097" width="4.21875" style="174" customWidth="1"/>
    <col min="4098" max="4098" width="28.44140625" style="174" customWidth="1"/>
    <col min="4099" max="4100" width="3.44140625" style="174" customWidth="1"/>
    <col min="4101" max="4103" width="7.21875" style="174" customWidth="1"/>
    <col min="4104" max="4104" width="8.21875" style="174" customWidth="1"/>
    <col min="4105" max="4105" width="6.33203125" style="174" customWidth="1"/>
    <col min="4106" max="4107" width="8.88671875" style="174" customWidth="1"/>
    <col min="4108" max="4108" width="9.77734375" style="174" bestFit="1" customWidth="1"/>
    <col min="4109" max="4352" width="8.88671875" style="174"/>
    <col min="4353" max="4353" width="4.21875" style="174" customWidth="1"/>
    <col min="4354" max="4354" width="28.44140625" style="174" customWidth="1"/>
    <col min="4355" max="4356" width="3.44140625" style="174" customWidth="1"/>
    <col min="4357" max="4359" width="7.21875" style="174" customWidth="1"/>
    <col min="4360" max="4360" width="8.21875" style="174" customWidth="1"/>
    <col min="4361" max="4361" width="6.33203125" style="174" customWidth="1"/>
    <col min="4362" max="4363" width="8.88671875" style="174" customWidth="1"/>
    <col min="4364" max="4364" width="9.77734375" style="174" bestFit="1" customWidth="1"/>
    <col min="4365" max="4608" width="8.88671875" style="174"/>
    <col min="4609" max="4609" width="4.21875" style="174" customWidth="1"/>
    <col min="4610" max="4610" width="28.44140625" style="174" customWidth="1"/>
    <col min="4611" max="4612" width="3.44140625" style="174" customWidth="1"/>
    <col min="4613" max="4615" width="7.21875" style="174" customWidth="1"/>
    <col min="4616" max="4616" width="8.21875" style="174" customWidth="1"/>
    <col min="4617" max="4617" width="6.33203125" style="174" customWidth="1"/>
    <col min="4618" max="4619" width="8.88671875" style="174" customWidth="1"/>
    <col min="4620" max="4620" width="9.77734375" style="174" bestFit="1" customWidth="1"/>
    <col min="4621" max="4864" width="8.88671875" style="174"/>
    <col min="4865" max="4865" width="4.21875" style="174" customWidth="1"/>
    <col min="4866" max="4866" width="28.44140625" style="174" customWidth="1"/>
    <col min="4867" max="4868" width="3.44140625" style="174" customWidth="1"/>
    <col min="4869" max="4871" width="7.21875" style="174" customWidth="1"/>
    <col min="4872" max="4872" width="8.21875" style="174" customWidth="1"/>
    <col min="4873" max="4873" width="6.33203125" style="174" customWidth="1"/>
    <col min="4874" max="4875" width="8.88671875" style="174" customWidth="1"/>
    <col min="4876" max="4876" width="9.77734375" style="174" bestFit="1" customWidth="1"/>
    <col min="4877" max="5120" width="8.88671875" style="174"/>
    <col min="5121" max="5121" width="4.21875" style="174" customWidth="1"/>
    <col min="5122" max="5122" width="28.44140625" style="174" customWidth="1"/>
    <col min="5123" max="5124" width="3.44140625" style="174" customWidth="1"/>
    <col min="5125" max="5127" width="7.21875" style="174" customWidth="1"/>
    <col min="5128" max="5128" width="8.21875" style="174" customWidth="1"/>
    <col min="5129" max="5129" width="6.33203125" style="174" customWidth="1"/>
    <col min="5130" max="5131" width="8.88671875" style="174" customWidth="1"/>
    <col min="5132" max="5132" width="9.77734375" style="174" bestFit="1" customWidth="1"/>
    <col min="5133" max="5376" width="8.88671875" style="174"/>
    <col min="5377" max="5377" width="4.21875" style="174" customWidth="1"/>
    <col min="5378" max="5378" width="28.44140625" style="174" customWidth="1"/>
    <col min="5379" max="5380" width="3.44140625" style="174" customWidth="1"/>
    <col min="5381" max="5383" width="7.21875" style="174" customWidth="1"/>
    <col min="5384" max="5384" width="8.21875" style="174" customWidth="1"/>
    <col min="5385" max="5385" width="6.33203125" style="174" customWidth="1"/>
    <col min="5386" max="5387" width="8.88671875" style="174" customWidth="1"/>
    <col min="5388" max="5388" width="9.77734375" style="174" bestFit="1" customWidth="1"/>
    <col min="5389" max="5632" width="8.88671875" style="174"/>
    <col min="5633" max="5633" width="4.21875" style="174" customWidth="1"/>
    <col min="5634" max="5634" width="28.44140625" style="174" customWidth="1"/>
    <col min="5635" max="5636" width="3.44140625" style="174" customWidth="1"/>
    <col min="5637" max="5639" width="7.21875" style="174" customWidth="1"/>
    <col min="5640" max="5640" width="8.21875" style="174" customWidth="1"/>
    <col min="5641" max="5641" width="6.33203125" style="174" customWidth="1"/>
    <col min="5642" max="5643" width="8.88671875" style="174" customWidth="1"/>
    <col min="5644" max="5644" width="9.77734375" style="174" bestFit="1" customWidth="1"/>
    <col min="5645" max="5888" width="8.88671875" style="174"/>
    <col min="5889" max="5889" width="4.21875" style="174" customWidth="1"/>
    <col min="5890" max="5890" width="28.44140625" style="174" customWidth="1"/>
    <col min="5891" max="5892" width="3.44140625" style="174" customWidth="1"/>
    <col min="5893" max="5895" width="7.21875" style="174" customWidth="1"/>
    <col min="5896" max="5896" width="8.21875" style="174" customWidth="1"/>
    <col min="5897" max="5897" width="6.33203125" style="174" customWidth="1"/>
    <col min="5898" max="5899" width="8.88671875" style="174" customWidth="1"/>
    <col min="5900" max="5900" width="9.77734375" style="174" bestFit="1" customWidth="1"/>
    <col min="5901" max="6144" width="8.88671875" style="174"/>
    <col min="6145" max="6145" width="4.21875" style="174" customWidth="1"/>
    <col min="6146" max="6146" width="28.44140625" style="174" customWidth="1"/>
    <col min="6147" max="6148" width="3.44140625" style="174" customWidth="1"/>
    <col min="6149" max="6151" width="7.21875" style="174" customWidth="1"/>
    <col min="6152" max="6152" width="8.21875" style="174" customWidth="1"/>
    <col min="6153" max="6153" width="6.33203125" style="174" customWidth="1"/>
    <col min="6154" max="6155" width="8.88671875" style="174" customWidth="1"/>
    <col min="6156" max="6156" width="9.77734375" style="174" bestFit="1" customWidth="1"/>
    <col min="6157" max="6400" width="8.88671875" style="174"/>
    <col min="6401" max="6401" width="4.21875" style="174" customWidth="1"/>
    <col min="6402" max="6402" width="28.44140625" style="174" customWidth="1"/>
    <col min="6403" max="6404" width="3.44140625" style="174" customWidth="1"/>
    <col min="6405" max="6407" width="7.21875" style="174" customWidth="1"/>
    <col min="6408" max="6408" width="8.21875" style="174" customWidth="1"/>
    <col min="6409" max="6409" width="6.33203125" style="174" customWidth="1"/>
    <col min="6410" max="6411" width="8.88671875" style="174" customWidth="1"/>
    <col min="6412" max="6412" width="9.77734375" style="174" bestFit="1" customWidth="1"/>
    <col min="6413" max="6656" width="8.88671875" style="174"/>
    <col min="6657" max="6657" width="4.21875" style="174" customWidth="1"/>
    <col min="6658" max="6658" width="28.44140625" style="174" customWidth="1"/>
    <col min="6659" max="6660" width="3.44140625" style="174" customWidth="1"/>
    <col min="6661" max="6663" width="7.21875" style="174" customWidth="1"/>
    <col min="6664" max="6664" width="8.21875" style="174" customWidth="1"/>
    <col min="6665" max="6665" width="6.33203125" style="174" customWidth="1"/>
    <col min="6666" max="6667" width="8.88671875" style="174" customWidth="1"/>
    <col min="6668" max="6668" width="9.77734375" style="174" bestFit="1" customWidth="1"/>
    <col min="6669" max="6912" width="8.88671875" style="174"/>
    <col min="6913" max="6913" width="4.21875" style="174" customWidth="1"/>
    <col min="6914" max="6914" width="28.44140625" style="174" customWidth="1"/>
    <col min="6915" max="6916" width="3.44140625" style="174" customWidth="1"/>
    <col min="6917" max="6919" width="7.21875" style="174" customWidth="1"/>
    <col min="6920" max="6920" width="8.21875" style="174" customWidth="1"/>
    <col min="6921" max="6921" width="6.33203125" style="174" customWidth="1"/>
    <col min="6922" max="6923" width="8.88671875" style="174" customWidth="1"/>
    <col min="6924" max="6924" width="9.77734375" style="174" bestFit="1" customWidth="1"/>
    <col min="6925" max="7168" width="8.88671875" style="174"/>
    <col min="7169" max="7169" width="4.21875" style="174" customWidth="1"/>
    <col min="7170" max="7170" width="28.44140625" style="174" customWidth="1"/>
    <col min="7171" max="7172" width="3.44140625" style="174" customWidth="1"/>
    <col min="7173" max="7175" width="7.21875" style="174" customWidth="1"/>
    <col min="7176" max="7176" width="8.21875" style="174" customWidth="1"/>
    <col min="7177" max="7177" width="6.33203125" style="174" customWidth="1"/>
    <col min="7178" max="7179" width="8.88671875" style="174" customWidth="1"/>
    <col min="7180" max="7180" width="9.77734375" style="174" bestFit="1" customWidth="1"/>
    <col min="7181" max="7424" width="8.88671875" style="174"/>
    <col min="7425" max="7425" width="4.21875" style="174" customWidth="1"/>
    <col min="7426" max="7426" width="28.44140625" style="174" customWidth="1"/>
    <col min="7427" max="7428" width="3.44140625" style="174" customWidth="1"/>
    <col min="7429" max="7431" width="7.21875" style="174" customWidth="1"/>
    <col min="7432" max="7432" width="8.21875" style="174" customWidth="1"/>
    <col min="7433" max="7433" width="6.33203125" style="174" customWidth="1"/>
    <col min="7434" max="7435" width="8.88671875" style="174" customWidth="1"/>
    <col min="7436" max="7436" width="9.77734375" style="174" bestFit="1" customWidth="1"/>
    <col min="7437" max="7680" width="8.88671875" style="174"/>
    <col min="7681" max="7681" width="4.21875" style="174" customWidth="1"/>
    <col min="7682" max="7682" width="28.44140625" style="174" customWidth="1"/>
    <col min="7683" max="7684" width="3.44140625" style="174" customWidth="1"/>
    <col min="7685" max="7687" width="7.21875" style="174" customWidth="1"/>
    <col min="7688" max="7688" width="8.21875" style="174" customWidth="1"/>
    <col min="7689" max="7689" width="6.33203125" style="174" customWidth="1"/>
    <col min="7690" max="7691" width="8.88671875" style="174" customWidth="1"/>
    <col min="7692" max="7692" width="9.77734375" style="174" bestFit="1" customWidth="1"/>
    <col min="7693" max="7936" width="8.88671875" style="174"/>
    <col min="7937" max="7937" width="4.21875" style="174" customWidth="1"/>
    <col min="7938" max="7938" width="28.44140625" style="174" customWidth="1"/>
    <col min="7939" max="7940" width="3.44140625" style="174" customWidth="1"/>
    <col min="7941" max="7943" width="7.21875" style="174" customWidth="1"/>
    <col min="7944" max="7944" width="8.21875" style="174" customWidth="1"/>
    <col min="7945" max="7945" width="6.33203125" style="174" customWidth="1"/>
    <col min="7946" max="7947" width="8.88671875" style="174" customWidth="1"/>
    <col min="7948" max="7948" width="9.77734375" style="174" bestFit="1" customWidth="1"/>
    <col min="7949" max="8192" width="8.88671875" style="174"/>
    <col min="8193" max="8193" width="4.21875" style="174" customWidth="1"/>
    <col min="8194" max="8194" width="28.44140625" style="174" customWidth="1"/>
    <col min="8195" max="8196" width="3.44140625" style="174" customWidth="1"/>
    <col min="8197" max="8199" width="7.21875" style="174" customWidth="1"/>
    <col min="8200" max="8200" width="8.21875" style="174" customWidth="1"/>
    <col min="8201" max="8201" width="6.33203125" style="174" customWidth="1"/>
    <col min="8202" max="8203" width="8.88671875" style="174" customWidth="1"/>
    <col min="8204" max="8204" width="9.77734375" style="174" bestFit="1" customWidth="1"/>
    <col min="8205" max="8448" width="8.88671875" style="174"/>
    <col min="8449" max="8449" width="4.21875" style="174" customWidth="1"/>
    <col min="8450" max="8450" width="28.44140625" style="174" customWidth="1"/>
    <col min="8451" max="8452" width="3.44140625" style="174" customWidth="1"/>
    <col min="8453" max="8455" width="7.21875" style="174" customWidth="1"/>
    <col min="8456" max="8456" width="8.21875" style="174" customWidth="1"/>
    <col min="8457" max="8457" width="6.33203125" style="174" customWidth="1"/>
    <col min="8458" max="8459" width="8.88671875" style="174" customWidth="1"/>
    <col min="8460" max="8460" width="9.77734375" style="174" bestFit="1" customWidth="1"/>
    <col min="8461" max="8704" width="8.88671875" style="174"/>
    <col min="8705" max="8705" width="4.21875" style="174" customWidth="1"/>
    <col min="8706" max="8706" width="28.44140625" style="174" customWidth="1"/>
    <col min="8707" max="8708" width="3.44140625" style="174" customWidth="1"/>
    <col min="8709" max="8711" width="7.21875" style="174" customWidth="1"/>
    <col min="8712" max="8712" width="8.21875" style="174" customWidth="1"/>
    <col min="8713" max="8713" width="6.33203125" style="174" customWidth="1"/>
    <col min="8714" max="8715" width="8.88671875" style="174" customWidth="1"/>
    <col min="8716" max="8716" width="9.77734375" style="174" bestFit="1" customWidth="1"/>
    <col min="8717" max="8960" width="8.88671875" style="174"/>
    <col min="8961" max="8961" width="4.21875" style="174" customWidth="1"/>
    <col min="8962" max="8962" width="28.44140625" style="174" customWidth="1"/>
    <col min="8963" max="8964" width="3.44140625" style="174" customWidth="1"/>
    <col min="8965" max="8967" width="7.21875" style="174" customWidth="1"/>
    <col min="8968" max="8968" width="8.21875" style="174" customWidth="1"/>
    <col min="8969" max="8969" width="6.33203125" style="174" customWidth="1"/>
    <col min="8970" max="8971" width="8.88671875" style="174" customWidth="1"/>
    <col min="8972" max="8972" width="9.77734375" style="174" bestFit="1" customWidth="1"/>
    <col min="8973" max="9216" width="8.88671875" style="174"/>
    <col min="9217" max="9217" width="4.21875" style="174" customWidth="1"/>
    <col min="9218" max="9218" width="28.44140625" style="174" customWidth="1"/>
    <col min="9219" max="9220" width="3.44140625" style="174" customWidth="1"/>
    <col min="9221" max="9223" width="7.21875" style="174" customWidth="1"/>
    <col min="9224" max="9224" width="8.21875" style="174" customWidth="1"/>
    <col min="9225" max="9225" width="6.33203125" style="174" customWidth="1"/>
    <col min="9226" max="9227" width="8.88671875" style="174" customWidth="1"/>
    <col min="9228" max="9228" width="9.77734375" style="174" bestFit="1" customWidth="1"/>
    <col min="9229" max="9472" width="8.88671875" style="174"/>
    <col min="9473" max="9473" width="4.21875" style="174" customWidth="1"/>
    <col min="9474" max="9474" width="28.44140625" style="174" customWidth="1"/>
    <col min="9475" max="9476" width="3.44140625" style="174" customWidth="1"/>
    <col min="9477" max="9479" width="7.21875" style="174" customWidth="1"/>
    <col min="9480" max="9480" width="8.21875" style="174" customWidth="1"/>
    <col min="9481" max="9481" width="6.33203125" style="174" customWidth="1"/>
    <col min="9482" max="9483" width="8.88671875" style="174" customWidth="1"/>
    <col min="9484" max="9484" width="9.77734375" style="174" bestFit="1" customWidth="1"/>
    <col min="9485" max="9728" width="8.88671875" style="174"/>
    <col min="9729" max="9729" width="4.21875" style="174" customWidth="1"/>
    <col min="9730" max="9730" width="28.44140625" style="174" customWidth="1"/>
    <col min="9731" max="9732" width="3.44140625" style="174" customWidth="1"/>
    <col min="9733" max="9735" width="7.21875" style="174" customWidth="1"/>
    <col min="9736" max="9736" width="8.21875" style="174" customWidth="1"/>
    <col min="9737" max="9737" width="6.33203125" style="174" customWidth="1"/>
    <col min="9738" max="9739" width="8.88671875" style="174" customWidth="1"/>
    <col min="9740" max="9740" width="9.77734375" style="174" bestFit="1" customWidth="1"/>
    <col min="9741" max="9984" width="8.88671875" style="174"/>
    <col min="9985" max="9985" width="4.21875" style="174" customWidth="1"/>
    <col min="9986" max="9986" width="28.44140625" style="174" customWidth="1"/>
    <col min="9987" max="9988" width="3.44140625" style="174" customWidth="1"/>
    <col min="9989" max="9991" width="7.21875" style="174" customWidth="1"/>
    <col min="9992" max="9992" width="8.21875" style="174" customWidth="1"/>
    <col min="9993" max="9993" width="6.33203125" style="174" customWidth="1"/>
    <col min="9994" max="9995" width="8.88671875" style="174" customWidth="1"/>
    <col min="9996" max="9996" width="9.77734375" style="174" bestFit="1" customWidth="1"/>
    <col min="9997" max="10240" width="8.88671875" style="174"/>
    <col min="10241" max="10241" width="4.21875" style="174" customWidth="1"/>
    <col min="10242" max="10242" width="28.44140625" style="174" customWidth="1"/>
    <col min="10243" max="10244" width="3.44140625" style="174" customWidth="1"/>
    <col min="10245" max="10247" width="7.21875" style="174" customWidth="1"/>
    <col min="10248" max="10248" width="8.21875" style="174" customWidth="1"/>
    <col min="10249" max="10249" width="6.33203125" style="174" customWidth="1"/>
    <col min="10250" max="10251" width="8.88671875" style="174" customWidth="1"/>
    <col min="10252" max="10252" width="9.77734375" style="174" bestFit="1" customWidth="1"/>
    <col min="10253" max="10496" width="8.88671875" style="174"/>
    <col min="10497" max="10497" width="4.21875" style="174" customWidth="1"/>
    <col min="10498" max="10498" width="28.44140625" style="174" customWidth="1"/>
    <col min="10499" max="10500" width="3.44140625" style="174" customWidth="1"/>
    <col min="10501" max="10503" width="7.21875" style="174" customWidth="1"/>
    <col min="10504" max="10504" width="8.21875" style="174" customWidth="1"/>
    <col min="10505" max="10505" width="6.33203125" style="174" customWidth="1"/>
    <col min="10506" max="10507" width="8.88671875" style="174" customWidth="1"/>
    <col min="10508" max="10508" width="9.77734375" style="174" bestFit="1" customWidth="1"/>
    <col min="10509" max="10752" width="8.88671875" style="174"/>
    <col min="10753" max="10753" width="4.21875" style="174" customWidth="1"/>
    <col min="10754" max="10754" width="28.44140625" style="174" customWidth="1"/>
    <col min="10755" max="10756" width="3.44140625" style="174" customWidth="1"/>
    <col min="10757" max="10759" width="7.21875" style="174" customWidth="1"/>
    <col min="10760" max="10760" width="8.21875" style="174" customWidth="1"/>
    <col min="10761" max="10761" width="6.33203125" style="174" customWidth="1"/>
    <col min="10762" max="10763" width="8.88671875" style="174" customWidth="1"/>
    <col min="10764" max="10764" width="9.77734375" style="174" bestFit="1" customWidth="1"/>
    <col min="10765" max="11008" width="8.88671875" style="174"/>
    <col min="11009" max="11009" width="4.21875" style="174" customWidth="1"/>
    <col min="11010" max="11010" width="28.44140625" style="174" customWidth="1"/>
    <col min="11011" max="11012" width="3.44140625" style="174" customWidth="1"/>
    <col min="11013" max="11015" width="7.21875" style="174" customWidth="1"/>
    <col min="11016" max="11016" width="8.21875" style="174" customWidth="1"/>
    <col min="11017" max="11017" width="6.33203125" style="174" customWidth="1"/>
    <col min="11018" max="11019" width="8.88671875" style="174" customWidth="1"/>
    <col min="11020" max="11020" width="9.77734375" style="174" bestFit="1" customWidth="1"/>
    <col min="11021" max="11264" width="8.88671875" style="174"/>
    <col min="11265" max="11265" width="4.21875" style="174" customWidth="1"/>
    <col min="11266" max="11266" width="28.44140625" style="174" customWidth="1"/>
    <col min="11267" max="11268" width="3.44140625" style="174" customWidth="1"/>
    <col min="11269" max="11271" width="7.21875" style="174" customWidth="1"/>
    <col min="11272" max="11272" width="8.21875" style="174" customWidth="1"/>
    <col min="11273" max="11273" width="6.33203125" style="174" customWidth="1"/>
    <col min="11274" max="11275" width="8.88671875" style="174" customWidth="1"/>
    <col min="11276" max="11276" width="9.77734375" style="174" bestFit="1" customWidth="1"/>
    <col min="11277" max="11520" width="8.88671875" style="174"/>
    <col min="11521" max="11521" width="4.21875" style="174" customWidth="1"/>
    <col min="11522" max="11522" width="28.44140625" style="174" customWidth="1"/>
    <col min="11523" max="11524" width="3.44140625" style="174" customWidth="1"/>
    <col min="11525" max="11527" width="7.21875" style="174" customWidth="1"/>
    <col min="11528" max="11528" width="8.21875" style="174" customWidth="1"/>
    <col min="11529" max="11529" width="6.33203125" style="174" customWidth="1"/>
    <col min="11530" max="11531" width="8.88671875" style="174" customWidth="1"/>
    <col min="11532" max="11532" width="9.77734375" style="174" bestFit="1" customWidth="1"/>
    <col min="11533" max="11776" width="8.88671875" style="174"/>
    <col min="11777" max="11777" width="4.21875" style="174" customWidth="1"/>
    <col min="11778" max="11778" width="28.44140625" style="174" customWidth="1"/>
    <col min="11779" max="11780" width="3.44140625" style="174" customWidth="1"/>
    <col min="11781" max="11783" width="7.21875" style="174" customWidth="1"/>
    <col min="11784" max="11784" width="8.21875" style="174" customWidth="1"/>
    <col min="11785" max="11785" width="6.33203125" style="174" customWidth="1"/>
    <col min="11786" max="11787" width="8.88671875" style="174" customWidth="1"/>
    <col min="11788" max="11788" width="9.77734375" style="174" bestFit="1" customWidth="1"/>
    <col min="11789" max="12032" width="8.88671875" style="174"/>
    <col min="12033" max="12033" width="4.21875" style="174" customWidth="1"/>
    <col min="12034" max="12034" width="28.44140625" style="174" customWidth="1"/>
    <col min="12035" max="12036" width="3.44140625" style="174" customWidth="1"/>
    <col min="12037" max="12039" width="7.21875" style="174" customWidth="1"/>
    <col min="12040" max="12040" width="8.21875" style="174" customWidth="1"/>
    <col min="12041" max="12041" width="6.33203125" style="174" customWidth="1"/>
    <col min="12042" max="12043" width="8.88671875" style="174" customWidth="1"/>
    <col min="12044" max="12044" width="9.77734375" style="174" bestFit="1" customWidth="1"/>
    <col min="12045" max="12288" width="8.88671875" style="174"/>
    <col min="12289" max="12289" width="4.21875" style="174" customWidth="1"/>
    <col min="12290" max="12290" width="28.44140625" style="174" customWidth="1"/>
    <col min="12291" max="12292" width="3.44140625" style="174" customWidth="1"/>
    <col min="12293" max="12295" width="7.21875" style="174" customWidth="1"/>
    <col min="12296" max="12296" width="8.21875" style="174" customWidth="1"/>
    <col min="12297" max="12297" width="6.33203125" style="174" customWidth="1"/>
    <col min="12298" max="12299" width="8.88671875" style="174" customWidth="1"/>
    <col min="12300" max="12300" width="9.77734375" style="174" bestFit="1" customWidth="1"/>
    <col min="12301" max="12544" width="8.88671875" style="174"/>
    <col min="12545" max="12545" width="4.21875" style="174" customWidth="1"/>
    <col min="12546" max="12546" width="28.44140625" style="174" customWidth="1"/>
    <col min="12547" max="12548" width="3.44140625" style="174" customWidth="1"/>
    <col min="12549" max="12551" width="7.21875" style="174" customWidth="1"/>
    <col min="12552" max="12552" width="8.21875" style="174" customWidth="1"/>
    <col min="12553" max="12553" width="6.33203125" style="174" customWidth="1"/>
    <col min="12554" max="12555" width="8.88671875" style="174" customWidth="1"/>
    <col min="12556" max="12556" width="9.77734375" style="174" bestFit="1" customWidth="1"/>
    <col min="12557" max="12800" width="8.88671875" style="174"/>
    <col min="12801" max="12801" width="4.21875" style="174" customWidth="1"/>
    <col min="12802" max="12802" width="28.44140625" style="174" customWidth="1"/>
    <col min="12803" max="12804" width="3.44140625" style="174" customWidth="1"/>
    <col min="12805" max="12807" width="7.21875" style="174" customWidth="1"/>
    <col min="12808" max="12808" width="8.21875" style="174" customWidth="1"/>
    <col min="12809" max="12809" width="6.33203125" style="174" customWidth="1"/>
    <col min="12810" max="12811" width="8.88671875" style="174" customWidth="1"/>
    <col min="12812" max="12812" width="9.77734375" style="174" bestFit="1" customWidth="1"/>
    <col min="12813" max="13056" width="8.88671875" style="174"/>
    <col min="13057" max="13057" width="4.21875" style="174" customWidth="1"/>
    <col min="13058" max="13058" width="28.44140625" style="174" customWidth="1"/>
    <col min="13059" max="13060" width="3.44140625" style="174" customWidth="1"/>
    <col min="13061" max="13063" width="7.21875" style="174" customWidth="1"/>
    <col min="13064" max="13064" width="8.21875" style="174" customWidth="1"/>
    <col min="13065" max="13065" width="6.33203125" style="174" customWidth="1"/>
    <col min="13066" max="13067" width="8.88671875" style="174" customWidth="1"/>
    <col min="13068" max="13068" width="9.77734375" style="174" bestFit="1" customWidth="1"/>
    <col min="13069" max="13312" width="8.88671875" style="174"/>
    <col min="13313" max="13313" width="4.21875" style="174" customWidth="1"/>
    <col min="13314" max="13314" width="28.44140625" style="174" customWidth="1"/>
    <col min="13315" max="13316" width="3.44140625" style="174" customWidth="1"/>
    <col min="13317" max="13319" width="7.21875" style="174" customWidth="1"/>
    <col min="13320" max="13320" width="8.21875" style="174" customWidth="1"/>
    <col min="13321" max="13321" width="6.33203125" style="174" customWidth="1"/>
    <col min="13322" max="13323" width="8.88671875" style="174" customWidth="1"/>
    <col min="13324" max="13324" width="9.77734375" style="174" bestFit="1" customWidth="1"/>
    <col min="13325" max="13568" width="8.88671875" style="174"/>
    <col min="13569" max="13569" width="4.21875" style="174" customWidth="1"/>
    <col min="13570" max="13570" width="28.44140625" style="174" customWidth="1"/>
    <col min="13571" max="13572" width="3.44140625" style="174" customWidth="1"/>
    <col min="13573" max="13575" width="7.21875" style="174" customWidth="1"/>
    <col min="13576" max="13576" width="8.21875" style="174" customWidth="1"/>
    <col min="13577" max="13577" width="6.33203125" style="174" customWidth="1"/>
    <col min="13578" max="13579" width="8.88671875" style="174" customWidth="1"/>
    <col min="13580" max="13580" width="9.77734375" style="174" bestFit="1" customWidth="1"/>
    <col min="13581" max="13824" width="8.88671875" style="174"/>
    <col min="13825" max="13825" width="4.21875" style="174" customWidth="1"/>
    <col min="13826" max="13826" width="28.44140625" style="174" customWidth="1"/>
    <col min="13827" max="13828" width="3.44140625" style="174" customWidth="1"/>
    <col min="13829" max="13831" width="7.21875" style="174" customWidth="1"/>
    <col min="13832" max="13832" width="8.21875" style="174" customWidth="1"/>
    <col min="13833" max="13833" width="6.33203125" style="174" customWidth="1"/>
    <col min="13834" max="13835" width="8.88671875" style="174" customWidth="1"/>
    <col min="13836" max="13836" width="9.77734375" style="174" bestFit="1" customWidth="1"/>
    <col min="13837" max="14080" width="8.88671875" style="174"/>
    <col min="14081" max="14081" width="4.21875" style="174" customWidth="1"/>
    <col min="14082" max="14082" width="28.44140625" style="174" customWidth="1"/>
    <col min="14083" max="14084" width="3.44140625" style="174" customWidth="1"/>
    <col min="14085" max="14087" width="7.21875" style="174" customWidth="1"/>
    <col min="14088" max="14088" width="8.21875" style="174" customWidth="1"/>
    <col min="14089" max="14089" width="6.33203125" style="174" customWidth="1"/>
    <col min="14090" max="14091" width="8.88671875" style="174" customWidth="1"/>
    <col min="14092" max="14092" width="9.77734375" style="174" bestFit="1" customWidth="1"/>
    <col min="14093" max="14336" width="8.88671875" style="174"/>
    <col min="14337" max="14337" width="4.21875" style="174" customWidth="1"/>
    <col min="14338" max="14338" width="28.44140625" style="174" customWidth="1"/>
    <col min="14339" max="14340" width="3.44140625" style="174" customWidth="1"/>
    <col min="14341" max="14343" width="7.21875" style="174" customWidth="1"/>
    <col min="14344" max="14344" width="8.21875" style="174" customWidth="1"/>
    <col min="14345" max="14345" width="6.33203125" style="174" customWidth="1"/>
    <col min="14346" max="14347" width="8.88671875" style="174" customWidth="1"/>
    <col min="14348" max="14348" width="9.77734375" style="174" bestFit="1" customWidth="1"/>
    <col min="14349" max="14592" width="8.88671875" style="174"/>
    <col min="14593" max="14593" width="4.21875" style="174" customWidth="1"/>
    <col min="14594" max="14594" width="28.44140625" style="174" customWidth="1"/>
    <col min="14595" max="14596" width="3.44140625" style="174" customWidth="1"/>
    <col min="14597" max="14599" width="7.21875" style="174" customWidth="1"/>
    <col min="14600" max="14600" width="8.21875" style="174" customWidth="1"/>
    <col min="14601" max="14601" width="6.33203125" style="174" customWidth="1"/>
    <col min="14602" max="14603" width="8.88671875" style="174" customWidth="1"/>
    <col min="14604" max="14604" width="9.77734375" style="174" bestFit="1" customWidth="1"/>
    <col min="14605" max="14848" width="8.88671875" style="174"/>
    <col min="14849" max="14849" width="4.21875" style="174" customWidth="1"/>
    <col min="14850" max="14850" width="28.44140625" style="174" customWidth="1"/>
    <col min="14851" max="14852" width="3.44140625" style="174" customWidth="1"/>
    <col min="14853" max="14855" width="7.21875" style="174" customWidth="1"/>
    <col min="14856" max="14856" width="8.21875" style="174" customWidth="1"/>
    <col min="14857" max="14857" width="6.33203125" style="174" customWidth="1"/>
    <col min="14858" max="14859" width="8.88671875" style="174" customWidth="1"/>
    <col min="14860" max="14860" width="9.77734375" style="174" bestFit="1" customWidth="1"/>
    <col min="14861" max="15104" width="8.88671875" style="174"/>
    <col min="15105" max="15105" width="4.21875" style="174" customWidth="1"/>
    <col min="15106" max="15106" width="28.44140625" style="174" customWidth="1"/>
    <col min="15107" max="15108" width="3.44140625" style="174" customWidth="1"/>
    <col min="15109" max="15111" width="7.21875" style="174" customWidth="1"/>
    <col min="15112" max="15112" width="8.21875" style="174" customWidth="1"/>
    <col min="15113" max="15113" width="6.33203125" style="174" customWidth="1"/>
    <col min="15114" max="15115" width="8.88671875" style="174" customWidth="1"/>
    <col min="15116" max="15116" width="9.77734375" style="174" bestFit="1" customWidth="1"/>
    <col min="15117" max="15360" width="8.88671875" style="174"/>
    <col min="15361" max="15361" width="4.21875" style="174" customWidth="1"/>
    <col min="15362" max="15362" width="28.44140625" style="174" customWidth="1"/>
    <col min="15363" max="15364" width="3.44140625" style="174" customWidth="1"/>
    <col min="15365" max="15367" width="7.21875" style="174" customWidth="1"/>
    <col min="15368" max="15368" width="8.21875" style="174" customWidth="1"/>
    <col min="15369" max="15369" width="6.33203125" style="174" customWidth="1"/>
    <col min="15370" max="15371" width="8.88671875" style="174" customWidth="1"/>
    <col min="15372" max="15372" width="9.77734375" style="174" bestFit="1" customWidth="1"/>
    <col min="15373" max="15616" width="8.88671875" style="174"/>
    <col min="15617" max="15617" width="4.21875" style="174" customWidth="1"/>
    <col min="15618" max="15618" width="28.44140625" style="174" customWidth="1"/>
    <col min="15619" max="15620" width="3.44140625" style="174" customWidth="1"/>
    <col min="15621" max="15623" width="7.21875" style="174" customWidth="1"/>
    <col min="15624" max="15624" width="8.21875" style="174" customWidth="1"/>
    <col min="15625" max="15625" width="6.33203125" style="174" customWidth="1"/>
    <col min="15626" max="15627" width="8.88671875" style="174" customWidth="1"/>
    <col min="15628" max="15628" width="9.77734375" style="174" bestFit="1" customWidth="1"/>
    <col min="15629" max="15872" width="8.88671875" style="174"/>
    <col min="15873" max="15873" width="4.21875" style="174" customWidth="1"/>
    <col min="15874" max="15874" width="28.44140625" style="174" customWidth="1"/>
    <col min="15875" max="15876" width="3.44140625" style="174" customWidth="1"/>
    <col min="15877" max="15879" width="7.21875" style="174" customWidth="1"/>
    <col min="15880" max="15880" width="8.21875" style="174" customWidth="1"/>
    <col min="15881" max="15881" width="6.33203125" style="174" customWidth="1"/>
    <col min="15882" max="15883" width="8.88671875" style="174" customWidth="1"/>
    <col min="15884" max="15884" width="9.77734375" style="174" bestFit="1" customWidth="1"/>
    <col min="15885" max="16128" width="8.88671875" style="174"/>
    <col min="16129" max="16129" width="4.21875" style="174" customWidth="1"/>
    <col min="16130" max="16130" width="28.44140625" style="174" customWidth="1"/>
    <col min="16131" max="16132" width="3.44140625" style="174" customWidth="1"/>
    <col min="16133" max="16135" width="7.21875" style="174" customWidth="1"/>
    <col min="16136" max="16136" width="8.21875" style="174" customWidth="1"/>
    <col min="16137" max="16137" width="6.33203125" style="174" customWidth="1"/>
    <col min="16138" max="16139" width="8.88671875" style="174" customWidth="1"/>
    <col min="16140" max="16140" width="9.77734375" style="174" bestFit="1" customWidth="1"/>
    <col min="16141" max="16384" width="8.88671875" style="174"/>
  </cols>
  <sheetData>
    <row r="1" spans="1:13" ht="18" customHeight="1">
      <c r="A1" s="1214" t="s">
        <v>2403</v>
      </c>
      <c r="B1" s="1214"/>
      <c r="C1" s="1214"/>
      <c r="D1" s="1214"/>
      <c r="E1" s="1214"/>
      <c r="F1" s="1214"/>
      <c r="G1" s="1214"/>
      <c r="H1" s="1214"/>
      <c r="I1" s="1214"/>
      <c r="J1" s="633"/>
      <c r="K1" s="633"/>
    </row>
    <row r="2" spans="1:13" ht="18" customHeight="1">
      <c r="A2" s="1214" t="s">
        <v>3478</v>
      </c>
      <c r="B2" s="1214"/>
      <c r="C2" s="1214"/>
      <c r="D2" s="1214"/>
      <c r="E2" s="1214"/>
      <c r="F2" s="1214"/>
      <c r="G2" s="1214"/>
      <c r="H2" s="1214"/>
      <c r="I2" s="1214"/>
      <c r="J2" s="633"/>
      <c r="K2" s="633"/>
    </row>
    <row r="3" spans="1:13" ht="10.15" customHeight="1">
      <c r="A3" s="634"/>
      <c r="B3" s="634"/>
      <c r="C3" s="634"/>
      <c r="D3" s="634"/>
      <c r="E3" s="634"/>
      <c r="F3" s="634"/>
      <c r="G3" s="634"/>
      <c r="H3" s="634"/>
      <c r="I3" s="634"/>
      <c r="J3" s="633"/>
      <c r="K3" s="633"/>
    </row>
    <row r="4" spans="1:13" ht="40.15" customHeight="1">
      <c r="A4" s="1220" t="s">
        <v>4540</v>
      </c>
      <c r="B4" s="1220"/>
      <c r="C4" s="1220"/>
      <c r="D4" s="1220"/>
      <c r="E4" s="1220"/>
      <c r="F4" s="1220"/>
      <c r="G4" s="1220"/>
      <c r="H4" s="1220"/>
      <c r="I4" s="1220"/>
      <c r="J4" s="633"/>
      <c r="K4" s="633"/>
    </row>
    <row r="5" spans="1:13" ht="10.15" customHeight="1">
      <c r="A5" s="635"/>
      <c r="B5" s="635"/>
      <c r="C5" s="635"/>
      <c r="D5" s="635"/>
      <c r="E5" s="635"/>
      <c r="F5" s="635"/>
      <c r="G5" s="635"/>
      <c r="H5" s="635"/>
      <c r="I5" s="635"/>
      <c r="J5" s="633"/>
      <c r="K5" s="633"/>
    </row>
    <row r="6" spans="1:13" ht="19.899999999999999" customHeight="1">
      <c r="A6" s="1221" t="s">
        <v>4402</v>
      </c>
      <c r="B6" s="1221"/>
      <c r="C6" s="1221"/>
      <c r="D6" s="1221"/>
      <c r="E6" s="1221"/>
      <c r="F6" s="1221"/>
      <c r="G6" s="1221"/>
      <c r="H6" s="1221"/>
      <c r="I6" s="1221"/>
      <c r="J6" s="633"/>
      <c r="K6" s="633"/>
    </row>
    <row r="7" spans="1:13" ht="10.15" customHeight="1">
      <c r="A7" s="636"/>
      <c r="B7" s="636"/>
      <c r="C7" s="636"/>
      <c r="D7" s="636"/>
      <c r="E7" s="636"/>
      <c r="F7" s="636"/>
      <c r="G7" s="636"/>
      <c r="H7" s="636"/>
      <c r="I7" s="636"/>
      <c r="J7" s="633"/>
      <c r="K7" s="633"/>
    </row>
    <row r="8" spans="1:13" ht="25.15" customHeight="1">
      <c r="A8" s="1222" t="s">
        <v>3601</v>
      </c>
      <c r="B8" s="1223" t="s">
        <v>4404</v>
      </c>
      <c r="C8" s="1224" t="s">
        <v>838</v>
      </c>
      <c r="D8" s="1224"/>
      <c r="E8" s="1223" t="s">
        <v>4511</v>
      </c>
      <c r="F8" s="1223"/>
      <c r="G8" s="1223"/>
      <c r="H8" s="1225" t="s">
        <v>1720</v>
      </c>
      <c r="I8" s="1223" t="s">
        <v>181</v>
      </c>
      <c r="J8" s="637"/>
      <c r="K8" s="637"/>
    </row>
    <row r="9" spans="1:13" ht="25.15" customHeight="1">
      <c r="A9" s="1223"/>
      <c r="B9" s="1223"/>
      <c r="C9" s="1224"/>
      <c r="D9" s="1224"/>
      <c r="E9" s="638" t="s">
        <v>4387</v>
      </c>
      <c r="F9" s="638" t="s">
        <v>4218</v>
      </c>
      <c r="G9" s="638" t="s">
        <v>3294</v>
      </c>
      <c r="H9" s="1226"/>
      <c r="I9" s="1223"/>
      <c r="J9" s="637"/>
      <c r="K9" s="637"/>
      <c r="M9" s="211"/>
    </row>
    <row r="10" spans="1:13" s="238" customFormat="1" ht="40.15" customHeight="1">
      <c r="A10" s="206">
        <v>1</v>
      </c>
      <c r="B10" s="992" t="s">
        <v>4512</v>
      </c>
      <c r="C10" s="993"/>
      <c r="D10" s="993"/>
      <c r="E10" s="993"/>
      <c r="F10" s="993"/>
      <c r="G10" s="993"/>
      <c r="H10" s="994"/>
      <c r="I10" s="202"/>
      <c r="J10" s="174"/>
      <c r="K10" s="174"/>
    </row>
    <row r="11" spans="1:13" s="238" customFormat="1" ht="22.9" customHeight="1">
      <c r="A11" s="206"/>
      <c r="B11" s="262" t="s">
        <v>4513</v>
      </c>
      <c r="C11" s="206"/>
      <c r="D11" s="206"/>
      <c r="E11" s="201"/>
      <c r="F11" s="201"/>
      <c r="G11" s="201"/>
      <c r="H11" s="207"/>
      <c r="I11" s="208"/>
      <c r="J11" s="211"/>
      <c r="K11" s="211"/>
    </row>
    <row r="12" spans="1:13" s="238" customFormat="1" ht="22.9" customHeight="1">
      <c r="A12" s="206"/>
      <c r="B12" s="639" t="s">
        <v>4543</v>
      </c>
      <c r="C12" s="206">
        <v>21</v>
      </c>
      <c r="D12" s="206">
        <v>1</v>
      </c>
      <c r="E12" s="201"/>
      <c r="F12" s="201"/>
      <c r="G12" s="201"/>
      <c r="H12" s="200">
        <f>PRODUCT(C12:G12)</f>
        <v>21</v>
      </c>
      <c r="I12" s="202"/>
      <c r="J12" s="174"/>
      <c r="K12" s="174"/>
      <c r="L12" s="238">
        <v>700</v>
      </c>
    </row>
    <row r="13" spans="1:13" s="238" customFormat="1" ht="22.9" customHeight="1">
      <c r="A13" s="206"/>
      <c r="B13" s="253"/>
      <c r="C13" s="206"/>
      <c r="D13" s="206"/>
      <c r="E13" s="201"/>
      <c r="F13" s="201"/>
      <c r="G13" s="207" t="s">
        <v>1827</v>
      </c>
      <c r="H13" s="207">
        <f>SUM(H12:H12)</f>
        <v>21</v>
      </c>
      <c r="I13" s="208" t="s">
        <v>838</v>
      </c>
      <c r="J13" s="211"/>
      <c r="K13" s="211"/>
    </row>
    <row r="14" spans="1:13" s="238" customFormat="1" ht="22.9" customHeight="1">
      <c r="A14" s="206"/>
      <c r="B14" s="253"/>
      <c r="C14" s="206"/>
      <c r="D14" s="206"/>
      <c r="E14" s="201"/>
      <c r="F14" s="201"/>
      <c r="G14" s="207"/>
      <c r="H14" s="207"/>
      <c r="I14" s="208"/>
      <c r="J14" s="211"/>
      <c r="K14" s="211"/>
    </row>
    <row r="15" spans="1:13" s="238" customFormat="1" ht="22.9" customHeight="1">
      <c r="A15" s="206"/>
      <c r="B15" s="262" t="s">
        <v>4772</v>
      </c>
      <c r="C15" s="206"/>
      <c r="D15" s="206"/>
      <c r="E15" s="201"/>
      <c r="F15" s="201"/>
      <c r="G15" s="201"/>
      <c r="H15" s="207"/>
      <c r="I15" s="208"/>
      <c r="J15" s="211"/>
      <c r="K15" s="211"/>
    </row>
    <row r="16" spans="1:13" s="238" customFormat="1" ht="22.9" customHeight="1">
      <c r="A16" s="206"/>
      <c r="B16" s="639" t="s">
        <v>4514</v>
      </c>
      <c r="C16" s="206">
        <v>12</v>
      </c>
      <c r="D16" s="206">
        <v>1</v>
      </c>
      <c r="E16" s="201"/>
      <c r="F16" s="201"/>
      <c r="G16" s="201"/>
      <c r="H16" s="200">
        <f>PRODUCT(C16:G16)</f>
        <v>12</v>
      </c>
      <c r="I16" s="208"/>
      <c r="J16" s="211"/>
      <c r="K16" s="211"/>
    </row>
    <row r="17" spans="1:12" s="238" customFormat="1" ht="22.9" customHeight="1">
      <c r="A17" s="206"/>
      <c r="B17" s="253"/>
      <c r="C17" s="206"/>
      <c r="D17" s="206"/>
      <c r="E17" s="201"/>
      <c r="F17" s="210"/>
      <c r="G17" s="207" t="s">
        <v>1827</v>
      </c>
      <c r="H17" s="207">
        <f>SUM(H16:H16)</f>
        <v>12</v>
      </c>
      <c r="I17" s="208" t="s">
        <v>838</v>
      </c>
      <c r="J17" s="211"/>
      <c r="K17" s="211">
        <v>1040</v>
      </c>
      <c r="L17" s="238">
        <v>500</v>
      </c>
    </row>
    <row r="18" spans="1:12" s="238" customFormat="1" ht="22.9" customHeight="1">
      <c r="A18" s="206"/>
      <c r="B18" s="253"/>
      <c r="C18" s="206"/>
      <c r="D18" s="206"/>
      <c r="E18" s="201"/>
      <c r="F18" s="210"/>
      <c r="G18" s="210"/>
      <c r="H18" s="207"/>
      <c r="I18" s="208"/>
      <c r="J18" s="211"/>
      <c r="K18" s="211"/>
    </row>
    <row r="19" spans="1:12" s="238" customFormat="1" ht="22.9" customHeight="1">
      <c r="A19" s="206"/>
      <c r="B19" s="262" t="s">
        <v>4515</v>
      </c>
      <c r="C19" s="206"/>
      <c r="D19" s="206"/>
      <c r="E19" s="201"/>
      <c r="F19" s="201"/>
      <c r="G19" s="201"/>
      <c r="H19" s="207"/>
      <c r="I19" s="208"/>
      <c r="J19" s="211"/>
      <c r="K19" s="211"/>
    </row>
    <row r="20" spans="1:12" s="238" customFormat="1" ht="22.9" customHeight="1">
      <c r="A20" s="206"/>
      <c r="B20" s="253" t="s">
        <v>4541</v>
      </c>
      <c r="C20" s="206">
        <v>1</v>
      </c>
      <c r="D20" s="206">
        <v>1</v>
      </c>
      <c r="E20" s="201"/>
      <c r="F20" s="201"/>
      <c r="G20" s="201"/>
      <c r="H20" s="200">
        <f>PRODUCT(C20:G20)</f>
        <v>1</v>
      </c>
      <c r="I20" s="208"/>
      <c r="J20" s="211"/>
      <c r="K20" s="211"/>
    </row>
    <row r="21" spans="1:12" s="238" customFormat="1" ht="22.9" customHeight="1">
      <c r="A21" s="206"/>
      <c r="B21" s="253"/>
      <c r="C21" s="206"/>
      <c r="D21" s="206"/>
      <c r="E21" s="201"/>
      <c r="F21" s="201"/>
      <c r="G21" s="207" t="s">
        <v>1827</v>
      </c>
      <c r="H21" s="207">
        <f>SUM(H20:H20)</f>
        <v>1</v>
      </c>
      <c r="I21" s="208" t="s">
        <v>453</v>
      </c>
      <c r="J21" s="211"/>
      <c r="K21" s="211"/>
      <c r="L21" s="238">
        <v>3000</v>
      </c>
    </row>
    <row r="22" spans="1:12" s="238" customFormat="1" ht="22.9" customHeight="1">
      <c r="A22" s="206"/>
      <c r="B22" s="253"/>
      <c r="C22" s="201"/>
      <c r="D22" s="201"/>
      <c r="E22" s="201"/>
      <c r="F22" s="210"/>
      <c r="G22" s="210"/>
      <c r="H22" s="207"/>
      <c r="I22" s="208"/>
      <c r="J22" s="211"/>
      <c r="K22" s="211"/>
    </row>
    <row r="23" spans="1:12" s="238" customFormat="1" ht="22.9" customHeight="1">
      <c r="A23" s="206"/>
      <c r="B23" s="262" t="s">
        <v>4516</v>
      </c>
      <c r="C23" s="206"/>
      <c r="D23" s="206"/>
      <c r="E23" s="201"/>
      <c r="F23" s="201"/>
      <c r="G23" s="201"/>
      <c r="H23" s="207"/>
      <c r="I23" s="208"/>
      <c r="J23" s="211"/>
      <c r="K23" s="211"/>
    </row>
    <row r="24" spans="1:12" s="238" customFormat="1" ht="22.9" customHeight="1">
      <c r="A24" s="206"/>
      <c r="B24" s="253" t="s">
        <v>4542</v>
      </c>
      <c r="C24" s="206">
        <v>1</v>
      </c>
      <c r="D24" s="206">
        <v>1</v>
      </c>
      <c r="E24" s="201"/>
      <c r="F24" s="201"/>
      <c r="G24" s="201"/>
      <c r="H24" s="200">
        <f>PRODUCT(C24:G24)</f>
        <v>1</v>
      </c>
      <c r="I24" s="208"/>
      <c r="J24" s="211"/>
      <c r="K24" s="211"/>
    </row>
    <row r="25" spans="1:12" s="238" customFormat="1" ht="22.9" customHeight="1">
      <c r="A25" s="206"/>
      <c r="B25" s="253"/>
      <c r="C25" s="206"/>
      <c r="D25" s="206"/>
      <c r="E25" s="201"/>
      <c r="F25" s="201"/>
      <c r="G25" s="207" t="s">
        <v>1827</v>
      </c>
      <c r="H25" s="207">
        <f>SUM(H24:H24)</f>
        <v>1</v>
      </c>
      <c r="I25" s="208" t="s">
        <v>453</v>
      </c>
      <c r="J25" s="211"/>
      <c r="K25" s="211">
        <v>4500</v>
      </c>
      <c r="L25" s="238">
        <v>4800</v>
      </c>
    </row>
    <row r="26" spans="1:12" s="238" customFormat="1" ht="22.9" customHeight="1">
      <c r="A26" s="206"/>
      <c r="B26" s="253"/>
      <c r="C26" s="201"/>
      <c r="D26" s="201"/>
      <c r="E26" s="201"/>
      <c r="F26" s="210"/>
      <c r="G26" s="210"/>
      <c r="H26" s="207"/>
      <c r="I26" s="208"/>
      <c r="J26" s="211"/>
      <c r="K26" s="211"/>
    </row>
    <row r="27" spans="1:12" s="238" customFormat="1" ht="22.9" customHeight="1">
      <c r="A27" s="206"/>
      <c r="B27" s="262" t="s">
        <v>4517</v>
      </c>
      <c r="C27" s="206"/>
      <c r="D27" s="206"/>
      <c r="E27" s="201"/>
      <c r="F27" s="201"/>
      <c r="G27" s="201"/>
      <c r="H27" s="200"/>
      <c r="I27" s="202"/>
      <c r="J27" s="174"/>
      <c r="K27" s="174"/>
    </row>
    <row r="28" spans="1:12" s="238" customFormat="1" ht="22.9" customHeight="1">
      <c r="A28" s="206"/>
      <c r="B28" s="262" t="s">
        <v>4518</v>
      </c>
      <c r="C28" s="206"/>
      <c r="D28" s="206"/>
      <c r="E28" s="201"/>
      <c r="F28" s="201"/>
      <c r="G28" s="201"/>
      <c r="H28" s="200"/>
      <c r="I28" s="202"/>
      <c r="J28" s="174"/>
      <c r="K28" s="174"/>
    </row>
    <row r="29" spans="1:12" s="238" customFormat="1" ht="22.9" customHeight="1">
      <c r="A29" s="206"/>
      <c r="B29" s="253" t="s">
        <v>4519</v>
      </c>
      <c r="C29" s="206">
        <v>1</v>
      </c>
      <c r="D29" s="206">
        <v>1</v>
      </c>
      <c r="E29" s="201">
        <v>18</v>
      </c>
      <c r="F29" s="201"/>
      <c r="G29" s="201">
        <v>4</v>
      </c>
      <c r="H29" s="200">
        <f>PRODUCT(C29:G29)</f>
        <v>72</v>
      </c>
      <c r="I29" s="202"/>
      <c r="J29" s="174"/>
      <c r="K29" s="174"/>
    </row>
    <row r="30" spans="1:12" s="238" customFormat="1" ht="22.9" customHeight="1">
      <c r="A30" s="206"/>
      <c r="B30" s="253" t="s">
        <v>4520</v>
      </c>
      <c r="C30" s="206">
        <v>1</v>
      </c>
      <c r="D30" s="206">
        <v>1</v>
      </c>
      <c r="E30" s="201">
        <v>18</v>
      </c>
      <c r="F30" s="201"/>
      <c r="G30" s="201">
        <v>4</v>
      </c>
      <c r="H30" s="200">
        <f t="shared" ref="H30:H44" si="0">PRODUCT(C30:G30)</f>
        <v>72</v>
      </c>
      <c r="I30" s="202"/>
      <c r="J30" s="174"/>
      <c r="K30" s="174"/>
    </row>
    <row r="31" spans="1:12" s="238" customFormat="1" ht="22.9" customHeight="1">
      <c r="A31" s="206"/>
      <c r="B31" s="640" t="s">
        <v>4521</v>
      </c>
      <c r="C31" s="206">
        <v>1</v>
      </c>
      <c r="D31" s="206">
        <v>1</v>
      </c>
      <c r="E31" s="201">
        <v>18</v>
      </c>
      <c r="F31" s="201"/>
      <c r="G31" s="201">
        <v>4</v>
      </c>
      <c r="H31" s="200">
        <f t="shared" si="0"/>
        <v>72</v>
      </c>
      <c r="I31" s="202"/>
      <c r="J31" s="174"/>
      <c r="K31" s="174"/>
    </row>
    <row r="32" spans="1:12" s="238" customFormat="1" ht="22.9" customHeight="1">
      <c r="A32" s="206"/>
      <c r="B32" s="640" t="s">
        <v>4522</v>
      </c>
      <c r="C32" s="206">
        <v>1</v>
      </c>
      <c r="D32" s="206">
        <v>1</v>
      </c>
      <c r="E32" s="201">
        <v>18</v>
      </c>
      <c r="F32" s="201"/>
      <c r="G32" s="201">
        <v>4</v>
      </c>
      <c r="H32" s="200">
        <f t="shared" si="0"/>
        <v>72</v>
      </c>
      <c r="I32" s="202"/>
      <c r="J32" s="174"/>
      <c r="K32" s="174"/>
    </row>
    <row r="33" spans="1:11" s="238" customFormat="1" ht="22.9" customHeight="1">
      <c r="A33" s="206"/>
      <c r="B33" s="640" t="s">
        <v>4523</v>
      </c>
      <c r="C33" s="206">
        <v>1</v>
      </c>
      <c r="D33" s="206">
        <v>3</v>
      </c>
      <c r="E33" s="201">
        <v>18</v>
      </c>
      <c r="F33" s="201"/>
      <c r="G33" s="201">
        <v>4</v>
      </c>
      <c r="H33" s="200">
        <f t="shared" si="0"/>
        <v>216</v>
      </c>
      <c r="I33" s="202"/>
      <c r="J33" s="174"/>
      <c r="K33" s="174"/>
    </row>
    <row r="34" spans="1:11" s="238" customFormat="1" ht="22.9" customHeight="1">
      <c r="A34" s="206"/>
      <c r="B34" s="641" t="s">
        <v>4524</v>
      </c>
      <c r="C34" s="206"/>
      <c r="D34" s="206"/>
      <c r="E34" s="201"/>
      <c r="F34" s="201"/>
      <c r="G34" s="201"/>
      <c r="H34" s="200"/>
      <c r="I34" s="202"/>
      <c r="J34" s="174"/>
      <c r="K34" s="174"/>
    </row>
    <row r="35" spans="1:11" s="238" customFormat="1" ht="22.9" customHeight="1">
      <c r="A35" s="206"/>
      <c r="B35" s="640" t="s">
        <v>4525</v>
      </c>
      <c r="C35" s="206">
        <v>1</v>
      </c>
      <c r="D35" s="206">
        <v>1</v>
      </c>
      <c r="E35" s="201">
        <v>18</v>
      </c>
      <c r="F35" s="201"/>
      <c r="G35" s="201">
        <v>4</v>
      </c>
      <c r="H35" s="200">
        <f t="shared" si="0"/>
        <v>72</v>
      </c>
      <c r="I35" s="202"/>
      <c r="J35" s="174"/>
      <c r="K35" s="174"/>
    </row>
    <row r="36" spans="1:11" s="238" customFormat="1" ht="22.9" customHeight="1">
      <c r="A36" s="206"/>
      <c r="B36" s="640" t="s">
        <v>4526</v>
      </c>
      <c r="C36" s="206">
        <v>1</v>
      </c>
      <c r="D36" s="206">
        <v>1</v>
      </c>
      <c r="E36" s="201">
        <v>18</v>
      </c>
      <c r="F36" s="201"/>
      <c r="G36" s="201">
        <v>4</v>
      </c>
      <c r="H36" s="200">
        <f t="shared" si="0"/>
        <v>72</v>
      </c>
      <c r="I36" s="202"/>
      <c r="J36" s="174"/>
      <c r="K36" s="174"/>
    </row>
    <row r="37" spans="1:11" s="238" customFormat="1" ht="22.9" customHeight="1">
      <c r="A37" s="206"/>
      <c r="B37" s="640" t="s">
        <v>3852</v>
      </c>
      <c r="C37" s="206">
        <v>1</v>
      </c>
      <c r="D37" s="206">
        <v>1</v>
      </c>
      <c r="E37" s="201">
        <v>18</v>
      </c>
      <c r="F37" s="201"/>
      <c r="G37" s="201">
        <v>4</v>
      </c>
      <c r="H37" s="200">
        <f t="shared" si="0"/>
        <v>72</v>
      </c>
      <c r="I37" s="202"/>
      <c r="J37" s="174"/>
      <c r="K37" s="174"/>
    </row>
    <row r="38" spans="1:11" s="238" customFormat="1" ht="22.9" customHeight="1">
      <c r="A38" s="206"/>
      <c r="B38" s="640" t="s">
        <v>4527</v>
      </c>
      <c r="C38" s="206">
        <v>1</v>
      </c>
      <c r="D38" s="206">
        <v>1</v>
      </c>
      <c r="E38" s="201">
        <v>18</v>
      </c>
      <c r="F38" s="201"/>
      <c r="G38" s="201">
        <v>4</v>
      </c>
      <c r="H38" s="200">
        <f t="shared" si="0"/>
        <v>72</v>
      </c>
      <c r="I38" s="202"/>
      <c r="J38" s="174"/>
      <c r="K38" s="174"/>
    </row>
    <row r="39" spans="1:11" s="238" customFormat="1" ht="22.9" customHeight="1">
      <c r="A39" s="206"/>
      <c r="B39" s="640" t="s">
        <v>4528</v>
      </c>
      <c r="C39" s="206">
        <v>1</v>
      </c>
      <c r="D39" s="206">
        <v>1</v>
      </c>
      <c r="E39" s="201">
        <v>18</v>
      </c>
      <c r="F39" s="201"/>
      <c r="G39" s="201">
        <v>4</v>
      </c>
      <c r="H39" s="200">
        <f t="shared" si="0"/>
        <v>72</v>
      </c>
      <c r="I39" s="202"/>
      <c r="J39" s="174"/>
      <c r="K39" s="174"/>
    </row>
    <row r="40" spans="1:11" s="238" customFormat="1" ht="22.9" customHeight="1">
      <c r="A40" s="206"/>
      <c r="B40" s="640" t="s">
        <v>4529</v>
      </c>
      <c r="C40" s="206">
        <v>1</v>
      </c>
      <c r="D40" s="206">
        <v>1</v>
      </c>
      <c r="E40" s="201">
        <v>18</v>
      </c>
      <c r="F40" s="201"/>
      <c r="G40" s="201">
        <v>4</v>
      </c>
      <c r="H40" s="200">
        <f t="shared" si="0"/>
        <v>72</v>
      </c>
      <c r="I40" s="202"/>
      <c r="J40" s="174"/>
      <c r="K40" s="174"/>
    </row>
    <row r="41" spans="1:11" s="238" customFormat="1" ht="22.9" customHeight="1">
      <c r="A41" s="206"/>
      <c r="B41" s="640" t="s">
        <v>4530</v>
      </c>
      <c r="C41" s="206">
        <v>1</v>
      </c>
      <c r="D41" s="206">
        <v>1</v>
      </c>
      <c r="E41" s="201">
        <v>18</v>
      </c>
      <c r="F41" s="201"/>
      <c r="G41" s="201">
        <v>4</v>
      </c>
      <c r="H41" s="200">
        <f t="shared" si="0"/>
        <v>72</v>
      </c>
      <c r="I41" s="202"/>
      <c r="J41" s="174"/>
      <c r="K41" s="174"/>
    </row>
    <row r="42" spans="1:11" s="238" customFormat="1" ht="22.9" customHeight="1">
      <c r="A42" s="206"/>
      <c r="B42" s="640" t="s">
        <v>4531</v>
      </c>
      <c r="C42" s="206">
        <v>1</v>
      </c>
      <c r="D42" s="206">
        <v>1</v>
      </c>
      <c r="E42" s="201">
        <v>18</v>
      </c>
      <c r="F42" s="201"/>
      <c r="G42" s="201">
        <v>4</v>
      </c>
      <c r="H42" s="200">
        <f t="shared" si="0"/>
        <v>72</v>
      </c>
      <c r="I42" s="202"/>
      <c r="J42" s="221"/>
      <c r="K42" s="221"/>
    </row>
    <row r="43" spans="1:11" s="238" customFormat="1" ht="22.9" customHeight="1">
      <c r="A43" s="206"/>
      <c r="B43" s="640" t="s">
        <v>4532</v>
      </c>
      <c r="C43" s="206">
        <v>1</v>
      </c>
      <c r="D43" s="206">
        <v>1</v>
      </c>
      <c r="E43" s="201">
        <v>18</v>
      </c>
      <c r="F43" s="201"/>
      <c r="G43" s="201">
        <v>4</v>
      </c>
      <c r="H43" s="200">
        <f t="shared" si="0"/>
        <v>72</v>
      </c>
      <c r="I43" s="202"/>
      <c r="J43" s="174"/>
      <c r="K43" s="174"/>
    </row>
    <row r="44" spans="1:11" s="238" customFormat="1" ht="22.9" customHeight="1">
      <c r="A44" s="206"/>
      <c r="B44" s="640" t="s">
        <v>4533</v>
      </c>
      <c r="C44" s="206">
        <v>1</v>
      </c>
      <c r="D44" s="206">
        <v>1</v>
      </c>
      <c r="E44" s="201">
        <v>18</v>
      </c>
      <c r="F44" s="201"/>
      <c r="G44" s="201">
        <v>4</v>
      </c>
      <c r="H44" s="200">
        <f t="shared" si="0"/>
        <v>72</v>
      </c>
      <c r="I44" s="202"/>
      <c r="J44" s="174"/>
      <c r="K44" s="174"/>
    </row>
    <row r="45" spans="1:11" s="238" customFormat="1" ht="22.9" customHeight="1">
      <c r="A45" s="206"/>
      <c r="B45" s="640" t="s">
        <v>4524</v>
      </c>
      <c r="C45" s="206">
        <v>1</v>
      </c>
      <c r="D45" s="206">
        <v>1</v>
      </c>
      <c r="E45" s="201">
        <v>18</v>
      </c>
      <c r="F45" s="201"/>
      <c r="G45" s="201">
        <v>4</v>
      </c>
      <c r="H45" s="200">
        <f>PRODUCT(C45:G45)</f>
        <v>72</v>
      </c>
      <c r="I45" s="202"/>
      <c r="J45" s="174"/>
      <c r="K45" s="174"/>
    </row>
    <row r="46" spans="1:11" s="238" customFormat="1" ht="22.9" customHeight="1">
      <c r="A46" s="206"/>
      <c r="B46" s="641" t="s">
        <v>4534</v>
      </c>
      <c r="C46" s="206"/>
      <c r="D46" s="206"/>
      <c r="E46" s="201"/>
      <c r="F46" s="201"/>
      <c r="G46" s="201"/>
      <c r="H46" s="200"/>
      <c r="I46" s="202"/>
      <c r="J46" s="174"/>
      <c r="K46" s="174"/>
    </row>
    <row r="47" spans="1:11" s="238" customFormat="1" ht="22.9" customHeight="1">
      <c r="A47" s="206"/>
      <c r="B47" s="640" t="s">
        <v>4535</v>
      </c>
      <c r="C47" s="206">
        <v>1</v>
      </c>
      <c r="D47" s="206">
        <v>1</v>
      </c>
      <c r="E47" s="201">
        <v>18</v>
      </c>
      <c r="F47" s="201"/>
      <c r="G47" s="201">
        <v>4</v>
      </c>
      <c r="H47" s="200">
        <f t="shared" ref="H47:H52" si="1">PRODUCT(C47:G47)</f>
        <v>72</v>
      </c>
      <c r="I47" s="202"/>
      <c r="J47" s="174"/>
      <c r="K47" s="174"/>
    </row>
    <row r="48" spans="1:11" s="238" customFormat="1" ht="22.9" customHeight="1">
      <c r="A48" s="206"/>
      <c r="B48" s="640" t="s">
        <v>4526</v>
      </c>
      <c r="C48" s="206">
        <v>1</v>
      </c>
      <c r="D48" s="206">
        <v>1</v>
      </c>
      <c r="E48" s="201">
        <v>18</v>
      </c>
      <c r="F48" s="201"/>
      <c r="G48" s="201">
        <v>4</v>
      </c>
      <c r="H48" s="200">
        <f t="shared" si="1"/>
        <v>72</v>
      </c>
      <c r="I48" s="202"/>
      <c r="J48" s="174"/>
      <c r="K48" s="174"/>
    </row>
    <row r="49" spans="1:12" s="238" customFormat="1" ht="22.9" customHeight="1">
      <c r="A49" s="206"/>
      <c r="B49" s="640" t="s">
        <v>4536</v>
      </c>
      <c r="C49" s="206">
        <v>1</v>
      </c>
      <c r="D49" s="206">
        <v>1</v>
      </c>
      <c r="E49" s="201">
        <v>18</v>
      </c>
      <c r="F49" s="201"/>
      <c r="G49" s="201">
        <v>4</v>
      </c>
      <c r="H49" s="200">
        <f t="shared" si="1"/>
        <v>72</v>
      </c>
      <c r="I49" s="202"/>
      <c r="J49" s="174"/>
      <c r="K49" s="174"/>
    </row>
    <row r="50" spans="1:12" s="238" customFormat="1" ht="22.9" customHeight="1">
      <c r="A50" s="206"/>
      <c r="B50" s="640" t="s">
        <v>4537</v>
      </c>
      <c r="C50" s="206">
        <v>1</v>
      </c>
      <c r="D50" s="206">
        <v>1</v>
      </c>
      <c r="E50" s="201">
        <v>18</v>
      </c>
      <c r="F50" s="201"/>
      <c r="G50" s="201">
        <v>4</v>
      </c>
      <c r="H50" s="200">
        <f t="shared" si="1"/>
        <v>72</v>
      </c>
      <c r="I50" s="202"/>
      <c r="J50" s="174"/>
      <c r="K50" s="174"/>
    </row>
    <row r="51" spans="1:12" s="238" customFormat="1" ht="22.9" customHeight="1">
      <c r="A51" s="206"/>
      <c r="B51" s="640" t="s">
        <v>4538</v>
      </c>
      <c r="C51" s="206">
        <v>1</v>
      </c>
      <c r="D51" s="206">
        <v>1</v>
      </c>
      <c r="E51" s="201">
        <v>18</v>
      </c>
      <c r="F51" s="201"/>
      <c r="G51" s="201">
        <v>4</v>
      </c>
      <c r="H51" s="200">
        <f t="shared" si="1"/>
        <v>72</v>
      </c>
      <c r="I51" s="202"/>
      <c r="J51" s="174"/>
      <c r="K51" s="174"/>
    </row>
    <row r="52" spans="1:12" s="238" customFormat="1" ht="22.9" customHeight="1">
      <c r="A52" s="206"/>
      <c r="B52" s="640" t="s">
        <v>4527</v>
      </c>
      <c r="C52" s="206">
        <v>1</v>
      </c>
      <c r="D52" s="206">
        <v>1</v>
      </c>
      <c r="E52" s="201">
        <v>18</v>
      </c>
      <c r="F52" s="201"/>
      <c r="G52" s="201">
        <v>4</v>
      </c>
      <c r="H52" s="200">
        <f t="shared" si="1"/>
        <v>72</v>
      </c>
      <c r="I52" s="202"/>
      <c r="J52" s="174"/>
      <c r="K52" s="174"/>
    </row>
    <row r="53" spans="1:12" s="238" customFormat="1" ht="22.9" customHeight="1">
      <c r="A53" s="206"/>
      <c r="B53" s="640" t="s">
        <v>4533</v>
      </c>
      <c r="C53" s="206">
        <v>1</v>
      </c>
      <c r="D53" s="206">
        <v>1</v>
      </c>
      <c r="E53" s="201">
        <v>18</v>
      </c>
      <c r="F53" s="201"/>
      <c r="G53" s="201">
        <v>4</v>
      </c>
      <c r="H53" s="200">
        <f>PRODUCT(C53:G53)</f>
        <v>72</v>
      </c>
      <c r="I53" s="202"/>
      <c r="J53" s="174"/>
      <c r="K53" s="174"/>
    </row>
    <row r="54" spans="1:12" s="238" customFormat="1" ht="22.9" customHeight="1">
      <c r="A54" s="206"/>
      <c r="B54" s="640" t="s">
        <v>4534</v>
      </c>
      <c r="C54" s="206">
        <v>1</v>
      </c>
      <c r="D54" s="206">
        <v>1</v>
      </c>
      <c r="E54" s="201">
        <v>18</v>
      </c>
      <c r="F54" s="201"/>
      <c r="G54" s="201">
        <v>4</v>
      </c>
      <c r="H54" s="200">
        <f>PRODUCT(C54:G54)</f>
        <v>72</v>
      </c>
      <c r="I54" s="202"/>
      <c r="J54" s="174"/>
      <c r="K54" s="174"/>
    </row>
    <row r="55" spans="1:12" s="238" customFormat="1" ht="22.9" customHeight="1">
      <c r="A55" s="206"/>
      <c r="B55" s="253"/>
      <c r="C55" s="206"/>
      <c r="D55" s="206"/>
      <c r="E55" s="201"/>
      <c r="F55" s="210"/>
      <c r="G55" s="207" t="s">
        <v>1827</v>
      </c>
      <c r="H55" s="207">
        <f>SUM(H29:H54)</f>
        <v>1872</v>
      </c>
      <c r="I55" s="208" t="s">
        <v>4539</v>
      </c>
      <c r="J55" s="211"/>
      <c r="K55" s="211">
        <v>5</v>
      </c>
      <c r="L55" s="238">
        <v>4</v>
      </c>
    </row>
    <row r="56" spans="1:12" s="238" customFormat="1" ht="22.9" customHeight="1">
      <c r="A56" s="206"/>
      <c r="B56" s="253"/>
      <c r="C56" s="206"/>
      <c r="D56" s="206"/>
      <c r="E56" s="862">
        <f>H55</f>
        <v>1872</v>
      </c>
      <c r="F56" s="1227">
        <v>6.4499999999999996E-4</v>
      </c>
      <c r="G56" s="1228"/>
      <c r="H56" s="863">
        <f>E56*F56</f>
        <v>1.21</v>
      </c>
      <c r="I56" s="864" t="s">
        <v>4773</v>
      </c>
      <c r="J56" s="211"/>
      <c r="K56" s="211"/>
    </row>
    <row r="57" spans="1:12" s="238" customFormat="1" ht="24.95" customHeight="1">
      <c r="A57" s="201"/>
      <c r="B57" s="203"/>
      <c r="C57" s="865"/>
      <c r="D57" s="865"/>
      <c r="E57" s="201"/>
      <c r="F57" s="201"/>
      <c r="G57" s="201"/>
      <c r="H57" s="200"/>
      <c r="I57" s="202"/>
      <c r="J57" s="174"/>
      <c r="K57" s="174"/>
    </row>
    <row r="58" spans="1:12" s="238" customFormat="1" ht="24.95" customHeight="1">
      <c r="A58" s="174"/>
      <c r="C58" s="642"/>
      <c r="D58" s="642"/>
      <c r="E58" s="174"/>
      <c r="F58" s="174"/>
      <c r="G58" s="174"/>
      <c r="H58" s="221"/>
      <c r="I58" s="222"/>
      <c r="J58" s="174"/>
      <c r="K58" s="174"/>
    </row>
    <row r="59" spans="1:12" s="238" customFormat="1" ht="24.95" customHeight="1">
      <c r="A59" s="1219"/>
      <c r="B59" s="1219"/>
      <c r="C59" s="1219"/>
      <c r="D59" s="1219"/>
      <c r="E59" s="1219"/>
      <c r="F59" s="1219"/>
      <c r="G59" s="1219"/>
      <c r="H59" s="1219"/>
      <c r="I59" s="1219"/>
      <c r="J59" s="643"/>
      <c r="K59" s="643"/>
    </row>
  </sheetData>
  <mergeCells count="13">
    <mergeCell ref="B10:H10"/>
    <mergeCell ref="A59:I59"/>
    <mergeCell ref="A1:I1"/>
    <mergeCell ref="A2:I2"/>
    <mergeCell ref="A4:I4"/>
    <mergeCell ref="A6:I6"/>
    <mergeCell ref="A8:A9"/>
    <mergeCell ref="B8:B9"/>
    <mergeCell ref="C8:D9"/>
    <mergeCell ref="E8:G8"/>
    <mergeCell ref="H8:H9"/>
    <mergeCell ref="I8:I9"/>
    <mergeCell ref="F56:G56"/>
  </mergeCells>
  <pageMargins left="0.7" right="0.7" top="0.7" bottom="0.2" header="0.3" footer="0.3"/>
  <pageSetup paperSize="9" orientation="portrait" verticalDpi="0" r:id="rId1"/>
  <headerFooter>
    <oddHeader>Page &amp;P</oddHeader>
  </headerFooter>
</worksheet>
</file>

<file path=xl/worksheets/sheet20.xml><?xml version="1.0" encoding="utf-8"?>
<worksheet xmlns="http://schemas.openxmlformats.org/spreadsheetml/2006/main" xmlns:r="http://schemas.openxmlformats.org/officeDocument/2006/relationships">
  <sheetPr syncVertical="1" syncRef="V1204" transitionEvaluation="1">
    <tabColor rgb="FF00B050"/>
  </sheetPr>
  <dimension ref="A1:IS8558"/>
  <sheetViews>
    <sheetView view="pageBreakPreview" topLeftCell="V1204" zoomScale="80" zoomScaleNormal="75" zoomScaleSheetLayoutView="80" workbookViewId="0">
      <selection activeCell="AD1229" sqref="AD1229"/>
    </sheetView>
  </sheetViews>
  <sheetFormatPr defaultColWidth="7.44140625" defaultRowHeight="24" customHeight="1"/>
  <cols>
    <col min="1" max="1" width="7.77734375" style="414" customWidth="1"/>
    <col min="2" max="2" width="64" style="414" customWidth="1"/>
    <col min="3" max="3" width="16.21875" style="414" customWidth="1"/>
    <col min="4" max="4" width="13.77734375" style="414" customWidth="1"/>
    <col min="5" max="5" width="8.5546875" style="414" customWidth="1"/>
    <col min="6" max="6" width="11.44140625" style="414" customWidth="1"/>
    <col min="7" max="7" width="14.21875" style="414" customWidth="1"/>
    <col min="8" max="8" width="43.33203125" style="414" customWidth="1"/>
    <col min="9" max="9" width="14.33203125" style="414" customWidth="1"/>
    <col min="10" max="10" width="11.44140625" style="412" customWidth="1"/>
    <col min="11" max="11" width="12.88671875" style="414" customWidth="1"/>
    <col min="12" max="12" width="9.77734375" style="414" customWidth="1"/>
    <col min="13" max="13" width="10.77734375" style="414" customWidth="1"/>
    <col min="14" max="14" width="6.88671875" style="414" customWidth="1"/>
    <col min="15" max="15" width="48" style="414" customWidth="1"/>
    <col min="16" max="16" width="13.33203125" style="414" customWidth="1"/>
    <col min="17" max="17" width="8.5546875" style="414" customWidth="1"/>
    <col min="18" max="18" width="11.77734375" style="414" customWidth="1"/>
    <col min="19" max="19" width="10.88671875" style="416" customWidth="1"/>
    <col min="20" max="20" width="9.21875" style="414" customWidth="1"/>
    <col min="21" max="21" width="62.21875" style="414" customWidth="1"/>
    <col min="22" max="22" width="9.33203125" style="414" customWidth="1"/>
    <col min="23" max="23" width="19.21875" style="414" customWidth="1"/>
    <col min="24" max="24" width="11.109375" style="414" customWidth="1"/>
    <col min="25" max="25" width="11.33203125" style="414" customWidth="1"/>
    <col min="26" max="26" width="11.5546875" style="414" customWidth="1"/>
    <col min="27" max="27" width="21.6640625" style="414" hidden="1" customWidth="1"/>
    <col min="28" max="28" width="3" style="414" customWidth="1"/>
    <col min="29" max="29" width="13.33203125" style="414" customWidth="1"/>
    <col min="30" max="30" width="51.21875" style="414" customWidth="1"/>
    <col min="31" max="31" width="12.6640625" style="414" customWidth="1"/>
    <col min="32" max="32" width="11.77734375" style="414" customWidth="1"/>
    <col min="33" max="33" width="11.5546875" style="414" customWidth="1"/>
    <col min="34" max="34" width="15.77734375" style="414" customWidth="1"/>
    <col min="35" max="35" width="21.5546875" style="414" customWidth="1"/>
    <col min="36" max="36" width="12.77734375" style="414" customWidth="1"/>
    <col min="37" max="37" width="8.88671875" style="414" customWidth="1"/>
    <col min="38" max="38" width="10.21875" style="414" customWidth="1"/>
    <col min="39" max="39" width="7.44140625" style="414" customWidth="1"/>
    <col min="40" max="40" width="10.88671875" style="414" customWidth="1"/>
    <col min="41" max="41" width="7.44140625" style="414"/>
    <col min="42" max="42" width="22" style="414" customWidth="1"/>
    <col min="43" max="43" width="11.33203125" style="414" customWidth="1"/>
    <col min="44" max="44" width="8.6640625" style="414" customWidth="1"/>
    <col min="45" max="45" width="11" style="414" customWidth="1"/>
    <col min="46" max="46" width="7.5546875" style="414" bestFit="1" customWidth="1"/>
    <col min="47" max="47" width="8" style="414" bestFit="1" customWidth="1"/>
    <col min="48" max="48" width="9.33203125" style="414" customWidth="1"/>
    <col min="49" max="252" width="7.44140625" style="414"/>
    <col min="253" max="253" width="7.5546875" style="414" bestFit="1" customWidth="1"/>
    <col min="254" max="16384" width="7.44140625" style="414"/>
  </cols>
  <sheetData>
    <row r="1" spans="1:37" ht="24" customHeight="1">
      <c r="A1" s="412"/>
      <c r="B1" s="413" t="s">
        <v>4290</v>
      </c>
      <c r="E1" s="412" t="s">
        <v>790</v>
      </c>
      <c r="H1" s="415" t="s">
        <v>192</v>
      </c>
      <c r="O1" s="412" t="s">
        <v>192</v>
      </c>
      <c r="T1" s="413"/>
      <c r="U1" s="417" t="s">
        <v>1675</v>
      </c>
      <c r="V1" s="417"/>
      <c r="W1" s="413" t="s">
        <v>790</v>
      </c>
      <c r="X1" s="413"/>
      <c r="Y1" s="413"/>
      <c r="Z1" s="413"/>
      <c r="AA1" s="413"/>
      <c r="AB1" s="413"/>
      <c r="AC1" s="413"/>
      <c r="AD1" s="413"/>
      <c r="AE1" s="413"/>
    </row>
    <row r="2" spans="1:37" ht="24" customHeight="1">
      <c r="B2" s="418" t="s">
        <v>1676</v>
      </c>
      <c r="E2" s="412" t="s">
        <v>790</v>
      </c>
      <c r="H2" s="413" t="s">
        <v>523</v>
      </c>
      <c r="O2" s="413" t="s">
        <v>523</v>
      </c>
      <c r="U2" s="1236" t="s">
        <v>252</v>
      </c>
      <c r="V2" s="1237"/>
      <c r="W2" s="1237"/>
      <c r="X2" s="1237"/>
    </row>
    <row r="3" spans="1:37" ht="52.9" customHeight="1">
      <c r="A3" s="412" t="s">
        <v>1287</v>
      </c>
      <c r="B3" s="415" t="e">
        <f>#REF!</f>
        <v>#REF!</v>
      </c>
      <c r="C3" s="412" t="s">
        <v>4273</v>
      </c>
      <c r="E3" s="412" t="s">
        <v>790</v>
      </c>
      <c r="F3" s="419" t="s">
        <v>1287</v>
      </c>
      <c r="G3" s="414" t="s">
        <v>790</v>
      </c>
      <c r="H3" s="1229" t="e">
        <f>B3</f>
        <v>#REF!</v>
      </c>
      <c r="I3" s="1229"/>
      <c r="J3" s="415"/>
      <c r="K3" s="417" t="str">
        <f>C3</f>
        <v>2023-2024</v>
      </c>
      <c r="M3" s="412" t="s">
        <v>1287</v>
      </c>
      <c r="N3" s="412" t="s">
        <v>790</v>
      </c>
      <c r="O3" s="414" t="e">
        <f>B3</f>
        <v>#REF!</v>
      </c>
      <c r="Q3" s="414" t="str">
        <f>C3</f>
        <v>2023-2024</v>
      </c>
      <c r="T3" s="415" t="s">
        <v>1287</v>
      </c>
      <c r="U3" s="417" t="e">
        <f>O3</f>
        <v>#REF!</v>
      </c>
      <c r="W3" s="420"/>
      <c r="AA3" s="412"/>
      <c r="AE3" s="414" t="str">
        <f>C3</f>
        <v>2023-2024</v>
      </c>
    </row>
    <row r="4" spans="1:37" ht="24" customHeight="1">
      <c r="F4" s="418" t="s">
        <v>1288</v>
      </c>
      <c r="G4" s="418" t="s">
        <v>1288</v>
      </c>
      <c r="H4" s="418" t="s">
        <v>1288</v>
      </c>
      <c r="I4" s="418" t="s">
        <v>1288</v>
      </c>
      <c r="J4" s="418" t="s">
        <v>1288</v>
      </c>
      <c r="K4" s="418" t="s">
        <v>1288</v>
      </c>
      <c r="M4" s="418" t="s">
        <v>1288</v>
      </c>
      <c r="N4" s="418" t="s">
        <v>1288</v>
      </c>
      <c r="O4" s="418" t="s">
        <v>1288</v>
      </c>
      <c r="P4" s="418" t="s">
        <v>1288</v>
      </c>
      <c r="Q4" s="418" t="s">
        <v>1288</v>
      </c>
      <c r="R4" s="418" t="s">
        <v>1288</v>
      </c>
      <c r="U4" s="412" t="s">
        <v>790</v>
      </c>
      <c r="W4" s="413" t="s">
        <v>790</v>
      </c>
      <c r="X4" s="412" t="s">
        <v>193</v>
      </c>
      <c r="Y4" s="412"/>
      <c r="AC4" s="412" t="s">
        <v>790</v>
      </c>
      <c r="AG4" s="412" t="s">
        <v>1289</v>
      </c>
    </row>
    <row r="5" spans="1:37" ht="24" customHeight="1">
      <c r="A5" s="418" t="s">
        <v>1288</v>
      </c>
      <c r="B5" s="418" t="s">
        <v>1288</v>
      </c>
      <c r="C5" s="418" t="s">
        <v>1288</v>
      </c>
      <c r="D5" s="418" t="s">
        <v>1288</v>
      </c>
      <c r="E5" s="412" t="s">
        <v>790</v>
      </c>
      <c r="F5" s="419" t="s">
        <v>1290</v>
      </c>
      <c r="G5" s="414" t="s">
        <v>790</v>
      </c>
      <c r="H5" s="420" t="s">
        <v>1291</v>
      </c>
      <c r="I5" s="420" t="s">
        <v>1292</v>
      </c>
      <c r="J5" s="420" t="s">
        <v>1293</v>
      </c>
      <c r="K5" s="420" t="s">
        <v>1294</v>
      </c>
      <c r="M5" s="413" t="s">
        <v>1290</v>
      </c>
      <c r="N5" s="412" t="s">
        <v>790</v>
      </c>
      <c r="O5" s="413" t="s">
        <v>1291</v>
      </c>
      <c r="P5" s="413" t="s">
        <v>1292</v>
      </c>
      <c r="Q5" s="413" t="s">
        <v>1293</v>
      </c>
      <c r="R5" s="413" t="s">
        <v>1294</v>
      </c>
      <c r="T5" s="418" t="s">
        <v>1288</v>
      </c>
      <c r="U5" s="418" t="s">
        <v>1288</v>
      </c>
      <c r="V5" s="418" t="s">
        <v>1288</v>
      </c>
      <c r="W5" s="418" t="s">
        <v>1288</v>
      </c>
      <c r="X5" s="418" t="s">
        <v>1288</v>
      </c>
      <c r="Y5" s="418" t="s">
        <v>1288</v>
      </c>
      <c r="Z5" s="418" t="s">
        <v>1288</v>
      </c>
      <c r="AA5" s="418" t="s">
        <v>1288</v>
      </c>
      <c r="AB5" s="418" t="s">
        <v>1288</v>
      </c>
      <c r="AC5" s="418" t="s">
        <v>1288</v>
      </c>
      <c r="AD5" s="418" t="s">
        <v>1288</v>
      </c>
      <c r="AE5" s="418" t="s">
        <v>1288</v>
      </c>
    </row>
    <row r="6" spans="1:37" ht="24" customHeight="1">
      <c r="A6" s="412" t="s">
        <v>555</v>
      </c>
      <c r="B6" s="412" t="s">
        <v>1291</v>
      </c>
      <c r="C6" s="412" t="s">
        <v>1292</v>
      </c>
      <c r="D6" s="412" t="s">
        <v>1293</v>
      </c>
      <c r="F6" s="418" t="s">
        <v>1288</v>
      </c>
      <c r="G6" s="418" t="s">
        <v>1288</v>
      </c>
      <c r="H6" s="418" t="s">
        <v>1288</v>
      </c>
      <c r="I6" s="418" t="s">
        <v>1288</v>
      </c>
      <c r="J6" s="418" t="s">
        <v>1288</v>
      </c>
      <c r="K6" s="418" t="s">
        <v>1288</v>
      </c>
      <c r="M6" s="418" t="s">
        <v>1288</v>
      </c>
      <c r="N6" s="418" t="s">
        <v>1288</v>
      </c>
      <c r="O6" s="418" t="s">
        <v>1288</v>
      </c>
      <c r="P6" s="418" t="s">
        <v>1288</v>
      </c>
      <c r="Q6" s="418" t="s">
        <v>1288</v>
      </c>
      <c r="R6" s="418" t="s">
        <v>1288</v>
      </c>
      <c r="T6" s="420" t="s">
        <v>555</v>
      </c>
      <c r="U6" s="420" t="s">
        <v>38</v>
      </c>
      <c r="V6" s="420" t="s">
        <v>1825</v>
      </c>
      <c r="W6" s="420" t="s">
        <v>1826</v>
      </c>
      <c r="X6" s="420" t="s">
        <v>1827</v>
      </c>
      <c r="Y6" s="420" t="s">
        <v>1828</v>
      </c>
      <c r="Z6" s="420" t="s">
        <v>1829</v>
      </c>
      <c r="AA6" s="415" t="s">
        <v>873</v>
      </c>
      <c r="AB6" s="415" t="s">
        <v>1830</v>
      </c>
      <c r="AC6" s="415" t="s">
        <v>1831</v>
      </c>
      <c r="AD6" s="420" t="s">
        <v>1832</v>
      </c>
      <c r="AE6" s="417"/>
    </row>
    <row r="7" spans="1:37" ht="24" customHeight="1">
      <c r="A7" s="418" t="s">
        <v>1288</v>
      </c>
      <c r="B7" s="418" t="s">
        <v>1288</v>
      </c>
      <c r="C7" s="418" t="s">
        <v>1288</v>
      </c>
      <c r="D7" s="418" t="s">
        <v>1288</v>
      </c>
      <c r="G7" s="414" t="s">
        <v>1833</v>
      </c>
      <c r="H7" s="412" t="s">
        <v>1834</v>
      </c>
      <c r="O7" s="412" t="s">
        <v>1835</v>
      </c>
      <c r="T7" s="417"/>
      <c r="U7" s="417"/>
      <c r="V7" s="417"/>
      <c r="W7" s="420"/>
      <c r="X7" s="420" t="s">
        <v>1836</v>
      </c>
      <c r="Y7" s="420" t="s">
        <v>1831</v>
      </c>
      <c r="Z7" s="420" t="s">
        <v>1837</v>
      </c>
      <c r="AA7" s="415" t="s">
        <v>791</v>
      </c>
      <c r="AB7" s="415" t="s">
        <v>1838</v>
      </c>
      <c r="AC7" s="415" t="s">
        <v>1839</v>
      </c>
      <c r="AD7" s="417"/>
      <c r="AE7" s="421"/>
    </row>
    <row r="8" spans="1:37" ht="24" customHeight="1">
      <c r="B8" s="412" t="s">
        <v>1840</v>
      </c>
      <c r="H8" s="418" t="s">
        <v>1288</v>
      </c>
      <c r="O8" s="418" t="s">
        <v>1288</v>
      </c>
      <c r="T8" s="418" t="s">
        <v>1288</v>
      </c>
      <c r="U8" s="418" t="s">
        <v>1288</v>
      </c>
      <c r="V8" s="418" t="s">
        <v>1288</v>
      </c>
      <c r="W8" s="418" t="s">
        <v>1288</v>
      </c>
      <c r="X8" s="418" t="s">
        <v>1288</v>
      </c>
      <c r="Y8" s="418" t="s">
        <v>1288</v>
      </c>
      <c r="Z8" s="418" t="s">
        <v>1288</v>
      </c>
      <c r="AA8" s="418" t="s">
        <v>874</v>
      </c>
      <c r="AB8" s="418" t="s">
        <v>1288</v>
      </c>
      <c r="AC8" s="418" t="s">
        <v>1288</v>
      </c>
      <c r="AD8" s="418" t="s">
        <v>1288</v>
      </c>
      <c r="AE8" s="418" t="s">
        <v>1288</v>
      </c>
      <c r="AG8" s="422" t="s">
        <v>3222</v>
      </c>
      <c r="AH8" s="422" t="s">
        <v>742</v>
      </c>
      <c r="AI8" s="422" t="s">
        <v>743</v>
      </c>
      <c r="AJ8" s="422" t="s">
        <v>744</v>
      </c>
      <c r="AK8" s="422" t="s">
        <v>1504</v>
      </c>
    </row>
    <row r="9" spans="1:37" ht="24" customHeight="1">
      <c r="B9" s="412" t="s">
        <v>693</v>
      </c>
      <c r="F9" s="414">
        <v>0.96</v>
      </c>
      <c r="G9" s="414" t="s">
        <v>694</v>
      </c>
      <c r="H9" s="412" t="s">
        <v>695</v>
      </c>
      <c r="I9" s="414" t="e">
        <f>(C67)</f>
        <v>#REF!</v>
      </c>
      <c r="J9" s="412" t="s">
        <v>694</v>
      </c>
      <c r="K9" s="414" t="e">
        <f>(F9*I9)</f>
        <v>#REF!</v>
      </c>
      <c r="M9" s="414">
        <v>0.5</v>
      </c>
      <c r="N9" s="412" t="s">
        <v>694</v>
      </c>
      <c r="O9" s="412" t="s">
        <v>696</v>
      </c>
      <c r="P9" s="414" t="e">
        <f>(C85)</f>
        <v>#REF!</v>
      </c>
      <c r="Q9" s="412" t="s">
        <v>694</v>
      </c>
      <c r="R9" s="414" t="e">
        <f>(M9*P9)</f>
        <v>#REF!</v>
      </c>
      <c r="T9" s="413" t="s">
        <v>697</v>
      </c>
      <c r="U9" s="412" t="s">
        <v>3105</v>
      </c>
      <c r="V9" s="412" t="s">
        <v>699</v>
      </c>
      <c r="W9" s="413" t="s">
        <v>4270</v>
      </c>
      <c r="X9" s="423" t="e">
        <f>#REF!</f>
        <v>#REF!</v>
      </c>
      <c r="Y9" s="423">
        <v>449.4</v>
      </c>
      <c r="Z9" s="423" t="e">
        <f>#REF!</f>
        <v>#REF!</v>
      </c>
      <c r="AA9" s="423"/>
      <c r="AB9" s="423">
        <v>0</v>
      </c>
      <c r="AC9" s="423" t="e">
        <f>SUM(Y9+Z9+AA9+AB9)</f>
        <v>#REF!</v>
      </c>
      <c r="AD9" s="412" t="s">
        <v>3230</v>
      </c>
      <c r="AE9" s="414">
        <f>AF9</f>
        <v>999</v>
      </c>
      <c r="AF9" s="414">
        <v>999</v>
      </c>
      <c r="AG9" s="414">
        <f>AF9*1.1</f>
        <v>1098.9000000000001</v>
      </c>
      <c r="AH9" s="414">
        <f>AF9*1.2</f>
        <v>1198.8</v>
      </c>
      <c r="AI9" s="414">
        <f>AF9*1.5</f>
        <v>1498.5</v>
      </c>
      <c r="AJ9" s="414">
        <f>AF9*1.05</f>
        <v>1048.95</v>
      </c>
      <c r="AK9" s="414">
        <f>AF9*1.25</f>
        <v>1248.75</v>
      </c>
    </row>
    <row r="10" spans="1:37" ht="24" customHeight="1">
      <c r="A10" s="424">
        <v>1</v>
      </c>
      <c r="B10" s="412" t="s">
        <v>700</v>
      </c>
      <c r="C10" s="414">
        <f>AE9</f>
        <v>999</v>
      </c>
      <c r="D10" s="412" t="s">
        <v>701</v>
      </c>
      <c r="F10" s="414">
        <v>1</v>
      </c>
      <c r="G10" s="414" t="s">
        <v>702</v>
      </c>
      <c r="H10" s="412" t="s">
        <v>703</v>
      </c>
      <c r="I10" s="414" t="e">
        <f>(C78)</f>
        <v>#REF!</v>
      </c>
      <c r="J10" s="412" t="s">
        <v>702</v>
      </c>
      <c r="K10" s="414" t="e">
        <f>(F10*I10)</f>
        <v>#REF!</v>
      </c>
      <c r="M10" s="414">
        <v>1</v>
      </c>
      <c r="N10" s="412" t="s">
        <v>702</v>
      </c>
      <c r="O10" s="412" t="s">
        <v>703</v>
      </c>
      <c r="P10" s="414" t="e">
        <f>(C78)</f>
        <v>#REF!</v>
      </c>
      <c r="Q10" s="412" t="s">
        <v>702</v>
      </c>
      <c r="R10" s="414" t="e">
        <f>(M10*P10)</f>
        <v>#REF!</v>
      </c>
      <c r="T10" s="413" t="s">
        <v>704</v>
      </c>
      <c r="U10" s="412" t="s">
        <v>3106</v>
      </c>
      <c r="V10" s="412" t="s">
        <v>699</v>
      </c>
      <c r="W10" s="413" t="str">
        <f t="shared" ref="W10:W15" si="0">W9</f>
        <v>Valavanthankottai</v>
      </c>
      <c r="X10" s="423" t="e">
        <f>#REF!</f>
        <v>#REF!</v>
      </c>
      <c r="Y10" s="423">
        <v>648.4</v>
      </c>
      <c r="Z10" s="423" t="e">
        <f>Z9</f>
        <v>#REF!</v>
      </c>
      <c r="AA10" s="423"/>
      <c r="AB10" s="423">
        <v>0</v>
      </c>
      <c r="AC10" s="423" t="e">
        <f t="shared" ref="AC10:AC36" si="1">SUM(Y10+Z10+AA10+AB10)</f>
        <v>#REF!</v>
      </c>
      <c r="AD10" s="412" t="s">
        <v>3231</v>
      </c>
      <c r="AE10" s="414">
        <f t="shared" ref="AE10:AE73" si="2">AF10</f>
        <v>932</v>
      </c>
      <c r="AF10" s="414">
        <v>932</v>
      </c>
      <c r="AG10" s="414">
        <f t="shared" ref="AG10:AG73" si="3">AF10*1.1</f>
        <v>1025.2</v>
      </c>
      <c r="AH10" s="414">
        <f t="shared" ref="AH10:AH73" si="4">AF10*1.2</f>
        <v>1118.4000000000001</v>
      </c>
      <c r="AI10" s="414">
        <f t="shared" ref="AI10:AI73" si="5">AF10*1.5</f>
        <v>1398</v>
      </c>
      <c r="AJ10" s="414">
        <f t="shared" ref="AJ10:AJ73" si="6">AF10*1.05</f>
        <v>978.6</v>
      </c>
      <c r="AK10" s="414">
        <f t="shared" ref="AK10:AK73" si="7">AF10*1.25</f>
        <v>1165</v>
      </c>
    </row>
    <row r="11" spans="1:37" ht="24" customHeight="1">
      <c r="A11" s="424">
        <f t="shared" ref="A11:A35" si="8">(A10+1)</f>
        <v>2</v>
      </c>
      <c r="B11" s="412" t="s">
        <v>706</v>
      </c>
      <c r="C11" s="414">
        <f>AE10</f>
        <v>932</v>
      </c>
      <c r="D11" s="412">
        <f>AE9</f>
        <v>999</v>
      </c>
      <c r="F11" s="414">
        <v>1</v>
      </c>
      <c r="G11" s="414" t="s">
        <v>702</v>
      </c>
      <c r="H11" s="412" t="s">
        <v>707</v>
      </c>
      <c r="I11" s="414">
        <f>(C18)</f>
        <v>116</v>
      </c>
      <c r="J11" s="412" t="s">
        <v>702</v>
      </c>
      <c r="K11" s="414">
        <f>(F11*I11)</f>
        <v>116</v>
      </c>
      <c r="M11" s="414">
        <v>1</v>
      </c>
      <c r="N11" s="412" t="s">
        <v>702</v>
      </c>
      <c r="O11" s="412" t="s">
        <v>708</v>
      </c>
      <c r="P11" s="414">
        <f>(C64)</f>
        <v>280.60000000000002</v>
      </c>
      <c r="Q11" s="412" t="s">
        <v>702</v>
      </c>
      <c r="R11" s="414">
        <f>(M11*P11)</f>
        <v>280.60000000000002</v>
      </c>
      <c r="T11" s="413" t="s">
        <v>709</v>
      </c>
      <c r="U11" s="412" t="s">
        <v>3107</v>
      </c>
      <c r="V11" s="412" t="s">
        <v>699</v>
      </c>
      <c r="W11" s="413" t="str">
        <f t="shared" si="0"/>
        <v>Valavanthankottai</v>
      </c>
      <c r="X11" s="423" t="e">
        <f>#REF!</f>
        <v>#REF!</v>
      </c>
      <c r="Y11" s="423">
        <v>773.67</v>
      </c>
      <c r="Z11" s="423" t="e">
        <f>#REF!</f>
        <v>#REF!</v>
      </c>
      <c r="AA11" s="423"/>
      <c r="AB11" s="423">
        <v>0</v>
      </c>
      <c r="AC11" s="423" t="e">
        <f t="shared" si="1"/>
        <v>#REF!</v>
      </c>
      <c r="AD11" s="412" t="s">
        <v>3234</v>
      </c>
      <c r="AE11" s="414">
        <f t="shared" si="2"/>
        <v>651</v>
      </c>
      <c r="AF11" s="414">
        <v>651</v>
      </c>
      <c r="AG11" s="414">
        <f t="shared" si="3"/>
        <v>716.1</v>
      </c>
      <c r="AH11" s="414">
        <f t="shared" si="4"/>
        <v>781.2</v>
      </c>
      <c r="AI11" s="414">
        <f t="shared" si="5"/>
        <v>976.5</v>
      </c>
      <c r="AJ11" s="414">
        <f t="shared" si="6"/>
        <v>683.55</v>
      </c>
      <c r="AK11" s="414">
        <f t="shared" si="7"/>
        <v>813.75</v>
      </c>
    </row>
    <row r="12" spans="1:37" ht="24" customHeight="1">
      <c r="A12" s="424">
        <f t="shared" si="8"/>
        <v>3</v>
      </c>
      <c r="B12" s="412" t="s">
        <v>357</v>
      </c>
      <c r="C12" s="414">
        <f>AE11</f>
        <v>651</v>
      </c>
      <c r="D12" s="412" t="s">
        <v>701</v>
      </c>
      <c r="G12" s="414" t="s">
        <v>358</v>
      </c>
      <c r="H12" s="412" t="s">
        <v>359</v>
      </c>
      <c r="I12" s="412" t="s">
        <v>790</v>
      </c>
      <c r="J12" s="412" t="s">
        <v>358</v>
      </c>
      <c r="K12" s="414">
        <v>0</v>
      </c>
      <c r="N12" s="412" t="s">
        <v>358</v>
      </c>
      <c r="O12" s="412" t="s">
        <v>359</v>
      </c>
      <c r="P12" s="412" t="s">
        <v>790</v>
      </c>
      <c r="Q12" s="412" t="s">
        <v>358</v>
      </c>
      <c r="R12" s="414">
        <v>0</v>
      </c>
      <c r="T12" s="413" t="s">
        <v>360</v>
      </c>
      <c r="U12" s="412" t="s">
        <v>1227</v>
      </c>
      <c r="V12" s="412" t="s">
        <v>699</v>
      </c>
      <c r="W12" s="413" t="str">
        <f t="shared" si="0"/>
        <v>Valavanthankottai</v>
      </c>
      <c r="X12" s="423" t="e">
        <f>X11</f>
        <v>#REF!</v>
      </c>
      <c r="Y12" s="423">
        <v>1016</v>
      </c>
      <c r="Z12" s="423" t="e">
        <f>Z11</f>
        <v>#REF!</v>
      </c>
      <c r="AA12" s="423"/>
      <c r="AB12" s="423">
        <v>0</v>
      </c>
      <c r="AC12" s="423" t="e">
        <f t="shared" si="1"/>
        <v>#REF!</v>
      </c>
      <c r="AD12" s="412" t="s">
        <v>3235</v>
      </c>
      <c r="AE12" s="414">
        <f t="shared" si="2"/>
        <v>534</v>
      </c>
      <c r="AF12" s="414">
        <v>534</v>
      </c>
      <c r="AG12" s="414">
        <f t="shared" si="3"/>
        <v>587.4</v>
      </c>
      <c r="AH12" s="414">
        <f t="shared" si="4"/>
        <v>640.79999999999995</v>
      </c>
      <c r="AI12" s="414">
        <f t="shared" si="5"/>
        <v>801</v>
      </c>
      <c r="AJ12" s="414">
        <f t="shared" si="6"/>
        <v>560.70000000000005</v>
      </c>
      <c r="AK12" s="414">
        <f t="shared" si="7"/>
        <v>667.5</v>
      </c>
    </row>
    <row r="13" spans="1:37" ht="24" customHeight="1">
      <c r="A13" s="424">
        <f t="shared" si="8"/>
        <v>4</v>
      </c>
      <c r="B13" s="412" t="s">
        <v>1228</v>
      </c>
      <c r="C13" s="414">
        <f>AE12</f>
        <v>534</v>
      </c>
      <c r="D13" s="412" t="s">
        <v>701</v>
      </c>
      <c r="K13" s="418" t="s">
        <v>1288</v>
      </c>
      <c r="R13" s="418" t="s">
        <v>1288</v>
      </c>
      <c r="T13" s="413" t="s">
        <v>1229</v>
      </c>
      <c r="U13" s="412" t="s">
        <v>1230</v>
      </c>
      <c r="V13" s="412" t="s">
        <v>699</v>
      </c>
      <c r="W13" s="413" t="str">
        <f t="shared" si="0"/>
        <v>Valavanthankottai</v>
      </c>
      <c r="X13" s="423" t="e">
        <f>X11</f>
        <v>#REF!</v>
      </c>
      <c r="Y13" s="423">
        <v>1382</v>
      </c>
      <c r="Z13" s="423" t="e">
        <f>Z12</f>
        <v>#REF!</v>
      </c>
      <c r="AA13" s="423"/>
      <c r="AB13" s="423">
        <v>0</v>
      </c>
      <c r="AC13" s="423" t="e">
        <f t="shared" si="1"/>
        <v>#REF!</v>
      </c>
      <c r="AD13" s="412" t="s">
        <v>3232</v>
      </c>
      <c r="AE13" s="414">
        <f t="shared" si="2"/>
        <v>797</v>
      </c>
      <c r="AF13" s="414">
        <v>797</v>
      </c>
      <c r="AG13" s="414">
        <f t="shared" si="3"/>
        <v>876.7</v>
      </c>
      <c r="AH13" s="414">
        <f t="shared" si="4"/>
        <v>956.4</v>
      </c>
      <c r="AI13" s="414">
        <f t="shared" si="5"/>
        <v>1195.5</v>
      </c>
      <c r="AJ13" s="414">
        <f t="shared" si="6"/>
        <v>836.85</v>
      </c>
      <c r="AK13" s="414">
        <f t="shared" si="7"/>
        <v>996.25</v>
      </c>
    </row>
    <row r="14" spans="1:37" ht="24" customHeight="1">
      <c r="A14" s="424">
        <f t="shared" si="8"/>
        <v>5</v>
      </c>
      <c r="B14" s="412" t="s">
        <v>1232</v>
      </c>
      <c r="C14" s="414">
        <f>AE13</f>
        <v>797</v>
      </c>
      <c r="D14" s="414">
        <f>AE14</f>
        <v>772</v>
      </c>
      <c r="H14" s="412" t="s">
        <v>1233</v>
      </c>
      <c r="K14" s="417" t="e">
        <f>SUM(K9:K12)</f>
        <v>#REF!</v>
      </c>
      <c r="N14" s="414" t="e">
        <f>SUM(K9:K12)</f>
        <v>#REF!</v>
      </c>
      <c r="O14" s="412" t="s">
        <v>1233</v>
      </c>
      <c r="R14" s="414" t="e">
        <f>SUM(R9:R12)</f>
        <v>#REF!</v>
      </c>
      <c r="T14" s="413" t="s">
        <v>1636</v>
      </c>
      <c r="U14" s="412" t="s">
        <v>89</v>
      </c>
      <c r="V14" s="412" t="s">
        <v>699</v>
      </c>
      <c r="W14" s="413" t="str">
        <f t="shared" si="0"/>
        <v>Valavanthankottai</v>
      </c>
      <c r="X14" s="423" t="e">
        <f>X11</f>
        <v>#REF!</v>
      </c>
      <c r="Y14" s="423">
        <v>1489</v>
      </c>
      <c r="Z14" s="423" t="e">
        <f>Z13</f>
        <v>#REF!</v>
      </c>
      <c r="AA14" s="423"/>
      <c r="AB14" s="423">
        <v>0</v>
      </c>
      <c r="AC14" s="423" t="e">
        <f t="shared" si="1"/>
        <v>#REF!</v>
      </c>
      <c r="AD14" s="412" t="s">
        <v>3236</v>
      </c>
      <c r="AE14" s="414">
        <f t="shared" si="2"/>
        <v>772</v>
      </c>
      <c r="AF14" s="414">
        <v>772</v>
      </c>
      <c r="AG14" s="414">
        <f t="shared" si="3"/>
        <v>849.2</v>
      </c>
      <c r="AH14" s="414">
        <f t="shared" si="4"/>
        <v>926.4</v>
      </c>
      <c r="AI14" s="414">
        <f t="shared" si="5"/>
        <v>1158</v>
      </c>
      <c r="AJ14" s="414">
        <f t="shared" si="6"/>
        <v>810.6</v>
      </c>
      <c r="AK14" s="414">
        <f t="shared" si="7"/>
        <v>965</v>
      </c>
    </row>
    <row r="15" spans="1:37" ht="24" customHeight="1">
      <c r="A15" s="424">
        <f t="shared" si="8"/>
        <v>6</v>
      </c>
      <c r="B15" s="412" t="s">
        <v>90</v>
      </c>
      <c r="C15" s="414">
        <f>AE15</f>
        <v>866</v>
      </c>
      <c r="D15" s="412" t="s">
        <v>701</v>
      </c>
      <c r="K15" s="418" t="s">
        <v>1288</v>
      </c>
      <c r="R15" s="418" t="s">
        <v>1288</v>
      </c>
      <c r="T15" s="413" t="s">
        <v>91</v>
      </c>
      <c r="U15" s="412" t="s">
        <v>92</v>
      </c>
      <c r="V15" s="412" t="s">
        <v>699</v>
      </c>
      <c r="W15" s="413" t="str">
        <f t="shared" si="0"/>
        <v>Valavanthankottai</v>
      </c>
      <c r="X15" s="423" t="e">
        <f>X11</f>
        <v>#REF!</v>
      </c>
      <c r="Y15" s="423">
        <v>1069.8</v>
      </c>
      <c r="Z15" s="423" t="e">
        <f>Z14</f>
        <v>#REF!</v>
      </c>
      <c r="AA15" s="423"/>
      <c r="AB15" s="423">
        <v>0</v>
      </c>
      <c r="AC15" s="423" t="e">
        <f t="shared" si="1"/>
        <v>#REF!</v>
      </c>
      <c r="AD15" s="412" t="s">
        <v>3233</v>
      </c>
      <c r="AE15" s="414">
        <f t="shared" si="2"/>
        <v>866</v>
      </c>
      <c r="AF15" s="414">
        <v>866</v>
      </c>
      <c r="AG15" s="414">
        <f t="shared" si="3"/>
        <v>952.6</v>
      </c>
      <c r="AH15" s="414">
        <f t="shared" si="4"/>
        <v>1039.2</v>
      </c>
      <c r="AI15" s="414">
        <f t="shared" si="5"/>
        <v>1299</v>
      </c>
      <c r="AJ15" s="414">
        <f t="shared" si="6"/>
        <v>909.3</v>
      </c>
      <c r="AK15" s="414">
        <f t="shared" si="7"/>
        <v>1082.5</v>
      </c>
    </row>
    <row r="16" spans="1:37" ht="24" customHeight="1">
      <c r="A16" s="424">
        <f t="shared" si="8"/>
        <v>7</v>
      </c>
      <c r="B16" s="412" t="s">
        <v>93</v>
      </c>
      <c r="C16" s="414">
        <f>AE19</f>
        <v>976</v>
      </c>
      <c r="D16" s="414">
        <f>AE20</f>
        <v>932</v>
      </c>
      <c r="G16" s="414" t="s">
        <v>1833</v>
      </c>
      <c r="H16" s="412" t="s">
        <v>94</v>
      </c>
      <c r="N16" s="412" t="s">
        <v>1833</v>
      </c>
      <c r="O16" s="412" t="s">
        <v>95</v>
      </c>
      <c r="T16" s="413" t="s">
        <v>96</v>
      </c>
      <c r="U16" s="412" t="s">
        <v>2816</v>
      </c>
      <c r="V16" s="412" t="s">
        <v>699</v>
      </c>
      <c r="W16" s="413" t="s">
        <v>4271</v>
      </c>
      <c r="X16" s="423" t="e">
        <f>#REF!</f>
        <v>#REF!</v>
      </c>
      <c r="Y16" s="419">
        <v>1338</v>
      </c>
      <c r="Z16" s="423" t="e">
        <f>#REF!</f>
        <v>#REF!</v>
      </c>
      <c r="AA16" s="423"/>
      <c r="AB16" s="423">
        <v>0</v>
      </c>
      <c r="AC16" s="423" t="e">
        <f t="shared" si="1"/>
        <v>#REF!</v>
      </c>
      <c r="AD16" s="412" t="s">
        <v>3237</v>
      </c>
      <c r="AE16" s="414">
        <f t="shared" si="2"/>
        <v>839</v>
      </c>
      <c r="AF16" s="414">
        <v>839</v>
      </c>
      <c r="AG16" s="414">
        <f t="shared" si="3"/>
        <v>922.9</v>
      </c>
      <c r="AH16" s="414">
        <f t="shared" si="4"/>
        <v>1006.8</v>
      </c>
      <c r="AI16" s="414">
        <f t="shared" si="5"/>
        <v>1258.5</v>
      </c>
      <c r="AJ16" s="414">
        <f t="shared" si="6"/>
        <v>880.95</v>
      </c>
      <c r="AK16" s="414">
        <f t="shared" si="7"/>
        <v>1048.75</v>
      </c>
    </row>
    <row r="17" spans="1:37" ht="24" customHeight="1">
      <c r="A17" s="424">
        <f t="shared" si="8"/>
        <v>8</v>
      </c>
      <c r="B17" s="412" t="s">
        <v>2427</v>
      </c>
      <c r="C17" s="414">
        <f>AE17</f>
        <v>881</v>
      </c>
      <c r="D17" s="414">
        <f>AE18</f>
        <v>856</v>
      </c>
      <c r="H17" s="418" t="s">
        <v>1288</v>
      </c>
      <c r="O17" s="412" t="s">
        <v>840</v>
      </c>
      <c r="T17" s="413" t="s">
        <v>841</v>
      </c>
      <c r="U17" s="412" t="s">
        <v>3108</v>
      </c>
      <c r="V17" s="412" t="s">
        <v>699</v>
      </c>
      <c r="W17" s="413" t="str">
        <f>W16</f>
        <v>Neikulam (Lalgudi)</v>
      </c>
      <c r="X17" s="423" t="e">
        <f>X16</f>
        <v>#REF!</v>
      </c>
      <c r="Y17" s="419">
        <f>Y16</f>
        <v>1338</v>
      </c>
      <c r="Z17" s="423" t="e">
        <f>Z16</f>
        <v>#REF!</v>
      </c>
      <c r="AA17" s="423"/>
      <c r="AB17" s="423">
        <v>0</v>
      </c>
      <c r="AC17" s="423" t="e">
        <f t="shared" si="1"/>
        <v>#REF!</v>
      </c>
      <c r="AD17" s="412" t="s">
        <v>3238</v>
      </c>
      <c r="AE17" s="414">
        <f t="shared" si="2"/>
        <v>881</v>
      </c>
      <c r="AF17" s="414">
        <v>881</v>
      </c>
      <c r="AG17" s="414">
        <f t="shared" si="3"/>
        <v>969.1</v>
      </c>
      <c r="AH17" s="414">
        <f t="shared" si="4"/>
        <v>1057.2</v>
      </c>
      <c r="AI17" s="414">
        <f t="shared" si="5"/>
        <v>1321.5</v>
      </c>
      <c r="AJ17" s="414">
        <f t="shared" si="6"/>
        <v>925.05</v>
      </c>
      <c r="AK17" s="414">
        <f t="shared" si="7"/>
        <v>1101.25</v>
      </c>
    </row>
    <row r="18" spans="1:37" ht="24" customHeight="1">
      <c r="A18" s="424">
        <f t="shared" si="8"/>
        <v>9</v>
      </c>
      <c r="B18" s="412" t="s">
        <v>2428</v>
      </c>
      <c r="C18" s="414">
        <f>AE24</f>
        <v>116</v>
      </c>
      <c r="D18" s="412" t="s">
        <v>843</v>
      </c>
      <c r="F18" s="414">
        <v>0.72</v>
      </c>
      <c r="G18" s="414" t="s">
        <v>694</v>
      </c>
      <c r="H18" s="412" t="s">
        <v>695</v>
      </c>
      <c r="I18" s="414" t="e">
        <f>(C67)</f>
        <v>#REF!</v>
      </c>
      <c r="J18" s="412" t="s">
        <v>694</v>
      </c>
      <c r="K18" s="414" t="e">
        <f>(F18*I18)</f>
        <v>#REF!</v>
      </c>
      <c r="O18" s="412" t="s">
        <v>1174</v>
      </c>
      <c r="T18" s="413" t="s">
        <v>1175</v>
      </c>
      <c r="U18" s="412" t="s">
        <v>3109</v>
      </c>
      <c r="V18" s="412" t="s">
        <v>1176</v>
      </c>
      <c r="W18" s="413" t="s">
        <v>4770</v>
      </c>
      <c r="X18" s="423" t="e">
        <f>#REF!</f>
        <v>#REF!</v>
      </c>
      <c r="Y18" s="423">
        <v>5709</v>
      </c>
      <c r="Z18" s="423" t="e">
        <f>#REF!</f>
        <v>#REF!</v>
      </c>
      <c r="AA18" s="423"/>
      <c r="AB18" s="423">
        <v>0</v>
      </c>
      <c r="AC18" s="423" t="e">
        <f t="shared" si="1"/>
        <v>#REF!</v>
      </c>
      <c r="AD18" s="412" t="s">
        <v>3239</v>
      </c>
      <c r="AE18" s="414">
        <f t="shared" si="2"/>
        <v>856</v>
      </c>
      <c r="AF18" s="414">
        <v>856</v>
      </c>
      <c r="AG18" s="414">
        <f t="shared" si="3"/>
        <v>941.6</v>
      </c>
      <c r="AH18" s="414">
        <f t="shared" si="4"/>
        <v>1027.2</v>
      </c>
      <c r="AI18" s="414">
        <f t="shared" si="5"/>
        <v>1284</v>
      </c>
      <c r="AJ18" s="414">
        <f t="shared" si="6"/>
        <v>898.8</v>
      </c>
      <c r="AK18" s="414">
        <f t="shared" si="7"/>
        <v>1070</v>
      </c>
    </row>
    <row r="19" spans="1:37" ht="24" customHeight="1">
      <c r="A19" s="424">
        <f t="shared" si="8"/>
        <v>10</v>
      </c>
      <c r="B19" s="412" t="s">
        <v>2824</v>
      </c>
      <c r="C19" s="414">
        <f t="shared" ref="C19:C24" si="9">AE41</f>
        <v>78.900000000000006</v>
      </c>
      <c r="D19" s="412" t="s">
        <v>702</v>
      </c>
      <c r="F19" s="414">
        <v>1</v>
      </c>
      <c r="G19" s="414" t="s">
        <v>702</v>
      </c>
      <c r="H19" s="412" t="s">
        <v>703</v>
      </c>
      <c r="I19" s="414" t="e">
        <f>I36</f>
        <v>#REF!</v>
      </c>
      <c r="J19" s="412" t="s">
        <v>702</v>
      </c>
      <c r="K19" s="414" t="e">
        <f>(F19*I19)</f>
        <v>#REF!</v>
      </c>
      <c r="O19" s="412" t="s">
        <v>53</v>
      </c>
      <c r="T19" s="413" t="s">
        <v>54</v>
      </c>
      <c r="U19" s="412" t="s">
        <v>3110</v>
      </c>
      <c r="V19" s="412" t="s">
        <v>702</v>
      </c>
      <c r="W19" s="413" t="str">
        <f>W18</f>
        <v>Valangaiman</v>
      </c>
      <c r="X19" s="423" t="e">
        <f>#REF!</f>
        <v>#REF!</v>
      </c>
      <c r="Y19" s="423">
        <v>705</v>
      </c>
      <c r="Z19" s="423" t="e">
        <f>#REF!</f>
        <v>#REF!</v>
      </c>
      <c r="AA19" s="423"/>
      <c r="AB19" s="423">
        <v>0</v>
      </c>
      <c r="AC19" s="423" t="e">
        <f t="shared" si="1"/>
        <v>#REF!</v>
      </c>
      <c r="AD19" s="412" t="s">
        <v>3240</v>
      </c>
      <c r="AE19" s="414">
        <f t="shared" si="2"/>
        <v>976</v>
      </c>
      <c r="AF19" s="414">
        <v>976</v>
      </c>
      <c r="AG19" s="414">
        <f t="shared" si="3"/>
        <v>1073.5999999999999</v>
      </c>
      <c r="AH19" s="414">
        <f t="shared" si="4"/>
        <v>1171.2</v>
      </c>
      <c r="AI19" s="414">
        <f t="shared" si="5"/>
        <v>1464</v>
      </c>
      <c r="AJ19" s="414">
        <f t="shared" si="6"/>
        <v>1024.8</v>
      </c>
      <c r="AK19" s="414">
        <f t="shared" si="7"/>
        <v>1220</v>
      </c>
    </row>
    <row r="20" spans="1:37" ht="24" customHeight="1">
      <c r="A20" s="424">
        <f t="shared" si="8"/>
        <v>11</v>
      </c>
      <c r="B20" s="412" t="s">
        <v>295</v>
      </c>
      <c r="C20" s="414">
        <f t="shared" si="9"/>
        <v>159.19999999999999</v>
      </c>
      <c r="D20" s="412" t="s">
        <v>702</v>
      </c>
      <c r="F20" s="414">
        <v>1</v>
      </c>
      <c r="G20" s="414" t="s">
        <v>702</v>
      </c>
      <c r="H20" s="412" t="s">
        <v>707</v>
      </c>
      <c r="I20" s="414">
        <f>(C18)</f>
        <v>116</v>
      </c>
      <c r="J20" s="412" t="s">
        <v>702</v>
      </c>
      <c r="K20" s="414">
        <f>(F20*I20)</f>
        <v>116</v>
      </c>
      <c r="O20" s="412" t="s">
        <v>850</v>
      </c>
      <c r="T20" s="413" t="s">
        <v>1606</v>
      </c>
      <c r="U20" s="412" t="s">
        <v>1607</v>
      </c>
      <c r="V20" s="412" t="s">
        <v>702</v>
      </c>
      <c r="W20" s="413" t="str">
        <f>W18</f>
        <v>Valangaiman</v>
      </c>
      <c r="X20" s="423" t="e">
        <f>X19</f>
        <v>#REF!</v>
      </c>
      <c r="Y20" s="423">
        <v>786</v>
      </c>
      <c r="Z20" s="423" t="e">
        <f>Z19</f>
        <v>#REF!</v>
      </c>
      <c r="AA20" s="423"/>
      <c r="AB20" s="423">
        <v>0</v>
      </c>
      <c r="AC20" s="423" t="e">
        <f t="shared" si="1"/>
        <v>#REF!</v>
      </c>
      <c r="AD20" s="412" t="s">
        <v>3241</v>
      </c>
      <c r="AE20" s="414">
        <f t="shared" si="2"/>
        <v>932</v>
      </c>
      <c r="AF20" s="414">
        <v>932</v>
      </c>
      <c r="AG20" s="414">
        <f t="shared" si="3"/>
        <v>1025.2</v>
      </c>
      <c r="AH20" s="414">
        <f t="shared" si="4"/>
        <v>1118.4000000000001</v>
      </c>
      <c r="AI20" s="414">
        <f t="shared" si="5"/>
        <v>1398</v>
      </c>
      <c r="AJ20" s="414">
        <f t="shared" si="6"/>
        <v>978.6</v>
      </c>
      <c r="AK20" s="414">
        <f t="shared" si="7"/>
        <v>1165</v>
      </c>
    </row>
    <row r="21" spans="1:37" ht="24" customHeight="1">
      <c r="A21" s="424">
        <f t="shared" si="8"/>
        <v>12</v>
      </c>
      <c r="B21" s="412" t="s">
        <v>1844</v>
      </c>
      <c r="C21" s="414">
        <f t="shared" si="9"/>
        <v>159.19999999999999</v>
      </c>
      <c r="D21" s="412" t="s">
        <v>702</v>
      </c>
      <c r="G21" s="414" t="s">
        <v>358</v>
      </c>
      <c r="H21" s="412" t="s">
        <v>359</v>
      </c>
      <c r="I21" s="412" t="s">
        <v>790</v>
      </c>
      <c r="J21" s="412" t="s">
        <v>358</v>
      </c>
      <c r="K21" s="414">
        <v>0</v>
      </c>
      <c r="O21" s="418" t="s">
        <v>1288</v>
      </c>
      <c r="T21" s="413" t="s">
        <v>1845</v>
      </c>
      <c r="U21" s="412" t="s">
        <v>3111</v>
      </c>
      <c r="V21" s="412" t="s">
        <v>1176</v>
      </c>
      <c r="W21" s="413" t="s">
        <v>1846</v>
      </c>
      <c r="X21" s="423" t="e">
        <f>#REF!</f>
        <v>#REF!</v>
      </c>
      <c r="Y21" s="423">
        <v>16106</v>
      </c>
      <c r="Z21" s="423" t="e">
        <f>#REF!</f>
        <v>#REF!</v>
      </c>
      <c r="AA21" s="423"/>
      <c r="AB21" s="423">
        <v>0</v>
      </c>
      <c r="AC21" s="423" t="e">
        <f t="shared" si="1"/>
        <v>#REF!</v>
      </c>
      <c r="AD21" s="412" t="s">
        <v>3242</v>
      </c>
      <c r="AE21" s="414">
        <f t="shared" si="2"/>
        <v>766</v>
      </c>
      <c r="AF21" s="414">
        <v>766</v>
      </c>
      <c r="AG21" s="414">
        <f t="shared" si="3"/>
        <v>842.6</v>
      </c>
      <c r="AH21" s="414">
        <f t="shared" si="4"/>
        <v>919.2</v>
      </c>
      <c r="AI21" s="414">
        <f t="shared" si="5"/>
        <v>1149</v>
      </c>
      <c r="AJ21" s="414">
        <f t="shared" si="6"/>
        <v>804.3</v>
      </c>
      <c r="AK21" s="414">
        <f t="shared" si="7"/>
        <v>957.5</v>
      </c>
    </row>
    <row r="22" spans="1:37" ht="24" customHeight="1">
      <c r="A22" s="424">
        <f t="shared" si="8"/>
        <v>13</v>
      </c>
      <c r="B22" s="412" t="s">
        <v>2825</v>
      </c>
      <c r="C22" s="414">
        <f t="shared" si="9"/>
        <v>119.85</v>
      </c>
      <c r="D22" s="412" t="s">
        <v>702</v>
      </c>
      <c r="K22" s="418" t="s">
        <v>1288</v>
      </c>
      <c r="M22" s="414">
        <v>1</v>
      </c>
      <c r="N22" s="412" t="s">
        <v>702</v>
      </c>
      <c r="O22" s="412" t="s">
        <v>1630</v>
      </c>
      <c r="P22" s="414" t="e">
        <f>C79</f>
        <v>#REF!</v>
      </c>
      <c r="Q22" s="412" t="s">
        <v>702</v>
      </c>
      <c r="R22" s="414" t="e">
        <f>(M22*P22)</f>
        <v>#REF!</v>
      </c>
      <c r="T22" s="413" t="s">
        <v>1631</v>
      </c>
      <c r="U22" s="412" t="s">
        <v>3112</v>
      </c>
      <c r="V22" s="412" t="s">
        <v>699</v>
      </c>
      <c r="W22" s="413" t="s">
        <v>1846</v>
      </c>
      <c r="X22" s="423"/>
      <c r="Y22" s="423">
        <v>1348</v>
      </c>
      <c r="Z22" s="423"/>
      <c r="AA22" s="423"/>
      <c r="AB22" s="423">
        <v>0</v>
      </c>
      <c r="AC22" s="423">
        <f t="shared" si="1"/>
        <v>1348</v>
      </c>
      <c r="AD22" s="412" t="s">
        <v>1633</v>
      </c>
      <c r="AE22" s="414">
        <f t="shared" si="2"/>
        <v>738</v>
      </c>
      <c r="AF22" s="414">
        <v>738</v>
      </c>
      <c r="AG22" s="414">
        <f t="shared" si="3"/>
        <v>811.8</v>
      </c>
      <c r="AH22" s="414">
        <f t="shared" si="4"/>
        <v>885.6</v>
      </c>
      <c r="AI22" s="414">
        <f t="shared" si="5"/>
        <v>1107</v>
      </c>
      <c r="AJ22" s="414">
        <f t="shared" si="6"/>
        <v>774.9</v>
      </c>
      <c r="AK22" s="414">
        <f t="shared" si="7"/>
        <v>922.5</v>
      </c>
    </row>
    <row r="23" spans="1:37" ht="24" customHeight="1">
      <c r="A23" s="424">
        <f t="shared" si="8"/>
        <v>14</v>
      </c>
      <c r="B23" s="412" t="s">
        <v>224</v>
      </c>
      <c r="C23" s="414">
        <f t="shared" si="9"/>
        <v>236.1</v>
      </c>
      <c r="D23" s="412" t="s">
        <v>702</v>
      </c>
      <c r="H23" s="412" t="s">
        <v>1233</v>
      </c>
      <c r="K23" s="417" t="e">
        <f>SUM(K18:K21)</f>
        <v>#REF!</v>
      </c>
      <c r="M23" s="414">
        <v>1</v>
      </c>
      <c r="N23" s="412" t="s">
        <v>702</v>
      </c>
      <c r="O23" s="412" t="s">
        <v>225</v>
      </c>
      <c r="P23" s="414" t="e">
        <f>C85</f>
        <v>#REF!</v>
      </c>
      <c r="Q23" s="412" t="s">
        <v>702</v>
      </c>
      <c r="R23" s="414" t="e">
        <f>(M23*P23)</f>
        <v>#REF!</v>
      </c>
      <c r="T23" s="413" t="s">
        <v>671</v>
      </c>
      <c r="U23" s="412" t="s">
        <v>2817</v>
      </c>
      <c r="V23" s="412" t="s">
        <v>699</v>
      </c>
      <c r="W23" s="413" t="str">
        <f>W22</f>
        <v>Local</v>
      </c>
      <c r="X23" s="423" t="e">
        <f>#REF!</f>
        <v>#REF!</v>
      </c>
      <c r="Y23" s="423">
        <v>993</v>
      </c>
      <c r="Z23" s="423" t="e">
        <f>#REF!</f>
        <v>#REF!</v>
      </c>
      <c r="AA23" s="423"/>
      <c r="AB23" s="423">
        <v>0</v>
      </c>
      <c r="AC23" s="423" t="e">
        <f t="shared" si="1"/>
        <v>#REF!</v>
      </c>
      <c r="AD23" s="412" t="s">
        <v>672</v>
      </c>
      <c r="AE23" s="414">
        <f t="shared" si="2"/>
        <v>769</v>
      </c>
      <c r="AF23" s="414">
        <v>769</v>
      </c>
      <c r="AG23" s="414">
        <f t="shared" si="3"/>
        <v>845.9</v>
      </c>
      <c r="AH23" s="414">
        <f t="shared" si="4"/>
        <v>922.8</v>
      </c>
      <c r="AI23" s="414">
        <f t="shared" si="5"/>
        <v>1153.5</v>
      </c>
      <c r="AJ23" s="414">
        <f t="shared" si="6"/>
        <v>807.45</v>
      </c>
      <c r="AK23" s="414">
        <f t="shared" si="7"/>
        <v>961.25</v>
      </c>
    </row>
    <row r="24" spans="1:37" ht="24" customHeight="1">
      <c r="A24" s="424">
        <f t="shared" si="8"/>
        <v>15</v>
      </c>
      <c r="B24" s="412" t="s">
        <v>673</v>
      </c>
      <c r="C24" s="414">
        <f t="shared" si="9"/>
        <v>236.1</v>
      </c>
      <c r="D24" s="412" t="s">
        <v>702</v>
      </c>
      <c r="K24" s="418" t="s">
        <v>1288</v>
      </c>
      <c r="M24" s="414">
        <v>1.5</v>
      </c>
      <c r="N24" s="412" t="s">
        <v>702</v>
      </c>
      <c r="O24" s="412" t="s">
        <v>1455</v>
      </c>
      <c r="P24" s="414">
        <f>C18</f>
        <v>116</v>
      </c>
      <c r="Q24" s="412" t="s">
        <v>702</v>
      </c>
      <c r="R24" s="414">
        <f>(M24*P24)</f>
        <v>174</v>
      </c>
      <c r="T24" s="413" t="s">
        <v>1456</v>
      </c>
      <c r="U24" s="412" t="s">
        <v>2818</v>
      </c>
      <c r="V24" s="412" t="s">
        <v>699</v>
      </c>
      <c r="W24" s="413" t="s">
        <v>1457</v>
      </c>
      <c r="X24" s="423" t="e">
        <f>X25</f>
        <v>#REF!</v>
      </c>
      <c r="Y24" s="423">
        <v>34300</v>
      </c>
      <c r="Z24" s="423" t="e">
        <f>Z25</f>
        <v>#REF!</v>
      </c>
      <c r="AA24" s="423"/>
      <c r="AB24" s="423">
        <v>0</v>
      </c>
      <c r="AC24" s="423" t="e">
        <f t="shared" si="1"/>
        <v>#REF!</v>
      </c>
      <c r="AD24" s="412" t="s">
        <v>3329</v>
      </c>
      <c r="AE24" s="414">
        <f t="shared" si="2"/>
        <v>116</v>
      </c>
      <c r="AF24" s="414">
        <v>116</v>
      </c>
      <c r="AG24" s="414">
        <f t="shared" si="3"/>
        <v>127.6</v>
      </c>
      <c r="AH24" s="414">
        <f t="shared" si="4"/>
        <v>139.19999999999999</v>
      </c>
      <c r="AI24" s="414">
        <f t="shared" si="5"/>
        <v>174</v>
      </c>
      <c r="AJ24" s="414">
        <f t="shared" si="6"/>
        <v>121.8</v>
      </c>
      <c r="AK24" s="414">
        <f t="shared" si="7"/>
        <v>145</v>
      </c>
    </row>
    <row r="25" spans="1:37" ht="24" customHeight="1">
      <c r="A25" s="424">
        <f t="shared" si="8"/>
        <v>16</v>
      </c>
      <c r="B25" s="412" t="s">
        <v>2429</v>
      </c>
      <c r="C25" s="414">
        <f>AE25</f>
        <v>94.2</v>
      </c>
      <c r="D25" s="412" t="s">
        <v>702</v>
      </c>
      <c r="G25" s="414" t="s">
        <v>1833</v>
      </c>
      <c r="H25" s="412" t="s">
        <v>1100</v>
      </c>
      <c r="M25" s="414">
        <v>1.5</v>
      </c>
      <c r="N25" s="412" t="s">
        <v>702</v>
      </c>
      <c r="O25" s="412" t="s">
        <v>1101</v>
      </c>
      <c r="P25" s="414">
        <f>C27</f>
        <v>34.200000000000003</v>
      </c>
      <c r="Q25" s="412" t="s">
        <v>702</v>
      </c>
      <c r="R25" s="414">
        <f>(M25*P25)</f>
        <v>51.3</v>
      </c>
      <c r="T25" s="413" t="s">
        <v>1102</v>
      </c>
      <c r="U25" s="412" t="s">
        <v>1103</v>
      </c>
      <c r="V25" s="412" t="s">
        <v>699</v>
      </c>
      <c r="W25" s="413" t="s">
        <v>1457</v>
      </c>
      <c r="X25" s="423" t="e">
        <f>#REF!</f>
        <v>#REF!</v>
      </c>
      <c r="Y25" s="423">
        <v>39400</v>
      </c>
      <c r="Z25" s="423" t="e">
        <f>#REF!</f>
        <v>#REF!</v>
      </c>
      <c r="AA25" s="423"/>
      <c r="AB25" s="423">
        <v>0</v>
      </c>
      <c r="AC25" s="423" t="e">
        <f>SUM(Y25+Z25+AA25+AB25)</f>
        <v>#REF!</v>
      </c>
      <c r="AD25" s="412" t="s">
        <v>3330</v>
      </c>
      <c r="AE25" s="414">
        <f t="shared" si="2"/>
        <v>94.2</v>
      </c>
      <c r="AF25" s="414">
        <v>94.2</v>
      </c>
      <c r="AG25" s="414">
        <f t="shared" si="3"/>
        <v>103.62</v>
      </c>
      <c r="AH25" s="414">
        <f t="shared" si="4"/>
        <v>113.04</v>
      </c>
      <c r="AI25" s="414">
        <f t="shared" si="5"/>
        <v>141.30000000000001</v>
      </c>
      <c r="AJ25" s="414">
        <f t="shared" si="6"/>
        <v>98.91</v>
      </c>
      <c r="AK25" s="414">
        <f t="shared" si="7"/>
        <v>117.75</v>
      </c>
    </row>
    <row r="26" spans="1:37" ht="24" customHeight="1">
      <c r="A26" s="424">
        <f t="shared" si="8"/>
        <v>17</v>
      </c>
      <c r="B26" s="412" t="s">
        <v>2430</v>
      </c>
      <c r="C26" s="414">
        <f>AE28</f>
        <v>38.950000000000003</v>
      </c>
      <c r="D26" s="412" t="s">
        <v>1667</v>
      </c>
      <c r="H26" s="418" t="s">
        <v>1288</v>
      </c>
      <c r="N26" s="412" t="s">
        <v>358</v>
      </c>
      <c r="O26" s="412" t="s">
        <v>359</v>
      </c>
      <c r="P26" s="412" t="s">
        <v>790</v>
      </c>
      <c r="Q26" s="412" t="s">
        <v>358</v>
      </c>
      <c r="R26" s="414">
        <v>0</v>
      </c>
      <c r="T26" s="413" t="s">
        <v>1668</v>
      </c>
      <c r="U26" s="412" t="s">
        <v>2819</v>
      </c>
      <c r="V26" s="412" t="s">
        <v>699</v>
      </c>
      <c r="W26" s="413" t="s">
        <v>1457</v>
      </c>
      <c r="X26" s="423" t="e">
        <f>X25</f>
        <v>#REF!</v>
      </c>
      <c r="Y26" s="423">
        <v>111600</v>
      </c>
      <c r="Z26" s="423" t="e">
        <f>#REF!</f>
        <v>#REF!</v>
      </c>
      <c r="AA26" s="423"/>
      <c r="AB26" s="423">
        <v>0</v>
      </c>
      <c r="AC26" s="423" t="e">
        <f>SUM(Y26+Z26+AA26+AB26)</f>
        <v>#REF!</v>
      </c>
      <c r="AD26" s="412" t="s">
        <v>2926</v>
      </c>
      <c r="AE26" s="414">
        <f t="shared" si="2"/>
        <v>69.8</v>
      </c>
      <c r="AF26" s="414">
        <v>69.8</v>
      </c>
      <c r="AG26" s="414">
        <f t="shared" si="3"/>
        <v>76.78</v>
      </c>
      <c r="AH26" s="414">
        <f t="shared" si="4"/>
        <v>83.76</v>
      </c>
      <c r="AI26" s="414">
        <f t="shared" si="5"/>
        <v>104.7</v>
      </c>
      <c r="AJ26" s="414">
        <f t="shared" si="6"/>
        <v>73.290000000000006</v>
      </c>
      <c r="AK26" s="414">
        <f t="shared" si="7"/>
        <v>87.25</v>
      </c>
    </row>
    <row r="27" spans="1:37" ht="24" customHeight="1">
      <c r="A27" s="424">
        <f t="shared" si="8"/>
        <v>18</v>
      </c>
      <c r="B27" s="412" t="s">
        <v>2431</v>
      </c>
      <c r="C27" s="414">
        <f>AE27</f>
        <v>34.200000000000003</v>
      </c>
      <c r="D27" s="412" t="s">
        <v>1667</v>
      </c>
      <c r="E27" s="417">
        <f>(67+89.5+102.7)/3</f>
        <v>86.4</v>
      </c>
      <c r="F27" s="414">
        <v>0.48</v>
      </c>
      <c r="G27" s="414" t="s">
        <v>694</v>
      </c>
      <c r="H27" s="412" t="s">
        <v>695</v>
      </c>
      <c r="I27" s="414" t="e">
        <f>(C67)</f>
        <v>#REF!</v>
      </c>
      <c r="J27" s="412" t="s">
        <v>694</v>
      </c>
      <c r="K27" s="414" t="e">
        <f>(F27*I27)</f>
        <v>#REF!</v>
      </c>
      <c r="R27" s="418" t="s">
        <v>1288</v>
      </c>
      <c r="T27" s="413" t="s">
        <v>1214</v>
      </c>
      <c r="U27" s="412" t="s">
        <v>2820</v>
      </c>
      <c r="V27" s="412" t="s">
        <v>699</v>
      </c>
      <c r="W27" s="413" t="s">
        <v>1457</v>
      </c>
      <c r="X27" s="423" t="e">
        <f>X26</f>
        <v>#REF!</v>
      </c>
      <c r="Y27" s="423">
        <v>99400</v>
      </c>
      <c r="Z27" s="423" t="e">
        <f>Z26</f>
        <v>#REF!</v>
      </c>
      <c r="AA27" s="423"/>
      <c r="AB27" s="423">
        <v>0</v>
      </c>
      <c r="AC27" s="423" t="e">
        <f>SUM(Y27+Z27+AA27+AB27)</f>
        <v>#REF!</v>
      </c>
      <c r="AD27" s="412" t="s">
        <v>3331</v>
      </c>
      <c r="AE27" s="414">
        <f t="shared" si="2"/>
        <v>34.200000000000003</v>
      </c>
      <c r="AF27" s="414">
        <v>34.200000000000003</v>
      </c>
      <c r="AG27" s="414">
        <f t="shared" si="3"/>
        <v>37.619999999999997</v>
      </c>
      <c r="AH27" s="414">
        <f t="shared" si="4"/>
        <v>41.04</v>
      </c>
      <c r="AI27" s="414">
        <f t="shared" si="5"/>
        <v>51.3</v>
      </c>
      <c r="AJ27" s="414">
        <f t="shared" si="6"/>
        <v>35.909999999999997</v>
      </c>
      <c r="AK27" s="414">
        <f t="shared" si="7"/>
        <v>42.75</v>
      </c>
    </row>
    <row r="28" spans="1:37" ht="24" customHeight="1">
      <c r="A28" s="424">
        <f t="shared" si="8"/>
        <v>19</v>
      </c>
      <c r="B28" s="412" t="s">
        <v>2927</v>
      </c>
      <c r="C28" s="417">
        <f>E27</f>
        <v>86.4</v>
      </c>
      <c r="D28" s="412" t="s">
        <v>358</v>
      </c>
      <c r="E28" s="414">
        <v>254.4</v>
      </c>
      <c r="F28" s="414">
        <v>1</v>
      </c>
      <c r="G28" s="414" t="s">
        <v>702</v>
      </c>
      <c r="H28" s="412" t="s">
        <v>703</v>
      </c>
      <c r="I28" s="414" t="e">
        <f>(C78)</f>
        <v>#REF!</v>
      </c>
      <c r="J28" s="412" t="s">
        <v>702</v>
      </c>
      <c r="K28" s="414" t="e">
        <f>(F28*I28)</f>
        <v>#REF!</v>
      </c>
      <c r="O28" s="412" t="s">
        <v>137</v>
      </c>
      <c r="R28" s="414" t="e">
        <f>SUM(R22:R26)</f>
        <v>#REF!</v>
      </c>
      <c r="T28" s="413" t="s">
        <v>716</v>
      </c>
      <c r="U28" s="412" t="s">
        <v>2821</v>
      </c>
      <c r="V28" s="412" t="s">
        <v>699</v>
      </c>
      <c r="W28" s="413" t="s">
        <v>1457</v>
      </c>
      <c r="X28" s="423" t="e">
        <f>X27</f>
        <v>#REF!</v>
      </c>
      <c r="Y28" s="423">
        <v>95000</v>
      </c>
      <c r="Z28" s="423" t="e">
        <f>Z27</f>
        <v>#REF!</v>
      </c>
      <c r="AA28" s="423"/>
      <c r="AB28" s="423">
        <v>0</v>
      </c>
      <c r="AC28" s="423" t="e">
        <f>SUM(Y28+Z28+AA28+AB28)</f>
        <v>#REF!</v>
      </c>
      <c r="AD28" s="412" t="s">
        <v>2928</v>
      </c>
      <c r="AE28" s="414">
        <f t="shared" si="2"/>
        <v>38.950000000000003</v>
      </c>
      <c r="AF28" s="414">
        <v>38.950000000000003</v>
      </c>
      <c r="AG28" s="414">
        <f t="shared" si="3"/>
        <v>42.85</v>
      </c>
      <c r="AH28" s="414">
        <f t="shared" si="4"/>
        <v>46.74</v>
      </c>
      <c r="AI28" s="414">
        <f t="shared" si="5"/>
        <v>58.43</v>
      </c>
      <c r="AJ28" s="414">
        <f t="shared" si="6"/>
        <v>40.9</v>
      </c>
      <c r="AK28" s="414">
        <f t="shared" si="7"/>
        <v>48.69</v>
      </c>
    </row>
    <row r="29" spans="1:37" ht="24" customHeight="1">
      <c r="A29" s="424">
        <f t="shared" si="8"/>
        <v>20</v>
      </c>
      <c r="B29" s="412" t="s">
        <v>2432</v>
      </c>
      <c r="C29" s="414">
        <f>AE23</f>
        <v>769</v>
      </c>
      <c r="D29" s="412" t="s">
        <v>619</v>
      </c>
      <c r="E29" s="414">
        <f>E28/3</f>
        <v>84.8</v>
      </c>
      <c r="F29" s="414">
        <v>1</v>
      </c>
      <c r="G29" s="414" t="s">
        <v>702</v>
      </c>
      <c r="H29" s="412" t="s">
        <v>707</v>
      </c>
      <c r="I29" s="414">
        <f>(C18)</f>
        <v>116</v>
      </c>
      <c r="J29" s="412" t="s">
        <v>702</v>
      </c>
      <c r="K29" s="414">
        <f>(F29*I29)</f>
        <v>116</v>
      </c>
      <c r="R29" s="418" t="s">
        <v>1288</v>
      </c>
      <c r="T29" s="413" t="s">
        <v>620</v>
      </c>
      <c r="U29" s="412" t="s">
        <v>3113</v>
      </c>
      <c r="V29" s="412" t="s">
        <v>1176</v>
      </c>
      <c r="W29" s="413" t="str">
        <f>W18</f>
        <v>Valangaiman</v>
      </c>
      <c r="X29" s="423" t="e">
        <f>X18</f>
        <v>#REF!</v>
      </c>
      <c r="Y29" s="423">
        <v>4299</v>
      </c>
      <c r="Z29" s="423" t="e">
        <f>#REF!</f>
        <v>#REF!</v>
      </c>
      <c r="AA29" s="423"/>
      <c r="AB29" s="423">
        <v>0</v>
      </c>
      <c r="AC29" s="423" t="e">
        <f>SUM(Y29+Z29+AA29+AB29)</f>
        <v>#REF!</v>
      </c>
      <c r="AD29" s="412" t="s">
        <v>2929</v>
      </c>
      <c r="AE29" s="414">
        <f t="shared" si="2"/>
        <v>112.05</v>
      </c>
      <c r="AF29" s="414">
        <v>112.05</v>
      </c>
      <c r="AG29" s="414">
        <f t="shared" si="3"/>
        <v>123.26</v>
      </c>
      <c r="AH29" s="414">
        <f t="shared" si="4"/>
        <v>134.46</v>
      </c>
      <c r="AI29" s="414">
        <f t="shared" si="5"/>
        <v>168.08</v>
      </c>
      <c r="AJ29" s="414">
        <f t="shared" si="6"/>
        <v>117.65</v>
      </c>
      <c r="AK29" s="414">
        <f t="shared" si="7"/>
        <v>140.06</v>
      </c>
    </row>
    <row r="30" spans="1:37" ht="24" customHeight="1">
      <c r="A30" s="424">
        <f t="shared" si="8"/>
        <v>21</v>
      </c>
      <c r="B30" s="412" t="s">
        <v>2433</v>
      </c>
      <c r="C30" s="414">
        <f>AE33</f>
        <v>13690</v>
      </c>
      <c r="D30" s="414">
        <f>AE31</f>
        <v>1281</v>
      </c>
      <c r="G30" s="414" t="s">
        <v>358</v>
      </c>
      <c r="H30" s="412" t="s">
        <v>359</v>
      </c>
      <c r="I30" s="412" t="s">
        <v>790</v>
      </c>
      <c r="J30" s="412" t="s">
        <v>358</v>
      </c>
      <c r="K30" s="414">
        <v>0</v>
      </c>
      <c r="O30" s="412" t="s">
        <v>621</v>
      </c>
      <c r="R30" s="414" t="e">
        <f>(R28/1.5)</f>
        <v>#REF!</v>
      </c>
      <c r="T30" s="413" t="s">
        <v>1764</v>
      </c>
      <c r="U30" s="412" t="s">
        <v>2822</v>
      </c>
      <c r="V30" s="412" t="s">
        <v>1176</v>
      </c>
      <c r="W30" s="413" t="s">
        <v>1457</v>
      </c>
      <c r="X30" s="423"/>
      <c r="Y30" s="423">
        <v>11907</v>
      </c>
      <c r="Z30" s="423"/>
      <c r="AA30" s="423"/>
      <c r="AB30" s="423">
        <v>0</v>
      </c>
      <c r="AC30" s="423">
        <f t="shared" si="1"/>
        <v>11907</v>
      </c>
      <c r="AD30" s="412" t="s">
        <v>3332</v>
      </c>
      <c r="AE30" s="414">
        <f t="shared" si="2"/>
        <v>1537</v>
      </c>
      <c r="AF30" s="414">
        <v>1537</v>
      </c>
      <c r="AG30" s="414">
        <f t="shared" si="3"/>
        <v>1690.7</v>
      </c>
      <c r="AH30" s="414">
        <f t="shared" si="4"/>
        <v>1844.4</v>
      </c>
      <c r="AI30" s="414">
        <f t="shared" si="5"/>
        <v>2305.5</v>
      </c>
      <c r="AJ30" s="414">
        <f t="shared" si="6"/>
        <v>1613.85</v>
      </c>
      <c r="AK30" s="414">
        <f t="shared" si="7"/>
        <v>1921.25</v>
      </c>
    </row>
    <row r="31" spans="1:37" ht="24" customHeight="1">
      <c r="A31" s="424">
        <f t="shared" si="8"/>
        <v>22</v>
      </c>
      <c r="B31" s="412" t="s">
        <v>2434</v>
      </c>
      <c r="C31" s="414">
        <f>AE30</f>
        <v>1537</v>
      </c>
      <c r="D31" s="414">
        <f>AE32</f>
        <v>1436</v>
      </c>
      <c r="K31" s="418" t="s">
        <v>1288</v>
      </c>
      <c r="O31" s="412" t="s">
        <v>193</v>
      </c>
      <c r="R31" s="418" t="s">
        <v>1676</v>
      </c>
      <c r="T31" s="413" t="s">
        <v>13</v>
      </c>
      <c r="U31" s="412" t="s">
        <v>14</v>
      </c>
      <c r="V31" s="412" t="s">
        <v>694</v>
      </c>
      <c r="W31" s="413" t="s">
        <v>1457</v>
      </c>
      <c r="X31" s="423" t="e">
        <f>#REF!</f>
        <v>#REF!</v>
      </c>
      <c r="Y31" s="423">
        <v>6040</v>
      </c>
      <c r="Z31" s="423" t="e">
        <f>#REF!</f>
        <v>#REF!</v>
      </c>
      <c r="AA31" s="423"/>
      <c r="AB31" s="423"/>
      <c r="AC31" s="423" t="e">
        <f>SUM(Y31+Z31+AA31+AB31)</f>
        <v>#REF!</v>
      </c>
      <c r="AD31" s="412" t="s">
        <v>3333</v>
      </c>
      <c r="AE31" s="414">
        <f t="shared" si="2"/>
        <v>1281</v>
      </c>
      <c r="AF31" s="414">
        <v>1281</v>
      </c>
      <c r="AG31" s="414">
        <f t="shared" si="3"/>
        <v>1409.1</v>
      </c>
      <c r="AH31" s="414">
        <f t="shared" si="4"/>
        <v>1537.2</v>
      </c>
      <c r="AI31" s="414">
        <f t="shared" si="5"/>
        <v>1921.5</v>
      </c>
      <c r="AJ31" s="414">
        <f t="shared" si="6"/>
        <v>1345.05</v>
      </c>
      <c r="AK31" s="414">
        <f t="shared" si="7"/>
        <v>1601.25</v>
      </c>
    </row>
    <row r="32" spans="1:37" ht="24" customHeight="1">
      <c r="A32" s="424">
        <f t="shared" si="8"/>
        <v>23</v>
      </c>
      <c r="B32" s="412" t="s">
        <v>1458</v>
      </c>
      <c r="C32" s="414">
        <v>2.5</v>
      </c>
      <c r="D32" s="414">
        <f>AE34</f>
        <v>1197</v>
      </c>
      <c r="H32" s="412" t="s">
        <v>1233</v>
      </c>
      <c r="K32" s="417" t="e">
        <f>SUM(K27:K30)</f>
        <v>#REF!</v>
      </c>
      <c r="T32" s="413" t="s">
        <v>1459</v>
      </c>
      <c r="U32" s="412" t="s">
        <v>1460</v>
      </c>
      <c r="V32" s="412" t="s">
        <v>694</v>
      </c>
      <c r="W32" s="413" t="s">
        <v>1846</v>
      </c>
      <c r="X32" s="423" t="e">
        <f>#REF!</f>
        <v>#REF!</v>
      </c>
      <c r="Y32" s="423">
        <v>58000</v>
      </c>
      <c r="Z32" s="423" t="e">
        <f>Z31</f>
        <v>#REF!</v>
      </c>
      <c r="AA32" s="423"/>
      <c r="AB32" s="423">
        <v>0</v>
      </c>
      <c r="AC32" s="423" t="e">
        <f>SUM(Y32+Z32+AA32+AB32)</f>
        <v>#REF!</v>
      </c>
      <c r="AD32" s="412" t="s">
        <v>3334</v>
      </c>
      <c r="AE32" s="414">
        <f t="shared" si="2"/>
        <v>1436</v>
      </c>
      <c r="AF32" s="414">
        <v>1436</v>
      </c>
      <c r="AG32" s="414">
        <f t="shared" si="3"/>
        <v>1579.6</v>
      </c>
      <c r="AH32" s="414">
        <f t="shared" si="4"/>
        <v>1723.2</v>
      </c>
      <c r="AI32" s="414">
        <f t="shared" si="5"/>
        <v>2154</v>
      </c>
      <c r="AJ32" s="414">
        <f t="shared" si="6"/>
        <v>1507.8</v>
      </c>
      <c r="AK32" s="414">
        <f t="shared" si="7"/>
        <v>1795</v>
      </c>
    </row>
    <row r="33" spans="1:37" ht="24" customHeight="1">
      <c r="A33" s="424">
        <f t="shared" si="8"/>
        <v>24</v>
      </c>
      <c r="B33" s="412" t="s">
        <v>353</v>
      </c>
      <c r="C33" s="414">
        <v>3.64</v>
      </c>
      <c r="D33" s="414">
        <f>AE35</f>
        <v>1072</v>
      </c>
      <c r="K33" s="418" t="s">
        <v>1288</v>
      </c>
      <c r="T33" s="425" t="s">
        <v>354</v>
      </c>
      <c r="U33" s="412" t="s">
        <v>1153</v>
      </c>
      <c r="V33" s="412" t="s">
        <v>694</v>
      </c>
      <c r="W33" s="413" t="s">
        <v>1846</v>
      </c>
      <c r="X33" s="423" t="e">
        <f>X32</f>
        <v>#REF!</v>
      </c>
      <c r="Y33" s="423">
        <v>58000</v>
      </c>
      <c r="Z33" s="423" t="e">
        <f>Z32</f>
        <v>#REF!</v>
      </c>
      <c r="AA33" s="423"/>
      <c r="AB33" s="423">
        <v>0</v>
      </c>
      <c r="AC33" s="423" t="e">
        <f t="shared" si="1"/>
        <v>#REF!</v>
      </c>
      <c r="AD33" s="412" t="s">
        <v>3335</v>
      </c>
      <c r="AE33" s="414">
        <f t="shared" si="2"/>
        <v>13690</v>
      </c>
      <c r="AF33" s="414">
        <v>13690</v>
      </c>
      <c r="AG33" s="414">
        <f t="shared" si="3"/>
        <v>15059</v>
      </c>
      <c r="AH33" s="414">
        <f t="shared" si="4"/>
        <v>16428</v>
      </c>
      <c r="AI33" s="414">
        <f t="shared" si="5"/>
        <v>20535</v>
      </c>
      <c r="AJ33" s="414">
        <f t="shared" si="6"/>
        <v>14374.5</v>
      </c>
      <c r="AK33" s="414">
        <f t="shared" si="7"/>
        <v>17112.5</v>
      </c>
    </row>
    <row r="34" spans="1:37" ht="24" customHeight="1">
      <c r="A34" s="424">
        <f t="shared" si="8"/>
        <v>25</v>
      </c>
      <c r="B34" s="412" t="s">
        <v>3114</v>
      </c>
      <c r="C34" s="414">
        <f>53*1000</f>
        <v>53000</v>
      </c>
      <c r="D34" s="414">
        <f>C34</f>
        <v>53000</v>
      </c>
      <c r="G34" s="414" t="s">
        <v>1833</v>
      </c>
      <c r="H34" s="412" t="s">
        <v>1063</v>
      </c>
      <c r="T34" s="425" t="s">
        <v>1154</v>
      </c>
      <c r="U34" s="412" t="s">
        <v>1155</v>
      </c>
      <c r="V34" s="412" t="s">
        <v>1176</v>
      </c>
      <c r="W34" s="413" t="str">
        <f>W18</f>
        <v>Valangaiman</v>
      </c>
      <c r="X34" s="423" t="e">
        <f>X29</f>
        <v>#REF!</v>
      </c>
      <c r="Y34" s="423">
        <f>Y29</f>
        <v>4299</v>
      </c>
      <c r="Z34" s="423" t="e">
        <f>Z29</f>
        <v>#REF!</v>
      </c>
      <c r="AA34" s="423"/>
      <c r="AB34" s="423">
        <v>0</v>
      </c>
      <c r="AC34" s="423" t="e">
        <f t="shared" si="1"/>
        <v>#REF!</v>
      </c>
      <c r="AD34" s="412" t="s">
        <v>3336</v>
      </c>
      <c r="AE34" s="414">
        <f t="shared" si="2"/>
        <v>1197</v>
      </c>
      <c r="AF34" s="414">
        <v>1197</v>
      </c>
      <c r="AG34" s="414">
        <f t="shared" si="3"/>
        <v>1316.7</v>
      </c>
      <c r="AH34" s="414">
        <f t="shared" si="4"/>
        <v>1436.4</v>
      </c>
      <c r="AI34" s="414">
        <f t="shared" si="5"/>
        <v>1795.5</v>
      </c>
      <c r="AJ34" s="414">
        <f t="shared" si="6"/>
        <v>1256.8499999999999</v>
      </c>
      <c r="AK34" s="414">
        <f t="shared" si="7"/>
        <v>1496.25</v>
      </c>
    </row>
    <row r="35" spans="1:37" ht="24" customHeight="1">
      <c r="A35" s="424">
        <f t="shared" si="8"/>
        <v>26</v>
      </c>
      <c r="B35" s="412" t="s">
        <v>167</v>
      </c>
      <c r="C35" s="414" t="e">
        <f>AC38</f>
        <v>#REF!</v>
      </c>
      <c r="F35" s="414">
        <v>0.36</v>
      </c>
      <c r="G35" s="414" t="s">
        <v>694</v>
      </c>
      <c r="H35" s="412" t="s">
        <v>695</v>
      </c>
      <c r="I35" s="414" t="e">
        <f>C67</f>
        <v>#REF!</v>
      </c>
      <c r="J35" s="412" t="s">
        <v>694</v>
      </c>
      <c r="K35" s="414" t="e">
        <f>(F35*I35)</f>
        <v>#REF!</v>
      </c>
      <c r="T35" s="413" t="s">
        <v>1156</v>
      </c>
      <c r="U35" s="412" t="s">
        <v>3115</v>
      </c>
      <c r="V35" s="412" t="s">
        <v>699</v>
      </c>
      <c r="W35" s="413" t="str">
        <f>W11</f>
        <v>Valavanthankottai</v>
      </c>
      <c r="X35" s="423" t="e">
        <f>X11</f>
        <v>#REF!</v>
      </c>
      <c r="Y35" s="423">
        <v>961</v>
      </c>
      <c r="Z35" s="423" t="e">
        <f>Z11</f>
        <v>#REF!</v>
      </c>
      <c r="AA35" s="423"/>
      <c r="AB35" s="423"/>
      <c r="AC35" s="423" t="e">
        <f t="shared" si="1"/>
        <v>#REF!</v>
      </c>
      <c r="AD35" s="412" t="s">
        <v>3337</v>
      </c>
      <c r="AE35" s="414">
        <f t="shared" si="2"/>
        <v>1072</v>
      </c>
      <c r="AF35" s="414">
        <v>1072</v>
      </c>
      <c r="AG35" s="414">
        <f t="shared" si="3"/>
        <v>1179.2</v>
      </c>
      <c r="AH35" s="414">
        <f t="shared" si="4"/>
        <v>1286.4000000000001</v>
      </c>
      <c r="AI35" s="414">
        <f t="shared" si="5"/>
        <v>1608</v>
      </c>
      <c r="AJ35" s="414">
        <f t="shared" si="6"/>
        <v>1125.5999999999999</v>
      </c>
      <c r="AK35" s="414">
        <f t="shared" si="7"/>
        <v>1340</v>
      </c>
    </row>
    <row r="36" spans="1:37" ht="24" customHeight="1">
      <c r="A36" s="414" t="s">
        <v>790</v>
      </c>
      <c r="B36" s="412" t="s">
        <v>2930</v>
      </c>
      <c r="C36" s="414">
        <f>AE59</f>
        <v>10.55</v>
      </c>
      <c r="F36" s="414">
        <v>1</v>
      </c>
      <c r="G36" s="414" t="s">
        <v>702</v>
      </c>
      <c r="H36" s="412" t="s">
        <v>703</v>
      </c>
      <c r="I36" s="414" t="e">
        <f>AC16</f>
        <v>#REF!</v>
      </c>
      <c r="J36" s="412" t="s">
        <v>702</v>
      </c>
      <c r="K36" s="414" t="e">
        <f>(F36*I36)</f>
        <v>#REF!</v>
      </c>
      <c r="T36" s="413" t="s">
        <v>183</v>
      </c>
      <c r="U36" s="412" t="s">
        <v>314</v>
      </c>
      <c r="V36" s="412" t="s">
        <v>699</v>
      </c>
      <c r="W36" s="413" t="str">
        <f>W12</f>
        <v>Valavanthankottai</v>
      </c>
      <c r="X36" s="423" t="e">
        <f>X11</f>
        <v>#REF!</v>
      </c>
      <c r="Y36" s="423">
        <f>ROUND((1114+1051)/2,2)</f>
        <v>1082.5</v>
      </c>
      <c r="Z36" s="423" t="e">
        <f>Z11</f>
        <v>#REF!</v>
      </c>
      <c r="AA36" s="423"/>
      <c r="AB36" s="423">
        <v>0</v>
      </c>
      <c r="AC36" s="423" t="e">
        <f t="shared" si="1"/>
        <v>#REF!</v>
      </c>
      <c r="AD36" s="412" t="s">
        <v>2931</v>
      </c>
      <c r="AE36" s="414">
        <f t="shared" si="2"/>
        <v>166.9</v>
      </c>
      <c r="AF36" s="414">
        <v>166.9</v>
      </c>
      <c r="AG36" s="414">
        <f t="shared" si="3"/>
        <v>183.59</v>
      </c>
      <c r="AH36" s="414">
        <f t="shared" si="4"/>
        <v>200.28</v>
      </c>
      <c r="AI36" s="414">
        <f t="shared" si="5"/>
        <v>250.35</v>
      </c>
      <c r="AJ36" s="414">
        <f t="shared" si="6"/>
        <v>175.25</v>
      </c>
      <c r="AK36" s="414">
        <f t="shared" si="7"/>
        <v>208.63</v>
      </c>
    </row>
    <row r="37" spans="1:37" ht="24" customHeight="1">
      <c r="B37" s="412" t="s">
        <v>2932</v>
      </c>
      <c r="C37" s="414">
        <f>AE60</f>
        <v>55.35</v>
      </c>
      <c r="F37" s="414">
        <v>1</v>
      </c>
      <c r="G37" s="414" t="s">
        <v>702</v>
      </c>
      <c r="H37" s="412" t="s">
        <v>707</v>
      </c>
      <c r="I37" s="414">
        <f>C18</f>
        <v>116</v>
      </c>
      <c r="J37" s="412" t="s">
        <v>702</v>
      </c>
      <c r="K37" s="414">
        <f>(F37*I37)</f>
        <v>116</v>
      </c>
      <c r="T37" s="413" t="s">
        <v>1366</v>
      </c>
      <c r="U37" s="412" t="s">
        <v>330</v>
      </c>
      <c r="V37" s="412" t="s">
        <v>699</v>
      </c>
      <c r="W37" s="413" t="str">
        <f>W13</f>
        <v>Valavanthankottai</v>
      </c>
      <c r="X37" s="423" t="e">
        <f>X36</f>
        <v>#REF!</v>
      </c>
      <c r="Y37" s="423">
        <f>ROUND((665.8+812+1092+1092)/4,2)</f>
        <v>915.45</v>
      </c>
      <c r="Z37" s="423" t="e">
        <f>Z11</f>
        <v>#REF!</v>
      </c>
      <c r="AA37" s="423"/>
      <c r="AB37" s="423">
        <v>0</v>
      </c>
      <c r="AC37" s="423" t="e">
        <f>SUM(Y37+Z37+AA37+AB37)</f>
        <v>#REF!</v>
      </c>
      <c r="AD37" s="412" t="s">
        <v>3338</v>
      </c>
      <c r="AE37" s="414">
        <f t="shared" si="2"/>
        <v>839</v>
      </c>
      <c r="AF37" s="414">
        <v>839</v>
      </c>
      <c r="AG37" s="414">
        <f t="shared" si="3"/>
        <v>922.9</v>
      </c>
      <c r="AH37" s="414">
        <f t="shared" si="4"/>
        <v>1006.8</v>
      </c>
      <c r="AI37" s="414">
        <f t="shared" si="5"/>
        <v>1258.5</v>
      </c>
      <c r="AJ37" s="414">
        <f t="shared" si="6"/>
        <v>880.95</v>
      </c>
      <c r="AK37" s="414">
        <f t="shared" si="7"/>
        <v>1048.75</v>
      </c>
    </row>
    <row r="38" spans="1:37" ht="24" customHeight="1">
      <c r="A38" s="424">
        <f>(A35+1)</f>
        <v>27</v>
      </c>
      <c r="B38" s="412" t="s">
        <v>1367</v>
      </c>
      <c r="C38" s="414">
        <v>40</v>
      </c>
      <c r="D38" s="412" t="s">
        <v>701</v>
      </c>
      <c r="G38" s="414" t="s">
        <v>358</v>
      </c>
      <c r="H38" s="412" t="s">
        <v>359</v>
      </c>
      <c r="I38" s="412" t="s">
        <v>790</v>
      </c>
      <c r="J38" s="412" t="s">
        <v>358</v>
      </c>
      <c r="K38" s="414">
        <v>0</v>
      </c>
      <c r="T38" s="413" t="s">
        <v>166</v>
      </c>
      <c r="U38" s="412" t="s">
        <v>3116</v>
      </c>
      <c r="V38" s="412" t="s">
        <v>699</v>
      </c>
      <c r="W38" s="413" t="s">
        <v>4272</v>
      </c>
      <c r="X38" s="423" t="e">
        <f>#REF!</f>
        <v>#REF!</v>
      </c>
      <c r="Y38" s="423">
        <v>222.7</v>
      </c>
      <c r="Z38" s="423" t="e">
        <f>#REF!</f>
        <v>#REF!</v>
      </c>
      <c r="AA38" s="423"/>
      <c r="AB38" s="423">
        <v>0</v>
      </c>
      <c r="AC38" s="423" t="e">
        <f>SUM(Y38+Z38+AA38+AB38)</f>
        <v>#REF!</v>
      </c>
      <c r="AD38" s="412" t="s">
        <v>3339</v>
      </c>
      <c r="AE38" s="414">
        <f t="shared" si="2"/>
        <v>866</v>
      </c>
      <c r="AF38" s="414">
        <v>866</v>
      </c>
      <c r="AG38" s="414">
        <f t="shared" si="3"/>
        <v>952.6</v>
      </c>
      <c r="AH38" s="414">
        <f t="shared" si="4"/>
        <v>1039.2</v>
      </c>
      <c r="AI38" s="414">
        <f t="shared" si="5"/>
        <v>1299</v>
      </c>
      <c r="AJ38" s="414">
        <f t="shared" si="6"/>
        <v>909.3</v>
      </c>
      <c r="AK38" s="414">
        <f t="shared" si="7"/>
        <v>1082.5</v>
      </c>
    </row>
    <row r="39" spans="1:37" ht="24" customHeight="1">
      <c r="A39" s="424">
        <f t="shared" ref="A39:A58" si="10">(A38+1)</f>
        <v>28</v>
      </c>
      <c r="B39" s="412" t="s">
        <v>168</v>
      </c>
      <c r="C39" s="414">
        <v>41</v>
      </c>
      <c r="D39" s="414">
        <v>500</v>
      </c>
      <c r="K39" s="418" t="s">
        <v>1288</v>
      </c>
      <c r="T39" s="425">
        <v>31</v>
      </c>
      <c r="U39" s="412" t="s">
        <v>3117</v>
      </c>
      <c r="V39" s="412" t="s">
        <v>699</v>
      </c>
      <c r="W39" s="413" t="str">
        <f>W38</f>
        <v>Vallam</v>
      </c>
      <c r="X39" s="423" t="e">
        <f>#REF!</f>
        <v>#REF!</v>
      </c>
      <c r="Y39" s="423">
        <v>166.5</v>
      </c>
      <c r="Z39" s="423" t="e">
        <f>#REF!</f>
        <v>#REF!</v>
      </c>
      <c r="AA39" s="423"/>
      <c r="AB39" s="423">
        <v>0</v>
      </c>
      <c r="AC39" s="423" t="e">
        <f>SUM(Y39+Z39+AA39+AB39)</f>
        <v>#REF!</v>
      </c>
      <c r="AD39" s="412" t="s">
        <v>3340</v>
      </c>
      <c r="AE39" s="414">
        <f t="shared" si="2"/>
        <v>74.849999999999994</v>
      </c>
      <c r="AF39" s="414">
        <v>74.849999999999994</v>
      </c>
      <c r="AG39" s="414">
        <f t="shared" si="3"/>
        <v>82.34</v>
      </c>
      <c r="AH39" s="414">
        <f t="shared" si="4"/>
        <v>89.82</v>
      </c>
      <c r="AI39" s="414">
        <f t="shared" si="5"/>
        <v>112.28</v>
      </c>
      <c r="AJ39" s="414">
        <f t="shared" si="6"/>
        <v>78.59</v>
      </c>
      <c r="AK39" s="414">
        <f t="shared" si="7"/>
        <v>93.56</v>
      </c>
    </row>
    <row r="40" spans="1:37" ht="24" customHeight="1">
      <c r="A40" s="424">
        <f t="shared" si="10"/>
        <v>29</v>
      </c>
      <c r="B40" s="412" t="s">
        <v>821</v>
      </c>
      <c r="C40" s="414">
        <v>28</v>
      </c>
      <c r="D40" s="414">
        <v>116.2</v>
      </c>
      <c r="H40" s="412" t="s">
        <v>1233</v>
      </c>
      <c r="K40" s="417" t="e">
        <f>SUM(K35:K38)</f>
        <v>#REF!</v>
      </c>
      <c r="T40" s="418"/>
      <c r="W40" s="413" t="s">
        <v>1288</v>
      </c>
      <c r="X40" s="423"/>
      <c r="Y40" s="423"/>
      <c r="Z40" s="423"/>
      <c r="AA40" s="423"/>
      <c r="AB40" s="423"/>
      <c r="AC40" s="423"/>
      <c r="AE40" s="414">
        <f t="shared" si="2"/>
        <v>0</v>
      </c>
      <c r="AG40" s="414">
        <f t="shared" si="3"/>
        <v>0</v>
      </c>
      <c r="AH40" s="414">
        <f t="shared" si="4"/>
        <v>0</v>
      </c>
      <c r="AI40" s="414">
        <f t="shared" si="5"/>
        <v>0</v>
      </c>
      <c r="AJ40" s="414">
        <f t="shared" si="6"/>
        <v>0</v>
      </c>
      <c r="AK40" s="414">
        <f t="shared" si="7"/>
        <v>0</v>
      </c>
    </row>
    <row r="41" spans="1:37" ht="24" customHeight="1">
      <c r="A41" s="424">
        <f t="shared" si="10"/>
        <v>30</v>
      </c>
      <c r="B41" s="412" t="s">
        <v>1441</v>
      </c>
      <c r="C41" s="414">
        <f>AE22</f>
        <v>738</v>
      </c>
      <c r="D41" s="412" t="s">
        <v>619</v>
      </c>
      <c r="K41" s="418" t="s">
        <v>1288</v>
      </c>
      <c r="U41" s="412" t="s">
        <v>3118</v>
      </c>
      <c r="V41" s="412" t="s">
        <v>1176</v>
      </c>
      <c r="W41" s="413"/>
      <c r="X41" s="423" t="e">
        <f>#REF!</f>
        <v>#REF!</v>
      </c>
      <c r="Y41" s="423">
        <v>6595</v>
      </c>
      <c r="Z41" s="423" t="e">
        <f>#REF!</f>
        <v>#REF!</v>
      </c>
      <c r="AA41" s="423">
        <v>0</v>
      </c>
      <c r="AB41" s="423">
        <v>0</v>
      </c>
      <c r="AC41" s="423" t="e">
        <f t="shared" ref="AC41:AC47" si="11">SUM(Y41+Z41+AA41+AB41)</f>
        <v>#REF!</v>
      </c>
      <c r="AD41" s="426" t="s">
        <v>2933</v>
      </c>
      <c r="AE41" s="414">
        <f t="shared" si="2"/>
        <v>78.900000000000006</v>
      </c>
      <c r="AF41" s="414">
        <v>78.900000000000006</v>
      </c>
      <c r="AG41" s="414">
        <f t="shared" si="3"/>
        <v>86.79</v>
      </c>
      <c r="AH41" s="414">
        <f t="shared" si="4"/>
        <v>94.68</v>
      </c>
      <c r="AI41" s="414">
        <f t="shared" si="5"/>
        <v>118.35</v>
      </c>
      <c r="AJ41" s="414">
        <f t="shared" si="6"/>
        <v>82.85</v>
      </c>
      <c r="AK41" s="414">
        <f t="shared" si="7"/>
        <v>98.63</v>
      </c>
    </row>
    <row r="42" spans="1:37" ht="24" customHeight="1">
      <c r="A42" s="424">
        <f t="shared" si="10"/>
        <v>31</v>
      </c>
      <c r="B42" s="412" t="s">
        <v>1442</v>
      </c>
      <c r="C42" s="414">
        <v>5</v>
      </c>
      <c r="D42" s="412" t="s">
        <v>1443</v>
      </c>
      <c r="G42" s="414" t="s">
        <v>1833</v>
      </c>
      <c r="H42" s="412" t="s">
        <v>1325</v>
      </c>
      <c r="U42" s="412" t="s">
        <v>3119</v>
      </c>
      <c r="V42" s="412" t="s">
        <v>1176</v>
      </c>
      <c r="W42" s="413">
        <f>W41</f>
        <v>0</v>
      </c>
      <c r="X42" s="423" t="e">
        <f>X41</f>
        <v>#REF!</v>
      </c>
      <c r="Y42" s="423">
        <v>6795</v>
      </c>
      <c r="Z42" s="423" t="e">
        <f>Z41</f>
        <v>#REF!</v>
      </c>
      <c r="AA42" s="423">
        <v>0</v>
      </c>
      <c r="AB42" s="423">
        <v>0</v>
      </c>
      <c r="AC42" s="423" t="e">
        <f t="shared" si="11"/>
        <v>#REF!</v>
      </c>
      <c r="AD42" s="426" t="s">
        <v>295</v>
      </c>
      <c r="AE42" s="414">
        <f t="shared" si="2"/>
        <v>159.19999999999999</v>
      </c>
      <c r="AF42" s="414">
        <v>159.19999999999999</v>
      </c>
      <c r="AG42" s="414">
        <f t="shared" si="3"/>
        <v>175.12</v>
      </c>
      <c r="AH42" s="414">
        <f t="shared" si="4"/>
        <v>191.04</v>
      </c>
      <c r="AI42" s="414">
        <f t="shared" si="5"/>
        <v>238.8</v>
      </c>
      <c r="AJ42" s="414">
        <f t="shared" si="6"/>
        <v>167.16</v>
      </c>
      <c r="AK42" s="414">
        <f t="shared" si="7"/>
        <v>199</v>
      </c>
    </row>
    <row r="43" spans="1:37" ht="24" customHeight="1">
      <c r="A43" s="424">
        <f t="shared" si="10"/>
        <v>32</v>
      </c>
      <c r="B43" s="412" t="s">
        <v>2934</v>
      </c>
      <c r="C43" s="414">
        <v>9.35</v>
      </c>
      <c r="D43" s="412" t="s">
        <v>619</v>
      </c>
      <c r="H43" s="418" t="s">
        <v>1288</v>
      </c>
      <c r="U43" s="412" t="s">
        <v>3243</v>
      </c>
      <c r="V43" s="412" t="s">
        <v>1749</v>
      </c>
      <c r="W43" s="413" t="str">
        <f>W11</f>
        <v>Valavanthankottai</v>
      </c>
      <c r="X43" s="423" t="e">
        <f>#REF!</f>
        <v>#REF!</v>
      </c>
      <c r="Y43" s="423">
        <v>123.7</v>
      </c>
      <c r="Z43" s="423" t="e">
        <f>#REF!</f>
        <v>#REF!</v>
      </c>
      <c r="AA43" s="423">
        <v>0</v>
      </c>
      <c r="AB43" s="423">
        <v>0</v>
      </c>
      <c r="AC43" s="423" t="e">
        <f t="shared" si="11"/>
        <v>#REF!</v>
      </c>
      <c r="AD43" s="426" t="s">
        <v>1844</v>
      </c>
      <c r="AE43" s="414">
        <f t="shared" si="2"/>
        <v>159.19999999999999</v>
      </c>
      <c r="AF43" s="414">
        <f>AF42</f>
        <v>159.19999999999999</v>
      </c>
      <c r="AG43" s="414">
        <f t="shared" si="3"/>
        <v>175.12</v>
      </c>
      <c r="AH43" s="414">
        <f t="shared" si="4"/>
        <v>191.04</v>
      </c>
      <c r="AI43" s="414">
        <f t="shared" si="5"/>
        <v>238.8</v>
      </c>
      <c r="AJ43" s="414">
        <f t="shared" si="6"/>
        <v>167.16</v>
      </c>
      <c r="AK43" s="414">
        <f t="shared" si="7"/>
        <v>199</v>
      </c>
    </row>
    <row r="44" spans="1:37" ht="24" customHeight="1">
      <c r="A44" s="424">
        <f t="shared" si="10"/>
        <v>33</v>
      </c>
      <c r="B44" s="412" t="s">
        <v>204</v>
      </c>
      <c r="C44" s="414">
        <v>9.35</v>
      </c>
      <c r="D44" s="412" t="s">
        <v>619</v>
      </c>
      <c r="F44" s="416">
        <v>0.28799999999999998</v>
      </c>
      <c r="G44" s="414" t="s">
        <v>694</v>
      </c>
      <c r="H44" s="412" t="s">
        <v>695</v>
      </c>
      <c r="I44" s="414" t="e">
        <f>(C67)</f>
        <v>#REF!</v>
      </c>
      <c r="J44" s="412" t="s">
        <v>694</v>
      </c>
      <c r="K44" s="414" t="e">
        <f>(F44*I44)</f>
        <v>#REF!</v>
      </c>
      <c r="U44" s="412" t="s">
        <v>2823</v>
      </c>
      <c r="V44" s="412" t="s">
        <v>1749</v>
      </c>
      <c r="W44" s="413" t="str">
        <f>W43</f>
        <v>Valavanthankottai</v>
      </c>
      <c r="X44" s="423" t="e">
        <f>X11</f>
        <v>#REF!</v>
      </c>
      <c r="Y44" s="423">
        <f>ROUND((687+1016)/2,2)</f>
        <v>851.5</v>
      </c>
      <c r="Z44" s="423" t="e">
        <f>Z11</f>
        <v>#REF!</v>
      </c>
      <c r="AA44" s="423">
        <v>0</v>
      </c>
      <c r="AB44" s="423">
        <v>0</v>
      </c>
      <c r="AC44" s="423" t="e">
        <f t="shared" si="11"/>
        <v>#REF!</v>
      </c>
      <c r="AD44" s="426" t="s">
        <v>2935</v>
      </c>
      <c r="AE44" s="414">
        <f t="shared" si="2"/>
        <v>119.85</v>
      </c>
      <c r="AF44" s="414">
        <v>119.85</v>
      </c>
      <c r="AG44" s="414">
        <f t="shared" si="3"/>
        <v>131.84</v>
      </c>
      <c r="AH44" s="414">
        <f t="shared" si="4"/>
        <v>143.82</v>
      </c>
      <c r="AI44" s="414">
        <f t="shared" si="5"/>
        <v>179.78</v>
      </c>
      <c r="AJ44" s="414">
        <f t="shared" si="6"/>
        <v>125.84</v>
      </c>
      <c r="AK44" s="414">
        <f t="shared" si="7"/>
        <v>149.81</v>
      </c>
    </row>
    <row r="45" spans="1:37" ht="24" customHeight="1">
      <c r="A45" s="424">
        <f t="shared" si="10"/>
        <v>34</v>
      </c>
      <c r="B45" s="412" t="s">
        <v>1557</v>
      </c>
      <c r="C45" s="414">
        <v>11.2</v>
      </c>
      <c r="D45" s="412" t="s">
        <v>619</v>
      </c>
      <c r="F45" s="414">
        <v>1</v>
      </c>
      <c r="G45" s="414" t="s">
        <v>702</v>
      </c>
      <c r="H45" s="412" t="s">
        <v>703</v>
      </c>
      <c r="I45" s="414" t="e">
        <f>I36</f>
        <v>#REF!</v>
      </c>
      <c r="J45" s="412" t="s">
        <v>702</v>
      </c>
      <c r="K45" s="414" t="e">
        <f>(F45*I45)</f>
        <v>#REF!</v>
      </c>
      <c r="U45" s="412" t="s">
        <v>3244</v>
      </c>
      <c r="W45" s="413">
        <f>W41</f>
        <v>0</v>
      </c>
      <c r="X45" s="423" t="e">
        <f>#REF!</f>
        <v>#REF!</v>
      </c>
      <c r="Y45" s="423">
        <v>6595</v>
      </c>
      <c r="Z45" s="423" t="e">
        <f>Z41</f>
        <v>#REF!</v>
      </c>
      <c r="AA45" s="423"/>
      <c r="AB45" s="423"/>
      <c r="AC45" s="423" t="e">
        <f t="shared" si="11"/>
        <v>#REF!</v>
      </c>
      <c r="AD45" s="426" t="s">
        <v>224</v>
      </c>
      <c r="AE45" s="414">
        <f t="shared" si="2"/>
        <v>236.1</v>
      </c>
      <c r="AF45" s="414">
        <v>236.1</v>
      </c>
      <c r="AG45" s="414">
        <f t="shared" si="3"/>
        <v>259.70999999999998</v>
      </c>
      <c r="AH45" s="414">
        <f t="shared" si="4"/>
        <v>283.32</v>
      </c>
      <c r="AI45" s="414">
        <f t="shared" si="5"/>
        <v>354.15</v>
      </c>
      <c r="AJ45" s="414">
        <f t="shared" si="6"/>
        <v>247.91</v>
      </c>
      <c r="AK45" s="414">
        <f t="shared" si="7"/>
        <v>295.13</v>
      </c>
    </row>
    <row r="46" spans="1:37" ht="24" customHeight="1">
      <c r="A46" s="424">
        <f t="shared" si="10"/>
        <v>35</v>
      </c>
      <c r="B46" s="412" t="s">
        <v>57</v>
      </c>
      <c r="C46" s="414">
        <v>13.55</v>
      </c>
      <c r="D46" s="412" t="s">
        <v>619</v>
      </c>
      <c r="F46" s="414">
        <v>1</v>
      </c>
      <c r="G46" s="414" t="s">
        <v>702</v>
      </c>
      <c r="H46" s="412" t="s">
        <v>707</v>
      </c>
      <c r="I46" s="414">
        <f>(C18)</f>
        <v>116</v>
      </c>
      <c r="J46" s="412" t="s">
        <v>702</v>
      </c>
      <c r="K46" s="414">
        <f>(F46*I46)</f>
        <v>116</v>
      </c>
      <c r="U46" s="412" t="s">
        <v>2815</v>
      </c>
      <c r="V46" s="412" t="s">
        <v>699</v>
      </c>
      <c r="W46" s="413" t="str">
        <f>W17</f>
        <v>Neikulam (Lalgudi)</v>
      </c>
      <c r="X46" s="423" t="e">
        <f>#REF!</f>
        <v>#REF!</v>
      </c>
      <c r="Y46" s="419">
        <v>1338</v>
      </c>
      <c r="Z46" s="423" t="e">
        <f>#REF!</f>
        <v>#REF!</v>
      </c>
      <c r="AA46" s="423"/>
      <c r="AB46" s="423">
        <v>0</v>
      </c>
      <c r="AC46" s="423" t="e">
        <f t="shared" si="11"/>
        <v>#REF!</v>
      </c>
      <c r="AD46" s="426" t="s">
        <v>673</v>
      </c>
      <c r="AE46" s="414">
        <f t="shared" si="2"/>
        <v>236.1</v>
      </c>
      <c r="AF46" s="414">
        <f>AF45</f>
        <v>236.1</v>
      </c>
      <c r="AG46" s="414">
        <f t="shared" si="3"/>
        <v>259.70999999999998</v>
      </c>
      <c r="AH46" s="414">
        <f t="shared" si="4"/>
        <v>283.32</v>
      </c>
      <c r="AI46" s="414">
        <f t="shared" si="5"/>
        <v>354.15</v>
      </c>
      <c r="AJ46" s="414">
        <f t="shared" si="6"/>
        <v>247.91</v>
      </c>
      <c r="AK46" s="414">
        <f t="shared" si="7"/>
        <v>295.13</v>
      </c>
    </row>
    <row r="47" spans="1:37" ht="24" customHeight="1">
      <c r="A47" s="424">
        <f t="shared" si="10"/>
        <v>36</v>
      </c>
      <c r="B47" s="412" t="s">
        <v>58</v>
      </c>
      <c r="C47" s="414">
        <v>18.3</v>
      </c>
      <c r="D47" s="412" t="s">
        <v>619</v>
      </c>
      <c r="G47" s="414" t="s">
        <v>358</v>
      </c>
      <c r="H47" s="412" t="s">
        <v>359</v>
      </c>
      <c r="I47" s="412" t="s">
        <v>790</v>
      </c>
      <c r="J47" s="412" t="s">
        <v>358</v>
      </c>
      <c r="K47" s="414">
        <v>0</v>
      </c>
      <c r="N47" s="412" t="s">
        <v>1833</v>
      </c>
      <c r="O47" s="412" t="s">
        <v>1021</v>
      </c>
      <c r="U47" s="412" t="s">
        <v>2639</v>
      </c>
      <c r="V47" s="412" t="s">
        <v>699</v>
      </c>
      <c r="W47" s="413" t="str">
        <f>W46</f>
        <v>Neikulam (Lalgudi)</v>
      </c>
      <c r="X47" s="423" t="e">
        <f>X46</f>
        <v>#REF!</v>
      </c>
      <c r="Y47" s="419">
        <f>Y46</f>
        <v>1338</v>
      </c>
      <c r="Z47" s="423" t="e">
        <f>Z46</f>
        <v>#REF!</v>
      </c>
      <c r="AA47" s="423"/>
      <c r="AB47" s="423">
        <v>0</v>
      </c>
      <c r="AC47" s="423" t="e">
        <f t="shared" si="11"/>
        <v>#REF!</v>
      </c>
      <c r="AD47" s="412"/>
      <c r="AE47" s="414">
        <f t="shared" si="2"/>
        <v>0</v>
      </c>
      <c r="AG47" s="414">
        <f t="shared" si="3"/>
        <v>0</v>
      </c>
      <c r="AH47" s="414">
        <f t="shared" si="4"/>
        <v>0</v>
      </c>
      <c r="AI47" s="414">
        <f t="shared" si="5"/>
        <v>0</v>
      </c>
      <c r="AJ47" s="414">
        <f t="shared" si="6"/>
        <v>0</v>
      </c>
      <c r="AK47" s="414">
        <f t="shared" si="7"/>
        <v>0</v>
      </c>
    </row>
    <row r="48" spans="1:37" ht="24" customHeight="1">
      <c r="A48" s="424">
        <f t="shared" si="10"/>
        <v>37</v>
      </c>
      <c r="B48" s="412" t="s">
        <v>1022</v>
      </c>
      <c r="C48" s="414">
        <v>23.5</v>
      </c>
      <c r="D48" s="414">
        <v>47.35</v>
      </c>
      <c r="K48" s="418" t="s">
        <v>1288</v>
      </c>
      <c r="O48" s="412" t="s">
        <v>514</v>
      </c>
      <c r="T48" s="418" t="s">
        <v>1288</v>
      </c>
      <c r="U48" s="418" t="s">
        <v>1288</v>
      </c>
      <c r="V48" s="418" t="s">
        <v>1288</v>
      </c>
      <c r="W48" s="418" t="s">
        <v>1288</v>
      </c>
      <c r="X48" s="418" t="s">
        <v>1288</v>
      </c>
      <c r="Y48" s="418" t="s">
        <v>1288</v>
      </c>
      <c r="Z48" s="418" t="s">
        <v>1288</v>
      </c>
      <c r="AA48" s="418" t="s">
        <v>1288</v>
      </c>
      <c r="AB48" s="418" t="s">
        <v>1288</v>
      </c>
      <c r="AC48" s="418" t="s">
        <v>1288</v>
      </c>
      <c r="AD48" s="418" t="s">
        <v>1288</v>
      </c>
      <c r="AE48" s="414" t="str">
        <f t="shared" si="2"/>
        <v>-</v>
      </c>
      <c r="AF48" s="418" t="s">
        <v>1288</v>
      </c>
      <c r="AG48" s="414">
        <f t="shared" si="3"/>
        <v>0</v>
      </c>
      <c r="AH48" s="414">
        <f t="shared" si="4"/>
        <v>0</v>
      </c>
      <c r="AI48" s="414">
        <f t="shared" si="5"/>
        <v>0</v>
      </c>
      <c r="AJ48" s="414">
        <f t="shared" si="6"/>
        <v>0</v>
      </c>
      <c r="AK48" s="414">
        <f t="shared" si="7"/>
        <v>0</v>
      </c>
    </row>
    <row r="49" spans="1:45" ht="24" customHeight="1">
      <c r="A49" s="424">
        <f t="shared" si="10"/>
        <v>38</v>
      </c>
      <c r="B49" s="412" t="s">
        <v>1387</v>
      </c>
      <c r="C49" s="414">
        <v>25.5</v>
      </c>
      <c r="D49" s="414">
        <v>33.200000000000003</v>
      </c>
      <c r="H49" s="412" t="s">
        <v>1233</v>
      </c>
      <c r="K49" s="417" t="e">
        <f>SUM(K44:K47)</f>
        <v>#REF!</v>
      </c>
      <c r="O49" s="418" t="s">
        <v>1288</v>
      </c>
      <c r="W49" s="413"/>
      <c r="Z49" s="423"/>
      <c r="AD49" s="426" t="s">
        <v>2936</v>
      </c>
      <c r="AE49" s="414">
        <f t="shared" si="2"/>
        <v>4.2</v>
      </c>
      <c r="AF49" s="414">
        <v>4.2</v>
      </c>
      <c r="AG49" s="414">
        <f t="shared" si="3"/>
        <v>4.62</v>
      </c>
      <c r="AH49" s="414">
        <f t="shared" si="4"/>
        <v>5.04</v>
      </c>
      <c r="AI49" s="414">
        <f t="shared" si="5"/>
        <v>6.3</v>
      </c>
      <c r="AJ49" s="414">
        <f t="shared" si="6"/>
        <v>4.41</v>
      </c>
      <c r="AK49" s="414">
        <f t="shared" si="7"/>
        <v>5.25</v>
      </c>
    </row>
    <row r="50" spans="1:45" ht="24" customHeight="1">
      <c r="A50" s="424">
        <f t="shared" si="10"/>
        <v>39</v>
      </c>
      <c r="B50" s="412" t="s">
        <v>2435</v>
      </c>
      <c r="C50" s="414">
        <v>13.35</v>
      </c>
      <c r="D50" s="412" t="s">
        <v>619</v>
      </c>
      <c r="K50" s="418" t="s">
        <v>1288</v>
      </c>
      <c r="M50" s="414">
        <v>9</v>
      </c>
      <c r="N50" s="412" t="s">
        <v>702</v>
      </c>
      <c r="O50" s="412" t="s">
        <v>514</v>
      </c>
      <c r="P50" s="414" t="e">
        <f>(C81)</f>
        <v>#REF!</v>
      </c>
      <c r="Q50" s="412" t="s">
        <v>702</v>
      </c>
      <c r="R50" s="414" t="e">
        <f>(M50*P50)</f>
        <v>#REF!</v>
      </c>
      <c r="U50" s="414" t="s">
        <v>3342</v>
      </c>
      <c r="W50" s="413"/>
      <c r="Z50" s="423"/>
      <c r="AD50" s="426" t="s">
        <v>3120</v>
      </c>
      <c r="AE50" s="414">
        <f t="shared" si="2"/>
        <v>5.25</v>
      </c>
      <c r="AF50" s="414">
        <v>5.25</v>
      </c>
      <c r="AG50" s="414">
        <f t="shared" si="3"/>
        <v>5.78</v>
      </c>
      <c r="AH50" s="414">
        <f t="shared" si="4"/>
        <v>6.3</v>
      </c>
      <c r="AI50" s="414">
        <f t="shared" si="5"/>
        <v>7.88</v>
      </c>
      <c r="AJ50" s="414">
        <f t="shared" si="6"/>
        <v>5.51</v>
      </c>
      <c r="AK50" s="414">
        <f t="shared" si="7"/>
        <v>6.56</v>
      </c>
    </row>
    <row r="51" spans="1:45" ht="24" customHeight="1">
      <c r="A51" s="424">
        <f t="shared" si="10"/>
        <v>40</v>
      </c>
      <c r="B51" s="412" t="s">
        <v>1328</v>
      </c>
      <c r="C51" s="414">
        <v>13.5</v>
      </c>
      <c r="D51" s="412" t="s">
        <v>619</v>
      </c>
      <c r="G51" s="414" t="s">
        <v>1833</v>
      </c>
      <c r="H51" s="412" t="s">
        <v>1329</v>
      </c>
      <c r="M51" s="414">
        <v>4.5</v>
      </c>
      <c r="N51" s="412" t="s">
        <v>702</v>
      </c>
      <c r="O51" s="412" t="s">
        <v>1330</v>
      </c>
      <c r="P51" s="414" t="e">
        <f>(K77)</f>
        <v>#REF!</v>
      </c>
      <c r="Q51" s="412" t="s">
        <v>702</v>
      </c>
      <c r="R51" s="414" t="e">
        <f>(M51*P51)</f>
        <v>#REF!</v>
      </c>
      <c r="U51" s="414" t="s">
        <v>3462</v>
      </c>
      <c r="W51" s="413"/>
      <c r="Z51" s="423"/>
      <c r="AD51" s="426" t="s">
        <v>2937</v>
      </c>
      <c r="AE51" s="414">
        <f t="shared" si="2"/>
        <v>0</v>
      </c>
      <c r="AG51" s="414">
        <f t="shared" si="3"/>
        <v>0</v>
      </c>
      <c r="AH51" s="414">
        <f t="shared" si="4"/>
        <v>0</v>
      </c>
      <c r="AI51" s="414">
        <f t="shared" si="5"/>
        <v>0</v>
      </c>
      <c r="AJ51" s="414">
        <f t="shared" si="6"/>
        <v>0</v>
      </c>
      <c r="AK51" s="414">
        <f t="shared" si="7"/>
        <v>0</v>
      </c>
    </row>
    <row r="52" spans="1:45" ht="24" customHeight="1">
      <c r="A52" s="424">
        <f t="shared" si="10"/>
        <v>41</v>
      </c>
      <c r="B52" s="412" t="s">
        <v>1391</v>
      </c>
      <c r="C52" s="414">
        <v>28.05</v>
      </c>
      <c r="D52" s="412" t="s">
        <v>619</v>
      </c>
      <c r="H52" s="418" t="s">
        <v>1288</v>
      </c>
      <c r="M52" s="414">
        <v>1.8</v>
      </c>
      <c r="N52" s="412" t="s">
        <v>701</v>
      </c>
      <c r="O52" s="412" t="s">
        <v>1392</v>
      </c>
      <c r="P52" s="414">
        <f>(C11)</f>
        <v>932</v>
      </c>
      <c r="Q52" s="412" t="s">
        <v>701</v>
      </c>
      <c r="R52" s="414">
        <f>(M52*P52)</f>
        <v>1677.6</v>
      </c>
      <c r="W52" s="413"/>
      <c r="Z52" s="423"/>
      <c r="AD52" s="426" t="s">
        <v>3121</v>
      </c>
      <c r="AE52" s="414">
        <f t="shared" si="2"/>
        <v>214.1</v>
      </c>
      <c r="AF52" s="414">
        <v>214.1</v>
      </c>
      <c r="AG52" s="414">
        <f t="shared" si="3"/>
        <v>235.51</v>
      </c>
      <c r="AH52" s="414">
        <f t="shared" si="4"/>
        <v>256.92</v>
      </c>
      <c r="AI52" s="414">
        <f t="shared" si="5"/>
        <v>321.14999999999998</v>
      </c>
      <c r="AJ52" s="414">
        <f t="shared" si="6"/>
        <v>224.81</v>
      </c>
      <c r="AK52" s="414">
        <f t="shared" si="7"/>
        <v>267.63</v>
      </c>
    </row>
    <row r="53" spans="1:45" ht="24" customHeight="1">
      <c r="A53" s="424">
        <f t="shared" si="10"/>
        <v>42</v>
      </c>
      <c r="B53" s="412" t="s">
        <v>1549</v>
      </c>
      <c r="C53" s="414">
        <v>37.85</v>
      </c>
      <c r="D53" s="414">
        <v>95.55</v>
      </c>
      <c r="F53" s="414">
        <v>0.24</v>
      </c>
      <c r="G53" s="414" t="s">
        <v>694</v>
      </c>
      <c r="H53" s="412" t="s">
        <v>695</v>
      </c>
      <c r="I53" s="414" t="e">
        <f>(C67)</f>
        <v>#REF!</v>
      </c>
      <c r="J53" s="412" t="s">
        <v>694</v>
      </c>
      <c r="K53" s="414" t="e">
        <f>(F53*I53)</f>
        <v>#REF!</v>
      </c>
      <c r="M53" s="414">
        <v>17.7</v>
      </c>
      <c r="N53" s="412" t="s">
        <v>701</v>
      </c>
      <c r="O53" s="412" t="s">
        <v>1550</v>
      </c>
      <c r="P53" s="414">
        <f>(C12)</f>
        <v>651</v>
      </c>
      <c r="Q53" s="412" t="s">
        <v>701</v>
      </c>
      <c r="R53" s="414">
        <f>(M53*P53)</f>
        <v>11522.7</v>
      </c>
      <c r="W53" s="413"/>
      <c r="Z53" s="423"/>
      <c r="AD53" s="426" t="s">
        <v>3122</v>
      </c>
      <c r="AE53" s="414">
        <f t="shared" si="2"/>
        <v>330.2</v>
      </c>
      <c r="AF53" s="414">
        <v>330.2</v>
      </c>
      <c r="AG53" s="414">
        <f t="shared" si="3"/>
        <v>363.22</v>
      </c>
      <c r="AH53" s="414">
        <f t="shared" si="4"/>
        <v>396.24</v>
      </c>
      <c r="AI53" s="414">
        <f t="shared" si="5"/>
        <v>495.3</v>
      </c>
      <c r="AJ53" s="414">
        <f t="shared" si="6"/>
        <v>346.71</v>
      </c>
      <c r="AK53" s="414">
        <f t="shared" si="7"/>
        <v>412.75</v>
      </c>
    </row>
    <row r="54" spans="1:45" ht="24" customHeight="1">
      <c r="A54" s="424">
        <f t="shared" si="10"/>
        <v>43</v>
      </c>
      <c r="B54" s="412" t="s">
        <v>244</v>
      </c>
      <c r="C54" s="414">
        <v>42.65</v>
      </c>
      <c r="D54" s="414">
        <v>72.150000000000006</v>
      </c>
      <c r="F54" s="414">
        <v>1</v>
      </c>
      <c r="G54" s="414" t="s">
        <v>702</v>
      </c>
      <c r="H54" s="412" t="s">
        <v>703</v>
      </c>
      <c r="I54" s="414" t="e">
        <f>(C78)</f>
        <v>#REF!</v>
      </c>
      <c r="J54" s="412" t="s">
        <v>702</v>
      </c>
      <c r="K54" s="414" t="e">
        <f>(F54*I54)</f>
        <v>#REF!</v>
      </c>
      <c r="M54" s="414">
        <v>14.1</v>
      </c>
      <c r="N54" s="412" t="s">
        <v>701</v>
      </c>
      <c r="O54" s="412" t="s">
        <v>245</v>
      </c>
      <c r="P54" s="414">
        <f>(C13)</f>
        <v>534</v>
      </c>
      <c r="Q54" s="412" t="s">
        <v>701</v>
      </c>
      <c r="R54" s="414">
        <f>(M54*P54)</f>
        <v>7529.4</v>
      </c>
      <c r="W54" s="413"/>
      <c r="Z54" s="423"/>
      <c r="AD54" s="426" t="s">
        <v>3123</v>
      </c>
      <c r="AE54" s="414">
        <f t="shared" si="2"/>
        <v>9.1</v>
      </c>
      <c r="AF54" s="414">
        <v>9.1</v>
      </c>
      <c r="AG54" s="414">
        <f t="shared" si="3"/>
        <v>10.01</v>
      </c>
      <c r="AH54" s="414">
        <f t="shared" si="4"/>
        <v>10.92</v>
      </c>
      <c r="AI54" s="414">
        <f t="shared" si="5"/>
        <v>13.65</v>
      </c>
      <c r="AJ54" s="414">
        <f t="shared" si="6"/>
        <v>9.56</v>
      </c>
      <c r="AK54" s="414">
        <f t="shared" si="7"/>
        <v>11.38</v>
      </c>
    </row>
    <row r="55" spans="1:45" ht="24" customHeight="1">
      <c r="A55" s="424">
        <f t="shared" si="10"/>
        <v>44</v>
      </c>
      <c r="B55" s="412" t="s">
        <v>247</v>
      </c>
      <c r="C55" s="414">
        <v>47.35</v>
      </c>
      <c r="D55" s="414">
        <v>57.25</v>
      </c>
      <c r="F55" s="414">
        <v>1</v>
      </c>
      <c r="G55" s="414" t="s">
        <v>702</v>
      </c>
      <c r="H55" s="412" t="s">
        <v>707</v>
      </c>
      <c r="I55" s="414">
        <f>(C18)</f>
        <v>116</v>
      </c>
      <c r="J55" s="412" t="s">
        <v>702</v>
      </c>
      <c r="K55" s="414">
        <f>(F55*I55)</f>
        <v>116</v>
      </c>
      <c r="N55" s="412" t="s">
        <v>358</v>
      </c>
      <c r="O55" s="412" t="s">
        <v>359</v>
      </c>
      <c r="Q55" s="412" t="s">
        <v>358</v>
      </c>
      <c r="R55" s="414">
        <v>0</v>
      </c>
      <c r="W55" s="413"/>
      <c r="Z55" s="423"/>
      <c r="AD55" s="426" t="s">
        <v>3124</v>
      </c>
      <c r="AE55" s="414">
        <f t="shared" si="2"/>
        <v>9.85</v>
      </c>
      <c r="AF55" s="414">
        <v>9.85</v>
      </c>
      <c r="AG55" s="414">
        <f t="shared" si="3"/>
        <v>10.84</v>
      </c>
      <c r="AH55" s="414">
        <f t="shared" si="4"/>
        <v>11.82</v>
      </c>
      <c r="AI55" s="414">
        <f t="shared" si="5"/>
        <v>14.78</v>
      </c>
      <c r="AJ55" s="414">
        <f t="shared" si="6"/>
        <v>10.34</v>
      </c>
      <c r="AK55" s="414">
        <f t="shared" si="7"/>
        <v>12.31</v>
      </c>
    </row>
    <row r="56" spans="1:45" ht="24" customHeight="1">
      <c r="A56" s="424">
        <f t="shared" si="10"/>
        <v>45</v>
      </c>
      <c r="B56" s="412" t="s">
        <v>248</v>
      </c>
      <c r="C56" s="414">
        <v>12.1</v>
      </c>
      <c r="D56" s="412" t="s">
        <v>358</v>
      </c>
      <c r="G56" s="414" t="s">
        <v>358</v>
      </c>
      <c r="H56" s="412" t="s">
        <v>359</v>
      </c>
      <c r="I56" s="412" t="s">
        <v>790</v>
      </c>
      <c r="J56" s="412" t="s">
        <v>358</v>
      </c>
      <c r="K56" s="414">
        <v>0</v>
      </c>
      <c r="R56" s="418" t="s">
        <v>1288</v>
      </c>
      <c r="W56" s="413"/>
      <c r="AD56" s="426" t="s">
        <v>3125</v>
      </c>
      <c r="AE56" s="414">
        <f t="shared" si="2"/>
        <v>10.199999999999999</v>
      </c>
      <c r="AF56" s="414">
        <v>10.199999999999999</v>
      </c>
      <c r="AG56" s="414">
        <f t="shared" si="3"/>
        <v>11.22</v>
      </c>
      <c r="AH56" s="414">
        <f t="shared" si="4"/>
        <v>12.24</v>
      </c>
      <c r="AI56" s="414">
        <f t="shared" si="5"/>
        <v>15.3</v>
      </c>
      <c r="AJ56" s="414">
        <f t="shared" si="6"/>
        <v>10.71</v>
      </c>
      <c r="AK56" s="414">
        <f t="shared" si="7"/>
        <v>12.75</v>
      </c>
    </row>
    <row r="57" spans="1:45" ht="24" customHeight="1">
      <c r="A57" s="424">
        <f t="shared" si="10"/>
        <v>46</v>
      </c>
      <c r="B57" s="412" t="s">
        <v>2938</v>
      </c>
      <c r="C57" s="414">
        <f>228.6/8</f>
        <v>28.58</v>
      </c>
      <c r="D57" s="412" t="s">
        <v>358</v>
      </c>
      <c r="K57" s="418" t="s">
        <v>1288</v>
      </c>
      <c r="O57" s="412" t="s">
        <v>492</v>
      </c>
      <c r="R57" s="414" t="e">
        <f>SUM(R50:R55)</f>
        <v>#REF!</v>
      </c>
      <c r="W57" s="413"/>
      <c r="AD57" s="426" t="s">
        <v>3245</v>
      </c>
      <c r="AE57" s="414">
        <f t="shared" si="2"/>
        <v>1547</v>
      </c>
      <c r="AF57" s="414">
        <v>1547</v>
      </c>
      <c r="AG57" s="414">
        <f t="shared" si="3"/>
        <v>1701.7</v>
      </c>
      <c r="AH57" s="414">
        <f t="shared" si="4"/>
        <v>1856.4</v>
      </c>
      <c r="AI57" s="414">
        <f t="shared" si="5"/>
        <v>2320.5</v>
      </c>
      <c r="AJ57" s="414">
        <f t="shared" si="6"/>
        <v>1624.35</v>
      </c>
      <c r="AK57" s="414">
        <f t="shared" si="7"/>
        <v>1933.75</v>
      </c>
    </row>
    <row r="58" spans="1:45" ht="24" customHeight="1">
      <c r="A58" s="424">
        <f t="shared" si="10"/>
        <v>47</v>
      </c>
      <c r="B58" s="412" t="s">
        <v>3126</v>
      </c>
      <c r="C58" s="414">
        <v>11.9</v>
      </c>
      <c r="D58" s="412" t="s">
        <v>3127</v>
      </c>
      <c r="H58" s="412" t="s">
        <v>1233</v>
      </c>
      <c r="K58" s="417" t="e">
        <f>SUM(K53:K56)</f>
        <v>#REF!</v>
      </c>
      <c r="R58" s="418" t="s">
        <v>1288</v>
      </c>
      <c r="W58" s="413"/>
      <c r="AD58" s="412" t="s">
        <v>3341</v>
      </c>
      <c r="AE58" s="414">
        <f t="shared" si="2"/>
        <v>1436</v>
      </c>
      <c r="AF58" s="414">
        <v>1436</v>
      </c>
      <c r="AG58" s="414">
        <f t="shared" si="3"/>
        <v>1579.6</v>
      </c>
      <c r="AH58" s="414">
        <f t="shared" si="4"/>
        <v>1723.2</v>
      </c>
      <c r="AI58" s="414">
        <f t="shared" si="5"/>
        <v>2154</v>
      </c>
      <c r="AJ58" s="414">
        <f t="shared" si="6"/>
        <v>1507.8</v>
      </c>
      <c r="AK58" s="414">
        <f t="shared" si="7"/>
        <v>1795</v>
      </c>
    </row>
    <row r="59" spans="1:45" ht="24" hidden="1" customHeight="1">
      <c r="F59" s="412" t="s">
        <v>790</v>
      </c>
      <c r="W59" s="413"/>
      <c r="AD59" s="412" t="s">
        <v>2930</v>
      </c>
      <c r="AE59" s="414">
        <f t="shared" si="2"/>
        <v>10.55</v>
      </c>
      <c r="AF59" s="414">
        <v>10.55</v>
      </c>
      <c r="AG59" s="414">
        <f t="shared" si="3"/>
        <v>11.61</v>
      </c>
      <c r="AH59" s="414">
        <f t="shared" si="4"/>
        <v>12.66</v>
      </c>
      <c r="AI59" s="414">
        <f t="shared" si="5"/>
        <v>15.83</v>
      </c>
      <c r="AJ59" s="414">
        <f t="shared" si="6"/>
        <v>11.08</v>
      </c>
      <c r="AK59" s="414">
        <f t="shared" si="7"/>
        <v>13.19</v>
      </c>
      <c r="AP59" s="417" t="s">
        <v>2638</v>
      </c>
    </row>
    <row r="60" spans="1:45" ht="24" customHeight="1">
      <c r="A60" s="424">
        <f>(A58+1)</f>
        <v>48</v>
      </c>
      <c r="B60" s="412" t="s">
        <v>2939</v>
      </c>
      <c r="C60" s="414">
        <v>32</v>
      </c>
      <c r="D60" s="412" t="s">
        <v>1689</v>
      </c>
      <c r="K60" s="418" t="s">
        <v>1288</v>
      </c>
      <c r="O60" s="412" t="s">
        <v>621</v>
      </c>
      <c r="R60" s="414" t="e">
        <f>(R57/10)</f>
        <v>#REF!</v>
      </c>
      <c r="W60" s="413"/>
      <c r="AD60" s="412" t="s">
        <v>2932</v>
      </c>
      <c r="AE60" s="414">
        <f t="shared" si="2"/>
        <v>55.35</v>
      </c>
      <c r="AF60" s="414">
        <v>55.35</v>
      </c>
      <c r="AG60" s="414">
        <f t="shared" si="3"/>
        <v>60.89</v>
      </c>
      <c r="AH60" s="414">
        <f t="shared" si="4"/>
        <v>66.42</v>
      </c>
      <c r="AI60" s="414">
        <f t="shared" si="5"/>
        <v>83.03</v>
      </c>
      <c r="AJ60" s="414">
        <f t="shared" si="6"/>
        <v>58.12</v>
      </c>
      <c r="AK60" s="414">
        <f t="shared" si="7"/>
        <v>69.19</v>
      </c>
      <c r="AN60" s="427">
        <v>6.5</v>
      </c>
      <c r="AO60" s="414" t="s">
        <v>1833</v>
      </c>
      <c r="AP60" s="412" t="s">
        <v>2272</v>
      </c>
      <c r="AR60" s="412"/>
    </row>
    <row r="61" spans="1:45" ht="24" customHeight="1">
      <c r="A61" s="424">
        <f t="shared" ref="A61:A91" si="12">(A60+1)</f>
        <v>49</v>
      </c>
      <c r="B61" s="412" t="s">
        <v>2940</v>
      </c>
      <c r="C61" s="414">
        <f>AE29</f>
        <v>112.05</v>
      </c>
      <c r="D61" s="414">
        <f>AE36</f>
        <v>166.9</v>
      </c>
      <c r="G61" s="414" t="s">
        <v>1833</v>
      </c>
      <c r="H61" s="412" t="s">
        <v>1690</v>
      </c>
      <c r="R61" s="418" t="s">
        <v>1676</v>
      </c>
      <c r="W61" s="413"/>
      <c r="AE61" s="414">
        <f t="shared" si="2"/>
        <v>0</v>
      </c>
      <c r="AG61" s="414">
        <f t="shared" si="3"/>
        <v>0</v>
      </c>
      <c r="AH61" s="414">
        <f t="shared" si="4"/>
        <v>0</v>
      </c>
      <c r="AI61" s="414">
        <f t="shared" si="5"/>
        <v>0</v>
      </c>
      <c r="AJ61" s="414">
        <f t="shared" si="6"/>
        <v>0</v>
      </c>
      <c r="AK61" s="414">
        <f t="shared" si="7"/>
        <v>0</v>
      </c>
      <c r="AP61" s="412" t="s">
        <v>2273</v>
      </c>
      <c r="AR61" s="412"/>
    </row>
    <row r="62" spans="1:45" ht="24" customHeight="1">
      <c r="A62" s="424">
        <f t="shared" si="12"/>
        <v>50</v>
      </c>
      <c r="B62" s="412" t="s">
        <v>2941</v>
      </c>
      <c r="C62" s="414">
        <v>708</v>
      </c>
      <c r="D62" s="412" t="s">
        <v>701</v>
      </c>
      <c r="H62" s="418" t="s">
        <v>1288</v>
      </c>
      <c r="N62" s="412" t="s">
        <v>1833</v>
      </c>
      <c r="O62" s="412" t="s">
        <v>1104</v>
      </c>
      <c r="W62" s="413"/>
      <c r="AD62" s="428" t="s">
        <v>3217</v>
      </c>
      <c r="AE62" s="414">
        <f t="shared" si="2"/>
        <v>6380</v>
      </c>
      <c r="AF62" s="414">
        <v>6380</v>
      </c>
      <c r="AG62" s="414">
        <f t="shared" si="3"/>
        <v>7018</v>
      </c>
      <c r="AH62" s="414">
        <f t="shared" si="4"/>
        <v>7656</v>
      </c>
      <c r="AI62" s="414">
        <f t="shared" si="5"/>
        <v>9570</v>
      </c>
      <c r="AJ62" s="414">
        <f t="shared" si="6"/>
        <v>6699</v>
      </c>
      <c r="AK62" s="414">
        <f t="shared" si="7"/>
        <v>7975</v>
      </c>
      <c r="AP62" s="418" t="s">
        <v>1288</v>
      </c>
      <c r="AR62" s="412"/>
    </row>
    <row r="63" spans="1:45" ht="24" customHeight="1">
      <c r="A63" s="424">
        <f t="shared" si="12"/>
        <v>51</v>
      </c>
      <c r="B63" s="412" t="s">
        <v>1669</v>
      </c>
      <c r="C63" s="414">
        <v>42</v>
      </c>
      <c r="D63" s="412" t="s">
        <v>358</v>
      </c>
      <c r="F63" s="416">
        <v>0.20599999999999999</v>
      </c>
      <c r="G63" s="414" t="s">
        <v>694</v>
      </c>
      <c r="H63" s="412" t="s">
        <v>695</v>
      </c>
      <c r="I63" s="414" t="e">
        <f>(C67)</f>
        <v>#REF!</v>
      </c>
      <c r="J63" s="412" t="s">
        <v>694</v>
      </c>
      <c r="K63" s="414" t="e">
        <f>(F63*I63)</f>
        <v>#REF!</v>
      </c>
      <c r="O63" s="412" t="s">
        <v>1213</v>
      </c>
      <c r="W63" s="413"/>
      <c r="AB63" s="429"/>
      <c r="AD63" s="430" t="s">
        <v>3218</v>
      </c>
      <c r="AE63" s="414">
        <f t="shared" si="2"/>
        <v>11.45</v>
      </c>
      <c r="AF63" s="414">
        <v>11.45</v>
      </c>
      <c r="AG63" s="414">
        <f t="shared" si="3"/>
        <v>12.6</v>
      </c>
      <c r="AH63" s="414">
        <f t="shared" si="4"/>
        <v>13.74</v>
      </c>
      <c r="AI63" s="414">
        <f t="shared" si="5"/>
        <v>17.18</v>
      </c>
      <c r="AJ63" s="414">
        <f t="shared" si="6"/>
        <v>12.02</v>
      </c>
      <c r="AK63" s="414">
        <f t="shared" si="7"/>
        <v>14.31</v>
      </c>
      <c r="AN63" s="414">
        <v>1300</v>
      </c>
      <c r="AO63" s="414" t="s">
        <v>1159</v>
      </c>
      <c r="AP63" s="414" t="str">
        <f>AP61</f>
        <v>Bricks of size 23x11x7 cm</v>
      </c>
      <c r="AQ63" s="414" t="e">
        <f>AC45</f>
        <v>#REF!</v>
      </c>
      <c r="AR63" s="412" t="s">
        <v>1296</v>
      </c>
      <c r="AS63" s="414" t="e">
        <f>(AN63*AQ63)/1000</f>
        <v>#REF!</v>
      </c>
    </row>
    <row r="64" spans="1:45" ht="24" customHeight="1">
      <c r="A64" s="424">
        <f t="shared" si="12"/>
        <v>52</v>
      </c>
      <c r="B64" s="412" t="s">
        <v>2942</v>
      </c>
      <c r="C64" s="414">
        <v>280.60000000000002</v>
      </c>
      <c r="D64" s="412" t="s">
        <v>702</v>
      </c>
      <c r="F64" s="414">
        <v>1</v>
      </c>
      <c r="G64" s="414" t="s">
        <v>702</v>
      </c>
      <c r="H64" s="412" t="s">
        <v>703</v>
      </c>
      <c r="I64" s="414" t="e">
        <f>(C78)</f>
        <v>#REF!</v>
      </c>
      <c r="J64" s="412" t="s">
        <v>702</v>
      </c>
      <c r="K64" s="414" t="e">
        <f>(F64*I64)</f>
        <v>#REF!</v>
      </c>
      <c r="O64" s="418" t="s">
        <v>1288</v>
      </c>
      <c r="W64" s="413"/>
      <c r="AD64" s="430" t="s">
        <v>3219</v>
      </c>
      <c r="AE64" s="414">
        <f t="shared" si="2"/>
        <v>44.25</v>
      </c>
      <c r="AF64" s="414">
        <v>44.25</v>
      </c>
      <c r="AG64" s="414">
        <f t="shared" si="3"/>
        <v>48.68</v>
      </c>
      <c r="AH64" s="414">
        <f t="shared" si="4"/>
        <v>53.1</v>
      </c>
      <c r="AI64" s="414">
        <f t="shared" si="5"/>
        <v>66.38</v>
      </c>
      <c r="AJ64" s="414">
        <f t="shared" si="6"/>
        <v>46.46</v>
      </c>
      <c r="AK64" s="414">
        <f t="shared" si="7"/>
        <v>55.31</v>
      </c>
      <c r="AN64" s="416">
        <v>0.70799999999999996</v>
      </c>
      <c r="AO64" s="414" t="s">
        <v>702</v>
      </c>
      <c r="AP64" s="412" t="s">
        <v>1325</v>
      </c>
      <c r="AQ64" s="414" t="e">
        <f>K49</f>
        <v>#REF!</v>
      </c>
      <c r="AR64" s="412" t="s">
        <v>702</v>
      </c>
      <c r="AS64" s="414" t="e">
        <f>(AN64*AQ64)</f>
        <v>#REF!</v>
      </c>
    </row>
    <row r="65" spans="1:45" ht="24" customHeight="1">
      <c r="A65" s="424">
        <f t="shared" si="12"/>
        <v>53</v>
      </c>
      <c r="B65" s="412" t="s">
        <v>3128</v>
      </c>
      <c r="C65" s="414">
        <v>391.1</v>
      </c>
      <c r="D65" s="412" t="s">
        <v>1105</v>
      </c>
      <c r="F65" s="414">
        <v>1</v>
      </c>
      <c r="G65" s="414" t="s">
        <v>702</v>
      </c>
      <c r="H65" s="412" t="s">
        <v>707</v>
      </c>
      <c r="I65" s="414">
        <f>(C18)</f>
        <v>116</v>
      </c>
      <c r="J65" s="412" t="s">
        <v>702</v>
      </c>
      <c r="K65" s="414">
        <f>(F65*I65)</f>
        <v>116</v>
      </c>
      <c r="M65" s="414">
        <v>9</v>
      </c>
      <c r="N65" s="412" t="s">
        <v>702</v>
      </c>
      <c r="O65" s="412" t="s">
        <v>1213</v>
      </c>
      <c r="P65" s="414" t="e">
        <f>(C73)</f>
        <v>#REF!</v>
      </c>
      <c r="Q65" s="412" t="s">
        <v>702</v>
      </c>
      <c r="R65" s="414" t="e">
        <f>(M65*P65)</f>
        <v>#REF!</v>
      </c>
      <c r="U65" s="414" t="s">
        <v>3129</v>
      </c>
      <c r="W65" s="413"/>
      <c r="AE65" s="414">
        <f t="shared" si="2"/>
        <v>0</v>
      </c>
      <c r="AG65" s="414">
        <f t="shared" si="3"/>
        <v>0</v>
      </c>
      <c r="AH65" s="414">
        <f t="shared" si="4"/>
        <v>0</v>
      </c>
      <c r="AI65" s="414">
        <f t="shared" si="5"/>
        <v>0</v>
      </c>
      <c r="AJ65" s="414">
        <f t="shared" si="6"/>
        <v>0</v>
      </c>
      <c r="AK65" s="414">
        <f t="shared" si="7"/>
        <v>0</v>
      </c>
      <c r="AN65" s="414">
        <v>1</v>
      </c>
      <c r="AO65" s="414" t="s">
        <v>701</v>
      </c>
      <c r="AP65" s="412" t="s">
        <v>1637</v>
      </c>
      <c r="AQ65" s="414">
        <f>V313</f>
        <v>999</v>
      </c>
      <c r="AR65" s="412" t="s">
        <v>701</v>
      </c>
      <c r="AS65" s="414">
        <f>(AN65*AQ65)</f>
        <v>999</v>
      </c>
    </row>
    <row r="66" spans="1:45" ht="24" customHeight="1">
      <c r="A66" s="424">
        <f t="shared" si="12"/>
        <v>54</v>
      </c>
      <c r="B66" s="412" t="s">
        <v>1216</v>
      </c>
      <c r="C66" s="414">
        <f>AE18</f>
        <v>856</v>
      </c>
      <c r="D66" s="412" t="s">
        <v>701</v>
      </c>
      <c r="G66" s="414" t="s">
        <v>358</v>
      </c>
      <c r="H66" s="412" t="s">
        <v>359</v>
      </c>
      <c r="I66" s="412" t="s">
        <v>790</v>
      </c>
      <c r="J66" s="412" t="s">
        <v>358</v>
      </c>
      <c r="K66" s="414">
        <v>0</v>
      </c>
      <c r="M66" s="414">
        <v>4.5</v>
      </c>
      <c r="N66" s="412" t="s">
        <v>702</v>
      </c>
      <c r="O66" s="412" t="s">
        <v>94</v>
      </c>
      <c r="P66" s="414" t="e">
        <f>(K23)</f>
        <v>#REF!</v>
      </c>
      <c r="Q66" s="412" t="s">
        <v>702</v>
      </c>
      <c r="R66" s="414" t="e">
        <f>(M66*P66)</f>
        <v>#REF!</v>
      </c>
      <c r="U66" s="414" t="s">
        <v>3130</v>
      </c>
      <c r="V66" s="414" t="s">
        <v>1790</v>
      </c>
      <c r="W66" s="413">
        <v>195.7</v>
      </c>
      <c r="AE66" s="414">
        <f t="shared" si="2"/>
        <v>0</v>
      </c>
      <c r="AG66" s="414">
        <f t="shared" si="3"/>
        <v>0</v>
      </c>
      <c r="AH66" s="414">
        <f t="shared" si="4"/>
        <v>0</v>
      </c>
      <c r="AI66" s="414">
        <f t="shared" si="5"/>
        <v>0</v>
      </c>
      <c r="AJ66" s="414">
        <f t="shared" si="6"/>
        <v>0</v>
      </c>
      <c r="AK66" s="414">
        <f t="shared" si="7"/>
        <v>0</v>
      </c>
      <c r="AN66" s="414">
        <v>3</v>
      </c>
      <c r="AO66" s="414" t="s">
        <v>701</v>
      </c>
      <c r="AP66" s="412" t="s">
        <v>1392</v>
      </c>
      <c r="AQ66" s="414">
        <f>V314</f>
        <v>932</v>
      </c>
      <c r="AR66" s="412" t="s">
        <v>701</v>
      </c>
      <c r="AS66" s="414">
        <f>(AN66*AQ66)</f>
        <v>2796</v>
      </c>
    </row>
    <row r="67" spans="1:45" ht="24" customHeight="1">
      <c r="A67" s="424">
        <f t="shared" si="12"/>
        <v>55</v>
      </c>
      <c r="B67" s="412" t="s">
        <v>695</v>
      </c>
      <c r="C67" s="414" t="e">
        <f>AC31</f>
        <v>#REF!</v>
      </c>
      <c r="D67" s="412" t="s">
        <v>694</v>
      </c>
      <c r="K67" s="418" t="s">
        <v>1288</v>
      </c>
      <c r="M67" s="414">
        <v>1.8</v>
      </c>
      <c r="N67" s="412" t="s">
        <v>701</v>
      </c>
      <c r="O67" s="412" t="s">
        <v>1392</v>
      </c>
      <c r="P67" s="414">
        <f>(C11)</f>
        <v>932</v>
      </c>
      <c r="Q67" s="412" t="s">
        <v>701</v>
      </c>
      <c r="R67" s="414">
        <f>(M67*P67)</f>
        <v>1677.6</v>
      </c>
      <c r="U67" s="414" t="s">
        <v>3131</v>
      </c>
      <c r="V67" s="414" t="s">
        <v>1790</v>
      </c>
      <c r="W67" s="413">
        <v>370.25</v>
      </c>
      <c r="AD67" s="430" t="s">
        <v>3254</v>
      </c>
      <c r="AE67" s="414">
        <f t="shared" si="2"/>
        <v>36.950000000000003</v>
      </c>
      <c r="AF67" s="417">
        <v>36.950000000000003</v>
      </c>
      <c r="AG67" s="414">
        <f t="shared" si="3"/>
        <v>40.65</v>
      </c>
      <c r="AH67" s="414">
        <f t="shared" si="4"/>
        <v>44.34</v>
      </c>
      <c r="AI67" s="414" t="e">
        <f>#REF!*1.5</f>
        <v>#REF!</v>
      </c>
      <c r="AJ67" s="414" t="e">
        <f>#REF!*1.05</f>
        <v>#REF!</v>
      </c>
      <c r="AK67" s="414" t="e">
        <f>#REF!*1.25</f>
        <v>#REF!</v>
      </c>
      <c r="AN67" s="414">
        <v>2</v>
      </c>
      <c r="AO67" s="414" t="s">
        <v>701</v>
      </c>
      <c r="AP67" s="412" t="s">
        <v>1550</v>
      </c>
      <c r="AQ67" s="414">
        <f>V315</f>
        <v>651</v>
      </c>
      <c r="AR67" s="412" t="s">
        <v>701</v>
      </c>
      <c r="AS67" s="414">
        <f>(AN67*AQ67)</f>
        <v>1302</v>
      </c>
    </row>
    <row r="68" spans="1:45" ht="24" customHeight="1">
      <c r="A68" s="424">
        <f t="shared" si="12"/>
        <v>56</v>
      </c>
      <c r="B68" s="412" t="s">
        <v>1217</v>
      </c>
      <c r="C68" s="414" t="e">
        <f t="shared" ref="C68:C74" si="13">AC9</f>
        <v>#REF!</v>
      </c>
      <c r="D68" s="412" t="s">
        <v>702</v>
      </c>
      <c r="H68" s="412" t="s">
        <v>1233</v>
      </c>
      <c r="K68" s="417" t="e">
        <f>SUM(K63:K66)</f>
        <v>#REF!</v>
      </c>
      <c r="M68" s="414">
        <v>17.7</v>
      </c>
      <c r="N68" s="412" t="s">
        <v>701</v>
      </c>
      <c r="O68" s="412" t="s">
        <v>1550</v>
      </c>
      <c r="P68" s="414">
        <f>(C12)</f>
        <v>651</v>
      </c>
      <c r="Q68" s="412" t="s">
        <v>701</v>
      </c>
      <c r="R68" s="414">
        <f>(M68*P68)</f>
        <v>11522.7</v>
      </c>
      <c r="U68" s="414" t="s">
        <v>3132</v>
      </c>
      <c r="W68" s="413"/>
      <c r="AE68" s="414">
        <f t="shared" si="2"/>
        <v>0</v>
      </c>
      <c r="AG68" s="414">
        <f t="shared" si="3"/>
        <v>0</v>
      </c>
      <c r="AH68" s="414">
        <f t="shared" si="4"/>
        <v>0</v>
      </c>
      <c r="AI68" s="414">
        <f t="shared" si="5"/>
        <v>0</v>
      </c>
      <c r="AJ68" s="414">
        <f t="shared" si="6"/>
        <v>0</v>
      </c>
      <c r="AK68" s="414">
        <f t="shared" si="7"/>
        <v>0</v>
      </c>
      <c r="AN68" s="414">
        <v>6</v>
      </c>
      <c r="AO68" s="414" t="s">
        <v>701</v>
      </c>
      <c r="AP68" s="412" t="s">
        <v>245</v>
      </c>
      <c r="AQ68" s="414">
        <f>V316</f>
        <v>534</v>
      </c>
      <c r="AR68" s="412" t="s">
        <v>701</v>
      </c>
      <c r="AS68" s="414">
        <f>(AN68*AQ68)</f>
        <v>3204</v>
      </c>
    </row>
    <row r="69" spans="1:45" ht="24" customHeight="1">
      <c r="A69" s="424">
        <f t="shared" si="12"/>
        <v>57</v>
      </c>
      <c r="B69" s="412" t="s">
        <v>705</v>
      </c>
      <c r="C69" s="414" t="e">
        <f t="shared" si="13"/>
        <v>#REF!</v>
      </c>
      <c r="D69" s="412" t="s">
        <v>702</v>
      </c>
      <c r="K69" s="418" t="s">
        <v>1288</v>
      </c>
      <c r="M69" s="414">
        <v>14.1</v>
      </c>
      <c r="N69" s="412" t="s">
        <v>701</v>
      </c>
      <c r="O69" s="412" t="s">
        <v>245</v>
      </c>
      <c r="P69" s="414">
        <f>(C13)</f>
        <v>534</v>
      </c>
      <c r="Q69" s="412" t="s">
        <v>701</v>
      </c>
      <c r="R69" s="414">
        <f>(M69*P69)</f>
        <v>7529.4</v>
      </c>
      <c r="U69" s="414" t="s">
        <v>3133</v>
      </c>
      <c r="V69" s="414" t="s">
        <v>1134</v>
      </c>
      <c r="W69" s="413">
        <v>9180</v>
      </c>
      <c r="AE69" s="414">
        <f t="shared" si="2"/>
        <v>0</v>
      </c>
      <c r="AG69" s="414">
        <f t="shared" si="3"/>
        <v>0</v>
      </c>
      <c r="AH69" s="414">
        <f t="shared" si="4"/>
        <v>0</v>
      </c>
      <c r="AI69" s="414">
        <f t="shared" si="5"/>
        <v>0</v>
      </c>
      <c r="AJ69" s="414">
        <f t="shared" si="6"/>
        <v>0</v>
      </c>
      <c r="AK69" s="414">
        <f t="shared" si="7"/>
        <v>0</v>
      </c>
      <c r="AO69" s="414" t="s">
        <v>358</v>
      </c>
      <c r="AP69" s="412" t="s">
        <v>359</v>
      </c>
      <c r="AR69" s="412" t="s">
        <v>358</v>
      </c>
      <c r="AS69" s="414">
        <v>5</v>
      </c>
    </row>
    <row r="70" spans="1:45" ht="24" customHeight="1">
      <c r="A70" s="424">
        <f t="shared" si="12"/>
        <v>58</v>
      </c>
      <c r="B70" s="412" t="s">
        <v>1218</v>
      </c>
      <c r="C70" s="414" t="e">
        <f t="shared" si="13"/>
        <v>#REF!</v>
      </c>
      <c r="D70" s="412" t="s">
        <v>702</v>
      </c>
      <c r="G70" s="414" t="s">
        <v>1833</v>
      </c>
      <c r="H70" s="412" t="s">
        <v>1330</v>
      </c>
      <c r="N70" s="412" t="s">
        <v>358</v>
      </c>
      <c r="O70" s="412" t="s">
        <v>359</v>
      </c>
      <c r="Q70" s="412" t="s">
        <v>358</v>
      </c>
      <c r="R70" s="414">
        <v>0</v>
      </c>
      <c r="U70" s="414" t="s">
        <v>3134</v>
      </c>
      <c r="V70" s="414" t="s">
        <v>1134</v>
      </c>
      <c r="W70" s="413">
        <v>7140</v>
      </c>
      <c r="AE70" s="414">
        <f t="shared" si="2"/>
        <v>0</v>
      </c>
      <c r="AG70" s="414">
        <f t="shared" si="3"/>
        <v>0</v>
      </c>
      <c r="AH70" s="414">
        <f t="shared" si="4"/>
        <v>0</v>
      </c>
      <c r="AI70" s="414">
        <f t="shared" si="5"/>
        <v>0</v>
      </c>
      <c r="AJ70" s="414">
        <f t="shared" si="6"/>
        <v>0</v>
      </c>
      <c r="AK70" s="414">
        <f t="shared" si="7"/>
        <v>0</v>
      </c>
      <c r="AR70" s="412"/>
      <c r="AS70" s="418" t="s">
        <v>1288</v>
      </c>
    </row>
    <row r="71" spans="1:45" ht="24" customHeight="1">
      <c r="A71" s="424">
        <f t="shared" si="12"/>
        <v>59</v>
      </c>
      <c r="B71" s="412" t="s">
        <v>1219</v>
      </c>
      <c r="C71" s="414" t="e">
        <f t="shared" si="13"/>
        <v>#REF!</v>
      </c>
      <c r="D71" s="412" t="s">
        <v>702</v>
      </c>
      <c r="H71" s="418" t="s">
        <v>1288</v>
      </c>
      <c r="R71" s="418" t="s">
        <v>1288</v>
      </c>
      <c r="U71" s="414" t="s">
        <v>3135</v>
      </c>
      <c r="V71" s="414" t="s">
        <v>3136</v>
      </c>
      <c r="W71" s="413">
        <v>8106</v>
      </c>
      <c r="AE71" s="414">
        <f t="shared" si="2"/>
        <v>0</v>
      </c>
      <c r="AG71" s="414">
        <f t="shared" si="3"/>
        <v>0</v>
      </c>
      <c r="AH71" s="414">
        <f t="shared" si="4"/>
        <v>0</v>
      </c>
      <c r="AI71" s="414">
        <f t="shared" si="5"/>
        <v>0</v>
      </c>
      <c r="AJ71" s="414">
        <f t="shared" si="6"/>
        <v>0</v>
      </c>
      <c r="AK71" s="414">
        <f t="shared" si="7"/>
        <v>0</v>
      </c>
      <c r="AP71" s="412" t="s">
        <v>2274</v>
      </c>
      <c r="AR71" s="412"/>
      <c r="AS71" s="414" t="e">
        <f>SUM(AS63:AS69)</f>
        <v>#REF!</v>
      </c>
    </row>
    <row r="72" spans="1:45" ht="24" customHeight="1">
      <c r="A72" s="424">
        <f t="shared" si="12"/>
        <v>60</v>
      </c>
      <c r="B72" s="412" t="s">
        <v>1220</v>
      </c>
      <c r="C72" s="414" t="e">
        <f t="shared" si="13"/>
        <v>#REF!</v>
      </c>
      <c r="D72" s="412" t="s">
        <v>702</v>
      </c>
      <c r="F72" s="414">
        <v>0.18</v>
      </c>
      <c r="G72" s="414" t="s">
        <v>694</v>
      </c>
      <c r="H72" s="412" t="s">
        <v>695</v>
      </c>
      <c r="I72" s="414" t="e">
        <f>(C67)</f>
        <v>#REF!</v>
      </c>
      <c r="J72" s="412" t="s">
        <v>694</v>
      </c>
      <c r="K72" s="414" t="e">
        <f>(F72*I72)</f>
        <v>#REF!</v>
      </c>
      <c r="O72" s="412" t="s">
        <v>492</v>
      </c>
      <c r="R72" s="414" t="e">
        <f>SUM(R65:R70)</f>
        <v>#REF!</v>
      </c>
      <c r="U72" s="414" t="s">
        <v>3137</v>
      </c>
      <c r="V72" s="414" t="s">
        <v>3136</v>
      </c>
      <c r="W72" s="413">
        <v>7482</v>
      </c>
      <c r="AE72" s="414">
        <f t="shared" si="2"/>
        <v>0</v>
      </c>
      <c r="AG72" s="414">
        <f t="shared" si="3"/>
        <v>0</v>
      </c>
      <c r="AH72" s="414">
        <f t="shared" si="4"/>
        <v>0</v>
      </c>
      <c r="AI72" s="414">
        <f t="shared" si="5"/>
        <v>0</v>
      </c>
      <c r="AJ72" s="414">
        <f t="shared" si="6"/>
        <v>0</v>
      </c>
      <c r="AK72" s="414">
        <f t="shared" si="7"/>
        <v>0</v>
      </c>
      <c r="AR72" s="412"/>
      <c r="AS72" s="418" t="s">
        <v>1288</v>
      </c>
    </row>
    <row r="73" spans="1:45" ht="24" customHeight="1">
      <c r="A73" s="424">
        <f t="shared" si="12"/>
        <v>61</v>
      </c>
      <c r="B73" s="412" t="s">
        <v>526</v>
      </c>
      <c r="C73" s="414" t="e">
        <f t="shared" si="13"/>
        <v>#REF!</v>
      </c>
      <c r="D73" s="412" t="s">
        <v>702</v>
      </c>
      <c r="F73" s="414">
        <v>1</v>
      </c>
      <c r="G73" s="414" t="s">
        <v>702</v>
      </c>
      <c r="H73" s="412" t="s">
        <v>703</v>
      </c>
      <c r="I73" s="414" t="e">
        <f>(C78)</f>
        <v>#REF!</v>
      </c>
      <c r="J73" s="412" t="s">
        <v>702</v>
      </c>
      <c r="K73" s="414" t="e">
        <f>(F73*I73)</f>
        <v>#REF!</v>
      </c>
      <c r="R73" s="418" t="s">
        <v>1288</v>
      </c>
      <c r="W73" s="413"/>
      <c r="AE73" s="414">
        <f t="shared" si="2"/>
        <v>0</v>
      </c>
      <c r="AG73" s="414">
        <f t="shared" si="3"/>
        <v>0</v>
      </c>
      <c r="AH73" s="414">
        <f t="shared" si="4"/>
        <v>0</v>
      </c>
      <c r="AI73" s="414">
        <f t="shared" si="5"/>
        <v>0</v>
      </c>
      <c r="AJ73" s="414">
        <f t="shared" si="6"/>
        <v>0</v>
      </c>
      <c r="AK73" s="414">
        <f t="shared" si="7"/>
        <v>0</v>
      </c>
      <c r="AP73" s="420" t="s">
        <v>621</v>
      </c>
      <c r="AR73" s="412"/>
      <c r="AS73" s="417" t="e">
        <f>(AS71/2.83168)</f>
        <v>#REF!</v>
      </c>
    </row>
    <row r="74" spans="1:45" ht="24" customHeight="1">
      <c r="A74" s="424">
        <f t="shared" si="12"/>
        <v>62</v>
      </c>
      <c r="B74" s="412" t="s">
        <v>772</v>
      </c>
      <c r="C74" s="414" t="e">
        <f t="shared" si="13"/>
        <v>#REF!</v>
      </c>
      <c r="D74" s="412" t="s">
        <v>702</v>
      </c>
      <c r="F74" s="414">
        <v>1</v>
      </c>
      <c r="G74" s="414" t="s">
        <v>702</v>
      </c>
      <c r="H74" s="412" t="s">
        <v>707</v>
      </c>
      <c r="I74" s="414">
        <f>(C18)</f>
        <v>116</v>
      </c>
      <c r="J74" s="412" t="s">
        <v>702</v>
      </c>
      <c r="K74" s="414">
        <f>(F74*I74)</f>
        <v>116</v>
      </c>
      <c r="O74" s="412" t="s">
        <v>621</v>
      </c>
      <c r="R74" s="414" t="e">
        <f>(R72/10)</f>
        <v>#REF!</v>
      </c>
      <c r="U74" s="431" t="s">
        <v>3138</v>
      </c>
      <c r="V74" s="414" t="s">
        <v>3139</v>
      </c>
      <c r="W74" s="413">
        <v>2419</v>
      </c>
      <c r="AE74" s="414">
        <f t="shared" ref="AE74:AE106" si="14">AF74</f>
        <v>0</v>
      </c>
      <c r="AG74" s="414">
        <f t="shared" ref="AG74:AG77" si="15">AF74*1.1</f>
        <v>0</v>
      </c>
      <c r="AH74" s="414">
        <f t="shared" ref="AH74" si="16">AF74*1.2</f>
        <v>0</v>
      </c>
      <c r="AI74" s="414">
        <f t="shared" ref="AI74:AI98" si="17">AF74*1.5</f>
        <v>0</v>
      </c>
      <c r="AJ74" s="414">
        <f t="shared" ref="AJ74:AJ98" si="18">AF74*1.05</f>
        <v>0</v>
      </c>
      <c r="AK74" s="414">
        <f t="shared" ref="AK74:AK98" si="19">AF74*1.25</f>
        <v>0</v>
      </c>
      <c r="AR74" s="412"/>
      <c r="AS74" s="418" t="s">
        <v>1676</v>
      </c>
    </row>
    <row r="75" spans="1:45" ht="24" customHeight="1">
      <c r="A75" s="424">
        <f t="shared" si="12"/>
        <v>63</v>
      </c>
      <c r="B75" s="412" t="s">
        <v>773</v>
      </c>
      <c r="C75" s="414">
        <v>175</v>
      </c>
      <c r="D75" s="412" t="s">
        <v>1833</v>
      </c>
      <c r="G75" s="414" t="s">
        <v>358</v>
      </c>
      <c r="H75" s="412" t="s">
        <v>359</v>
      </c>
      <c r="I75" s="412" t="s">
        <v>790</v>
      </c>
      <c r="J75" s="412" t="s">
        <v>358</v>
      </c>
      <c r="K75" s="414">
        <v>0</v>
      </c>
      <c r="R75" s="418" t="s">
        <v>1676</v>
      </c>
      <c r="W75" s="413"/>
      <c r="AE75" s="414">
        <f t="shared" si="14"/>
        <v>0</v>
      </c>
      <c r="AG75" s="414">
        <f t="shared" si="15"/>
        <v>0</v>
      </c>
      <c r="AH75" s="414">
        <f t="shared" ref="AH75:AH98" si="20">AF75*1.2</f>
        <v>0</v>
      </c>
      <c r="AI75" s="414">
        <f t="shared" si="17"/>
        <v>0</v>
      </c>
      <c r="AJ75" s="414">
        <f t="shared" si="18"/>
        <v>0</v>
      </c>
      <c r="AK75" s="414">
        <f t="shared" si="19"/>
        <v>0</v>
      </c>
      <c r="AP75" s="412" t="s">
        <v>307</v>
      </c>
      <c r="AR75" s="412"/>
      <c r="AS75" s="414" t="e">
        <f>AS73+C19</f>
        <v>#REF!</v>
      </c>
    </row>
    <row r="76" spans="1:45" ht="24" customHeight="1">
      <c r="A76" s="424">
        <f t="shared" si="12"/>
        <v>64</v>
      </c>
      <c r="B76" s="412" t="s">
        <v>774</v>
      </c>
      <c r="C76" s="414">
        <v>460</v>
      </c>
      <c r="D76" s="414">
        <v>290</v>
      </c>
      <c r="E76" s="414" t="s">
        <v>2561</v>
      </c>
      <c r="K76" s="418" t="s">
        <v>1288</v>
      </c>
      <c r="N76" s="412" t="s">
        <v>1833</v>
      </c>
      <c r="O76" s="412" t="s">
        <v>775</v>
      </c>
      <c r="W76" s="413"/>
      <c r="AE76" s="414">
        <f t="shared" si="14"/>
        <v>0</v>
      </c>
      <c r="AG76" s="414">
        <f t="shared" si="15"/>
        <v>0</v>
      </c>
      <c r="AH76" s="414">
        <f t="shared" si="20"/>
        <v>0</v>
      </c>
      <c r="AI76" s="414">
        <f t="shared" si="17"/>
        <v>0</v>
      </c>
      <c r="AJ76" s="414">
        <f t="shared" si="18"/>
        <v>0</v>
      </c>
      <c r="AK76" s="414">
        <f t="shared" si="19"/>
        <v>0</v>
      </c>
      <c r="AP76" s="412" t="s">
        <v>309</v>
      </c>
      <c r="AR76" s="412"/>
      <c r="AS76" s="414" t="e">
        <f>AS75+C20</f>
        <v>#REF!</v>
      </c>
    </row>
    <row r="77" spans="1:45" ht="24" customHeight="1">
      <c r="A77" s="424">
        <f t="shared" si="12"/>
        <v>65</v>
      </c>
      <c r="B77" s="412" t="s">
        <v>1257</v>
      </c>
      <c r="C77" s="414" t="e">
        <f>AC34</f>
        <v>#REF!</v>
      </c>
      <c r="D77" s="412" t="s">
        <v>702</v>
      </c>
      <c r="H77" s="412" t="s">
        <v>1233</v>
      </c>
      <c r="K77" s="417" t="e">
        <f>SUM(K72:K75)</f>
        <v>#REF!</v>
      </c>
      <c r="O77" s="412" t="s">
        <v>339</v>
      </c>
      <c r="W77" s="413"/>
      <c r="AE77" s="414">
        <f t="shared" si="14"/>
        <v>0</v>
      </c>
      <c r="AG77" s="414">
        <f t="shared" si="15"/>
        <v>0</v>
      </c>
      <c r="AH77" s="414">
        <f t="shared" si="20"/>
        <v>0</v>
      </c>
      <c r="AI77" s="414">
        <f t="shared" si="17"/>
        <v>0</v>
      </c>
      <c r="AJ77" s="414">
        <f t="shared" si="18"/>
        <v>0</v>
      </c>
      <c r="AK77" s="414">
        <f t="shared" si="19"/>
        <v>0</v>
      </c>
      <c r="AP77" s="412" t="s">
        <v>1818</v>
      </c>
      <c r="AR77" s="412"/>
      <c r="AS77" s="414" t="e">
        <f>AS76+C20</f>
        <v>#REF!</v>
      </c>
    </row>
    <row r="78" spans="1:45" ht="24" customHeight="1">
      <c r="A78" s="424">
        <f t="shared" si="12"/>
        <v>66</v>
      </c>
      <c r="B78" s="412" t="s">
        <v>1157</v>
      </c>
      <c r="C78" s="414" t="e">
        <f t="shared" ref="C78:C91" si="21">AC16</f>
        <v>#REF!</v>
      </c>
      <c r="D78" s="412" t="s">
        <v>702</v>
      </c>
      <c r="K78" s="418" t="s">
        <v>1288</v>
      </c>
      <c r="O78" s="418" t="s">
        <v>1288</v>
      </c>
      <c r="W78" s="413"/>
      <c r="AE78" s="414">
        <f t="shared" si="14"/>
        <v>0</v>
      </c>
      <c r="AG78" s="412"/>
      <c r="AH78" s="414">
        <f t="shared" si="20"/>
        <v>0</v>
      </c>
      <c r="AI78" s="414">
        <f t="shared" si="17"/>
        <v>0</v>
      </c>
      <c r="AJ78" s="414">
        <f t="shared" si="18"/>
        <v>0</v>
      </c>
      <c r="AK78" s="414">
        <f t="shared" si="19"/>
        <v>0</v>
      </c>
      <c r="AP78" s="412" t="s">
        <v>301</v>
      </c>
      <c r="AR78" s="412"/>
      <c r="AS78" s="414" t="e">
        <f>AS77+C20</f>
        <v>#REF!</v>
      </c>
    </row>
    <row r="79" spans="1:45" ht="24" customHeight="1">
      <c r="A79" s="424">
        <f t="shared" si="12"/>
        <v>67</v>
      </c>
      <c r="B79" s="412" t="s">
        <v>842</v>
      </c>
      <c r="C79" s="414" t="e">
        <f t="shared" si="21"/>
        <v>#REF!</v>
      </c>
      <c r="D79" s="412" t="s">
        <v>702</v>
      </c>
      <c r="F79" s="427">
        <v>1.1000000000000001</v>
      </c>
      <c r="G79" s="414" t="s">
        <v>790</v>
      </c>
      <c r="H79" s="412" t="s">
        <v>1158</v>
      </c>
      <c r="M79" s="414">
        <v>4600</v>
      </c>
      <c r="N79" s="412" t="s">
        <v>1159</v>
      </c>
      <c r="O79" s="412" t="s">
        <v>901</v>
      </c>
      <c r="P79" s="414" t="e">
        <f>AC41</f>
        <v>#REF!</v>
      </c>
      <c r="Q79" s="412" t="s">
        <v>1296</v>
      </c>
      <c r="R79" s="414" t="e">
        <f>(M79*P79)/1000</f>
        <v>#REF!</v>
      </c>
      <c r="S79" s="432">
        <v>1.1000000000000001</v>
      </c>
      <c r="T79" s="414" t="s">
        <v>790</v>
      </c>
      <c r="U79" s="415" t="s">
        <v>1760</v>
      </c>
      <c r="W79" s="413"/>
      <c r="AE79" s="414">
        <f t="shared" si="14"/>
        <v>0</v>
      </c>
      <c r="AG79" s="412"/>
      <c r="AH79" s="414">
        <f t="shared" si="20"/>
        <v>0</v>
      </c>
      <c r="AI79" s="414">
        <f t="shared" si="17"/>
        <v>0</v>
      </c>
      <c r="AJ79" s="414">
        <f t="shared" si="18"/>
        <v>0</v>
      </c>
      <c r="AK79" s="414">
        <f t="shared" si="19"/>
        <v>0</v>
      </c>
      <c r="AP79" s="412" t="s">
        <v>388</v>
      </c>
      <c r="AR79" s="412"/>
      <c r="AS79" s="414" t="e">
        <f>AS78+C20</f>
        <v>#REF!</v>
      </c>
    </row>
    <row r="80" spans="1:45" ht="24" customHeight="1">
      <c r="A80" s="424">
        <f t="shared" si="12"/>
        <v>68</v>
      </c>
      <c r="B80" s="412" t="s">
        <v>1206</v>
      </c>
      <c r="C80" s="414" t="e">
        <f t="shared" si="21"/>
        <v>#REF!</v>
      </c>
      <c r="D80" s="412" t="s">
        <v>1207</v>
      </c>
      <c r="F80" s="433" t="s">
        <v>790</v>
      </c>
      <c r="H80" s="412" t="s">
        <v>1208</v>
      </c>
      <c r="M80" s="414">
        <v>2.5</v>
      </c>
      <c r="N80" s="412" t="s">
        <v>702</v>
      </c>
      <c r="O80" s="412" t="s">
        <v>1325</v>
      </c>
      <c r="P80" s="414" t="e">
        <f>(K49)</f>
        <v>#REF!</v>
      </c>
      <c r="Q80" s="412" t="s">
        <v>702</v>
      </c>
      <c r="R80" s="414" t="e">
        <f>(M80*P80)</f>
        <v>#REF!</v>
      </c>
      <c r="S80" s="434" t="s">
        <v>790</v>
      </c>
      <c r="U80" s="412" t="s">
        <v>1208</v>
      </c>
      <c r="W80" s="413"/>
      <c r="AE80" s="414">
        <f t="shared" si="14"/>
        <v>0</v>
      </c>
      <c r="AG80" s="412"/>
      <c r="AH80" s="414">
        <f t="shared" si="20"/>
        <v>0</v>
      </c>
      <c r="AI80" s="414">
        <f t="shared" si="17"/>
        <v>0</v>
      </c>
      <c r="AJ80" s="414">
        <f t="shared" si="18"/>
        <v>0</v>
      </c>
      <c r="AK80" s="414">
        <f t="shared" si="19"/>
        <v>0</v>
      </c>
      <c r="AS80" s="412"/>
    </row>
    <row r="81" spans="1:45" ht="24" customHeight="1">
      <c r="A81" s="424">
        <f t="shared" si="12"/>
        <v>69</v>
      </c>
      <c r="B81" s="412" t="s">
        <v>47</v>
      </c>
      <c r="C81" s="414" t="e">
        <f t="shared" si="21"/>
        <v>#REF!</v>
      </c>
      <c r="D81" s="412" t="s">
        <v>702</v>
      </c>
      <c r="F81" s="414">
        <v>10</v>
      </c>
      <c r="G81" s="414" t="s">
        <v>702</v>
      </c>
      <c r="H81" s="412" t="s">
        <v>958</v>
      </c>
      <c r="I81" s="414">
        <f>(C61)</f>
        <v>112.05</v>
      </c>
      <c r="J81" s="412" t="s">
        <v>702</v>
      </c>
      <c r="K81" s="414">
        <f>(F81*I81)</f>
        <v>1120.5</v>
      </c>
      <c r="M81" s="414">
        <v>3.5</v>
      </c>
      <c r="N81" s="412" t="s">
        <v>701</v>
      </c>
      <c r="O81" s="412" t="s">
        <v>1637</v>
      </c>
      <c r="P81" s="414">
        <f>(C10)</f>
        <v>999</v>
      </c>
      <c r="Q81" s="412" t="s">
        <v>701</v>
      </c>
      <c r="R81" s="414">
        <f>(M81*P81)</f>
        <v>3496.5</v>
      </c>
      <c r="S81" s="416">
        <v>10</v>
      </c>
      <c r="T81" s="414" t="s">
        <v>702</v>
      </c>
      <c r="U81" s="412" t="s">
        <v>958</v>
      </c>
      <c r="V81" s="414">
        <f>AE39</f>
        <v>74.849999999999994</v>
      </c>
      <c r="W81" s="413" t="s">
        <v>702</v>
      </c>
      <c r="X81" s="414">
        <f>(S81*V81)</f>
        <v>748.5</v>
      </c>
      <c r="AE81" s="414">
        <f t="shared" si="14"/>
        <v>0</v>
      </c>
      <c r="AG81" s="412"/>
      <c r="AH81" s="414">
        <f t="shared" si="20"/>
        <v>0</v>
      </c>
      <c r="AI81" s="414">
        <f t="shared" si="17"/>
        <v>0</v>
      </c>
      <c r="AJ81" s="414">
        <f t="shared" si="18"/>
        <v>0</v>
      </c>
      <c r="AK81" s="414">
        <f t="shared" si="19"/>
        <v>0</v>
      </c>
      <c r="AS81" s="412"/>
    </row>
    <row r="82" spans="1:45" ht="24" customHeight="1">
      <c r="A82" s="424">
        <f t="shared" si="12"/>
        <v>70</v>
      </c>
      <c r="B82" s="412" t="s">
        <v>1638</v>
      </c>
      <c r="C82" s="414" t="e">
        <f t="shared" si="21"/>
        <v>#REF!</v>
      </c>
      <c r="D82" s="412" t="s">
        <v>702</v>
      </c>
      <c r="F82" s="414">
        <v>10</v>
      </c>
      <c r="G82" s="414" t="s">
        <v>702</v>
      </c>
      <c r="H82" s="412" t="s">
        <v>1639</v>
      </c>
      <c r="I82" s="414">
        <f>(C61)</f>
        <v>112.05</v>
      </c>
      <c r="J82" s="412" t="s">
        <v>702</v>
      </c>
      <c r="K82" s="414">
        <f>(F82*I82)</f>
        <v>1120.5</v>
      </c>
      <c r="L82" s="414">
        <f>I82+I81</f>
        <v>224.1</v>
      </c>
      <c r="M82" s="414">
        <v>10.6</v>
      </c>
      <c r="N82" s="412" t="s">
        <v>701</v>
      </c>
      <c r="O82" s="412" t="s">
        <v>1392</v>
      </c>
      <c r="P82" s="414">
        <f>(C11)</f>
        <v>932</v>
      </c>
      <c r="Q82" s="412" t="s">
        <v>701</v>
      </c>
      <c r="R82" s="414">
        <f>(M82*P82)</f>
        <v>9879.2000000000007</v>
      </c>
      <c r="S82" s="416">
        <v>10</v>
      </c>
      <c r="T82" s="414" t="s">
        <v>702</v>
      </c>
      <c r="U82" s="412" t="s">
        <v>1639</v>
      </c>
      <c r="V82" s="414">
        <f>V81</f>
        <v>74.849999999999994</v>
      </c>
      <c r="W82" s="413" t="s">
        <v>702</v>
      </c>
      <c r="X82" s="414">
        <f>(S82*V82)</f>
        <v>748.5</v>
      </c>
      <c r="AE82" s="414">
        <f t="shared" si="14"/>
        <v>0</v>
      </c>
      <c r="AG82" s="412"/>
      <c r="AH82" s="414">
        <f t="shared" si="20"/>
        <v>0</v>
      </c>
      <c r="AI82" s="414">
        <f t="shared" si="17"/>
        <v>0</v>
      </c>
      <c r="AJ82" s="414">
        <f t="shared" si="18"/>
        <v>0</v>
      </c>
      <c r="AK82" s="414">
        <f t="shared" si="19"/>
        <v>0</v>
      </c>
      <c r="AS82" s="412"/>
    </row>
    <row r="83" spans="1:45" ht="24" customHeight="1">
      <c r="A83" s="424">
        <f t="shared" si="12"/>
        <v>71</v>
      </c>
      <c r="B83" s="412" t="s">
        <v>1640</v>
      </c>
      <c r="C83" s="414" t="e">
        <f t="shared" si="21"/>
        <v>#REF!</v>
      </c>
      <c r="D83" s="412" t="s">
        <v>1207</v>
      </c>
      <c r="E83" s="414">
        <v>8710</v>
      </c>
      <c r="F83" s="414">
        <v>10</v>
      </c>
      <c r="G83" s="414" t="s">
        <v>702</v>
      </c>
      <c r="H83" s="412" t="s">
        <v>1641</v>
      </c>
      <c r="I83" s="414">
        <f>(C26)/3</f>
        <v>12.98</v>
      </c>
      <c r="J83" s="412" t="s">
        <v>702</v>
      </c>
      <c r="K83" s="414">
        <f>(F83*I83)</f>
        <v>129.80000000000001</v>
      </c>
      <c r="M83" s="414">
        <v>7.1</v>
      </c>
      <c r="N83" s="412" t="s">
        <v>701</v>
      </c>
      <c r="O83" s="412" t="s">
        <v>1550</v>
      </c>
      <c r="P83" s="414">
        <f>(C12)</f>
        <v>651</v>
      </c>
      <c r="Q83" s="412" t="s">
        <v>701</v>
      </c>
      <c r="R83" s="414">
        <f>(M83*P83)</f>
        <v>4622.1000000000004</v>
      </c>
      <c r="S83" s="416">
        <v>10</v>
      </c>
      <c r="T83" s="414" t="s">
        <v>702</v>
      </c>
      <c r="U83" s="412" t="s">
        <v>1641</v>
      </c>
      <c r="V83" s="414">
        <f>AE27/3</f>
        <v>11.4</v>
      </c>
      <c r="W83" s="413" t="s">
        <v>702</v>
      </c>
      <c r="X83" s="414">
        <f>(S83*V83)</f>
        <v>114</v>
      </c>
      <c r="AE83" s="414">
        <f t="shared" si="14"/>
        <v>0</v>
      </c>
      <c r="AG83" s="412"/>
      <c r="AH83" s="414">
        <f t="shared" si="20"/>
        <v>0</v>
      </c>
      <c r="AI83" s="414">
        <f t="shared" si="17"/>
        <v>0</v>
      </c>
      <c r="AJ83" s="414">
        <f t="shared" si="18"/>
        <v>0</v>
      </c>
      <c r="AK83" s="414">
        <f t="shared" si="19"/>
        <v>0</v>
      </c>
      <c r="AS83" s="412"/>
    </row>
    <row r="84" spans="1:45" ht="24" customHeight="1">
      <c r="A84" s="424">
        <f t="shared" si="12"/>
        <v>72</v>
      </c>
      <c r="B84" s="412" t="s">
        <v>1642</v>
      </c>
      <c r="C84" s="414">
        <f t="shared" si="21"/>
        <v>1348</v>
      </c>
      <c r="D84" s="412" t="s">
        <v>702</v>
      </c>
      <c r="G84" s="414" t="s">
        <v>358</v>
      </c>
      <c r="H84" s="412" t="s">
        <v>359</v>
      </c>
      <c r="J84" s="412" t="s">
        <v>358</v>
      </c>
      <c r="K84" s="414">
        <v>0</v>
      </c>
      <c r="M84" s="414">
        <v>21.2</v>
      </c>
      <c r="N84" s="412" t="s">
        <v>701</v>
      </c>
      <c r="O84" s="412" t="s">
        <v>245</v>
      </c>
      <c r="P84" s="414">
        <f>(C13)</f>
        <v>534</v>
      </c>
      <c r="Q84" s="412" t="s">
        <v>701</v>
      </c>
      <c r="R84" s="414">
        <f>(M84*P84)</f>
        <v>11320.8</v>
      </c>
      <c r="T84" s="414" t="s">
        <v>358</v>
      </c>
      <c r="U84" s="412" t="s">
        <v>359</v>
      </c>
      <c r="W84" s="413" t="s">
        <v>358</v>
      </c>
      <c r="X84" s="414">
        <v>0</v>
      </c>
      <c r="AE84" s="414">
        <f t="shared" si="14"/>
        <v>0</v>
      </c>
      <c r="AG84" s="412"/>
      <c r="AH84" s="414">
        <f t="shared" si="20"/>
        <v>0</v>
      </c>
      <c r="AI84" s="414">
        <f t="shared" si="17"/>
        <v>0</v>
      </c>
      <c r="AJ84" s="414">
        <f t="shared" si="18"/>
        <v>0</v>
      </c>
      <c r="AK84" s="414">
        <f t="shared" si="19"/>
        <v>0</v>
      </c>
      <c r="AN84" s="425">
        <v>9</v>
      </c>
      <c r="AO84" s="414" t="s">
        <v>1833</v>
      </c>
      <c r="AP84" s="412" t="s">
        <v>2275</v>
      </c>
      <c r="AR84" s="412"/>
    </row>
    <row r="85" spans="1:45" ht="24" customHeight="1">
      <c r="A85" s="424">
        <f t="shared" si="12"/>
        <v>73</v>
      </c>
      <c r="B85" s="412" t="s">
        <v>1632</v>
      </c>
      <c r="C85" s="414" t="e">
        <f t="shared" si="21"/>
        <v>#REF!</v>
      </c>
      <c r="D85" s="412" t="s">
        <v>702</v>
      </c>
      <c r="K85" s="418" t="s">
        <v>1288</v>
      </c>
      <c r="N85" s="412" t="s">
        <v>358</v>
      </c>
      <c r="O85" s="412" t="s">
        <v>359</v>
      </c>
      <c r="Q85" s="412" t="s">
        <v>358</v>
      </c>
      <c r="R85" s="414">
        <v>0</v>
      </c>
      <c r="W85" s="413"/>
      <c r="X85" s="418" t="s">
        <v>1288</v>
      </c>
      <c r="AE85" s="414">
        <f t="shared" si="14"/>
        <v>0</v>
      </c>
      <c r="AG85" s="412"/>
      <c r="AH85" s="414">
        <f t="shared" si="20"/>
        <v>0</v>
      </c>
      <c r="AI85" s="414">
        <f t="shared" si="17"/>
        <v>0</v>
      </c>
      <c r="AJ85" s="414">
        <f t="shared" si="18"/>
        <v>0</v>
      </c>
      <c r="AK85" s="414">
        <f t="shared" si="19"/>
        <v>0</v>
      </c>
      <c r="AP85" s="412" t="str">
        <f>AP61</f>
        <v>Bricks of size 23x11x7 cm</v>
      </c>
      <c r="AR85" s="412"/>
    </row>
    <row r="86" spans="1:45" ht="24" customHeight="1">
      <c r="A86" s="424">
        <f t="shared" si="12"/>
        <v>74</v>
      </c>
      <c r="B86" s="412" t="s">
        <v>2350</v>
      </c>
      <c r="C86" s="414" t="e">
        <f t="shared" si="21"/>
        <v>#REF!</v>
      </c>
      <c r="D86" s="412" t="s">
        <v>702</v>
      </c>
      <c r="H86" s="412" t="s">
        <v>492</v>
      </c>
      <c r="K86" s="414">
        <f>SUM(K81:K84)</f>
        <v>2370.8000000000002</v>
      </c>
      <c r="R86" s="418" t="s">
        <v>1288</v>
      </c>
      <c r="U86" s="412" t="s">
        <v>492</v>
      </c>
      <c r="W86" s="413"/>
      <c r="X86" s="414">
        <f>SUM(X81:X84)</f>
        <v>1611</v>
      </c>
      <c r="AE86" s="414">
        <f t="shared" si="14"/>
        <v>0</v>
      </c>
      <c r="AG86" s="412"/>
      <c r="AH86" s="414">
        <f t="shared" si="20"/>
        <v>0</v>
      </c>
      <c r="AI86" s="414">
        <f t="shared" si="17"/>
        <v>0</v>
      </c>
      <c r="AJ86" s="414">
        <f t="shared" si="18"/>
        <v>0</v>
      </c>
      <c r="AK86" s="414">
        <f t="shared" si="19"/>
        <v>0</v>
      </c>
      <c r="AP86" s="418" t="s">
        <v>1288</v>
      </c>
      <c r="AR86" s="412"/>
    </row>
    <row r="87" spans="1:45" ht="24" customHeight="1">
      <c r="A87" s="424">
        <f t="shared" si="12"/>
        <v>75</v>
      </c>
      <c r="B87" s="412" t="s">
        <v>1643</v>
      </c>
      <c r="C87" s="414" t="e">
        <f t="shared" si="21"/>
        <v>#REF!</v>
      </c>
      <c r="D87" s="412" t="s">
        <v>702</v>
      </c>
      <c r="K87" s="418" t="s">
        <v>1288</v>
      </c>
      <c r="O87" s="412" t="s">
        <v>492</v>
      </c>
      <c r="R87" s="414" t="e">
        <f>SUM(R79:R85)</f>
        <v>#REF!</v>
      </c>
      <c r="W87" s="413"/>
      <c r="X87" s="418" t="s">
        <v>1288</v>
      </c>
      <c r="AE87" s="414">
        <f t="shared" si="14"/>
        <v>0</v>
      </c>
      <c r="AG87" s="412"/>
      <c r="AH87" s="414">
        <f t="shared" si="20"/>
        <v>0</v>
      </c>
      <c r="AI87" s="414">
        <f t="shared" si="17"/>
        <v>0</v>
      </c>
      <c r="AJ87" s="414">
        <f t="shared" si="18"/>
        <v>0</v>
      </c>
      <c r="AK87" s="414">
        <f t="shared" si="19"/>
        <v>0</v>
      </c>
      <c r="AN87" s="414">
        <f>AN63</f>
        <v>1300</v>
      </c>
      <c r="AO87" s="414" t="s">
        <v>1159</v>
      </c>
      <c r="AP87" s="414" t="str">
        <f>AP61</f>
        <v>Bricks of size 23x11x7 cm</v>
      </c>
      <c r="AQ87" s="414" t="e">
        <f>AC45</f>
        <v>#REF!</v>
      </c>
      <c r="AR87" s="412" t="s">
        <v>1296</v>
      </c>
      <c r="AS87" s="414" t="e">
        <f>AQ87*AN87/1000</f>
        <v>#REF!</v>
      </c>
    </row>
    <row r="88" spans="1:45" ht="36" customHeight="1">
      <c r="A88" s="424">
        <f t="shared" si="12"/>
        <v>76</v>
      </c>
      <c r="B88" s="412" t="s">
        <v>1644</v>
      </c>
      <c r="C88" s="414" t="e">
        <f t="shared" si="21"/>
        <v>#REF!</v>
      </c>
      <c r="D88" s="412" t="s">
        <v>702</v>
      </c>
      <c r="H88" s="415" t="s">
        <v>1673</v>
      </c>
      <c r="I88" s="417" t="s">
        <v>1135</v>
      </c>
      <c r="J88" s="415"/>
      <c r="K88" s="417">
        <f>(K86/10)</f>
        <v>237.08</v>
      </c>
      <c r="R88" s="418" t="s">
        <v>1288</v>
      </c>
      <c r="U88" s="415" t="s">
        <v>1673</v>
      </c>
      <c r="V88" s="417" t="s">
        <v>1135</v>
      </c>
      <c r="W88" s="420"/>
      <c r="X88" s="417">
        <f>(X86/10)</f>
        <v>161.1</v>
      </c>
      <c r="AE88" s="414">
        <f t="shared" si="14"/>
        <v>0</v>
      </c>
      <c r="AG88" s="412"/>
      <c r="AH88" s="414">
        <f t="shared" si="20"/>
        <v>0</v>
      </c>
      <c r="AI88" s="414">
        <f t="shared" si="17"/>
        <v>0</v>
      </c>
      <c r="AJ88" s="414">
        <f t="shared" si="18"/>
        <v>0</v>
      </c>
      <c r="AK88" s="414">
        <f t="shared" si="19"/>
        <v>0</v>
      </c>
      <c r="AN88" s="416">
        <f>AN64</f>
        <v>0.70799999999999996</v>
      </c>
      <c r="AO88" s="414" t="s">
        <v>702</v>
      </c>
      <c r="AP88" s="412" t="s">
        <v>1329</v>
      </c>
      <c r="AQ88" s="414" t="e">
        <f>K58</f>
        <v>#REF!</v>
      </c>
      <c r="AR88" s="412" t="s">
        <v>702</v>
      </c>
      <c r="AS88" s="414" t="e">
        <f>AQ88*AN88</f>
        <v>#REF!</v>
      </c>
    </row>
    <row r="89" spans="1:45" ht="19.5" customHeight="1">
      <c r="A89" s="424">
        <f t="shared" si="12"/>
        <v>77</v>
      </c>
      <c r="B89" s="412" t="s">
        <v>231</v>
      </c>
      <c r="C89" s="414" t="e">
        <f t="shared" si="21"/>
        <v>#REF!</v>
      </c>
      <c r="D89" s="412" t="s">
        <v>702</v>
      </c>
      <c r="I89" s="417" t="s">
        <v>1108</v>
      </c>
      <c r="J89" s="415"/>
      <c r="K89" s="419">
        <f>ROUND(K88+C36,2)</f>
        <v>247.63</v>
      </c>
      <c r="L89" s="414">
        <f>K89+C36</f>
        <v>258.18</v>
      </c>
      <c r="M89" s="414">
        <f>L89+C36</f>
        <v>268.73</v>
      </c>
      <c r="O89" s="412" t="s">
        <v>621</v>
      </c>
      <c r="R89" s="414" t="e">
        <f>(R87/10)</f>
        <v>#REF!</v>
      </c>
      <c r="V89" s="417" t="s">
        <v>1108</v>
      </c>
      <c r="W89" s="420"/>
      <c r="X89" s="419">
        <f>ROUND(X88+C36,2)</f>
        <v>171.65</v>
      </c>
      <c r="AE89" s="414">
        <f t="shared" si="14"/>
        <v>0</v>
      </c>
      <c r="AG89" s="412"/>
      <c r="AH89" s="414">
        <f t="shared" si="20"/>
        <v>0</v>
      </c>
      <c r="AI89" s="414">
        <f t="shared" si="17"/>
        <v>0</v>
      </c>
      <c r="AJ89" s="414">
        <f t="shared" si="18"/>
        <v>0</v>
      </c>
      <c r="AK89" s="414">
        <f t="shared" si="19"/>
        <v>0</v>
      </c>
      <c r="AN89" s="414">
        <v>1</v>
      </c>
      <c r="AO89" s="414" t="s">
        <v>701</v>
      </c>
      <c r="AP89" s="412" t="s">
        <v>1637</v>
      </c>
      <c r="AQ89" s="414">
        <f>AQ65</f>
        <v>999</v>
      </c>
      <c r="AR89" s="412" t="s">
        <v>701</v>
      </c>
      <c r="AS89" s="414">
        <f>AQ89*AN89</f>
        <v>999</v>
      </c>
    </row>
    <row r="90" spans="1:45" ht="36" customHeight="1">
      <c r="A90" s="424">
        <f t="shared" si="12"/>
        <v>78</v>
      </c>
      <c r="B90" s="412" t="s">
        <v>232</v>
      </c>
      <c r="C90" s="414" t="e">
        <f>AC28</f>
        <v>#REF!</v>
      </c>
      <c r="D90" s="412" t="s">
        <v>702</v>
      </c>
      <c r="F90" s="425" t="s">
        <v>1239</v>
      </c>
      <c r="H90" s="435" t="s">
        <v>1581</v>
      </c>
      <c r="I90" s="417" t="s">
        <v>1135</v>
      </c>
      <c r="J90" s="415"/>
      <c r="K90" s="417">
        <f>K88-K83/10</f>
        <v>224.1</v>
      </c>
      <c r="R90" s="418" t="s">
        <v>1676</v>
      </c>
      <c r="S90" s="432" t="s">
        <v>1239</v>
      </c>
      <c r="U90" s="435" t="s">
        <v>128</v>
      </c>
      <c r="V90" s="417" t="s">
        <v>1135</v>
      </c>
      <c r="W90" s="420"/>
      <c r="X90" s="417">
        <f>X88-X83/10</f>
        <v>149.69999999999999</v>
      </c>
      <c r="AE90" s="414">
        <f t="shared" si="14"/>
        <v>0</v>
      </c>
      <c r="AG90" s="412"/>
      <c r="AH90" s="414">
        <f t="shared" si="20"/>
        <v>0</v>
      </c>
      <c r="AI90" s="414">
        <f t="shared" si="17"/>
        <v>0</v>
      </c>
      <c r="AJ90" s="414">
        <f t="shared" si="18"/>
        <v>0</v>
      </c>
      <c r="AK90" s="414">
        <f t="shared" si="19"/>
        <v>0</v>
      </c>
      <c r="AN90" s="414">
        <v>3</v>
      </c>
      <c r="AO90" s="414" t="s">
        <v>701</v>
      </c>
      <c r="AP90" s="412" t="s">
        <v>1392</v>
      </c>
      <c r="AQ90" s="414">
        <f>AQ66</f>
        <v>932</v>
      </c>
      <c r="AR90" s="412" t="s">
        <v>701</v>
      </c>
      <c r="AS90" s="414">
        <f>AQ90*AN90</f>
        <v>2796</v>
      </c>
    </row>
    <row r="91" spans="1:45" ht="24" customHeight="1">
      <c r="A91" s="424">
        <f t="shared" si="12"/>
        <v>79</v>
      </c>
      <c r="B91" s="412" t="s">
        <v>1258</v>
      </c>
      <c r="C91" s="414" t="e">
        <f t="shared" si="21"/>
        <v>#REF!</v>
      </c>
      <c r="D91" s="412" t="s">
        <v>1207</v>
      </c>
      <c r="I91" s="417" t="s">
        <v>1108</v>
      </c>
      <c r="J91" s="415"/>
      <c r="K91" s="419">
        <f>ROUND(K90+C36,2)</f>
        <v>234.65</v>
      </c>
      <c r="V91" s="417" t="s">
        <v>1108</v>
      </c>
      <c r="W91" s="420"/>
      <c r="X91" s="419">
        <f>ROUND(X90+C36,2)</f>
        <v>160.25</v>
      </c>
      <c r="AE91" s="414">
        <f t="shared" si="14"/>
        <v>0</v>
      </c>
      <c r="AG91" s="412"/>
      <c r="AH91" s="414">
        <f t="shared" si="20"/>
        <v>0</v>
      </c>
      <c r="AI91" s="414">
        <f t="shared" si="17"/>
        <v>0</v>
      </c>
      <c r="AJ91" s="414">
        <f t="shared" si="18"/>
        <v>0</v>
      </c>
      <c r="AK91" s="414">
        <f t="shared" si="19"/>
        <v>0</v>
      </c>
      <c r="AN91" s="414">
        <v>2</v>
      </c>
      <c r="AO91" s="414" t="s">
        <v>701</v>
      </c>
      <c r="AP91" s="412" t="s">
        <v>1550</v>
      </c>
      <c r="AQ91" s="414">
        <f>AQ67</f>
        <v>651</v>
      </c>
      <c r="AR91" s="412" t="s">
        <v>701</v>
      </c>
      <c r="AS91" s="414">
        <f>AQ91*AN91</f>
        <v>1302</v>
      </c>
    </row>
    <row r="92" spans="1:45" ht="24" customHeight="1">
      <c r="F92" s="425" t="s">
        <v>1704</v>
      </c>
      <c r="G92" s="414" t="s">
        <v>790</v>
      </c>
      <c r="H92" s="412" t="s">
        <v>4291</v>
      </c>
      <c r="S92" s="432"/>
      <c r="U92" s="412"/>
      <c r="W92" s="413"/>
      <c r="AE92" s="414">
        <f t="shared" si="14"/>
        <v>0</v>
      </c>
      <c r="AH92" s="414">
        <f t="shared" si="20"/>
        <v>0</v>
      </c>
      <c r="AI92" s="414">
        <f t="shared" si="17"/>
        <v>0</v>
      </c>
      <c r="AJ92" s="414">
        <f t="shared" si="18"/>
        <v>0</v>
      </c>
      <c r="AK92" s="414">
        <f t="shared" si="19"/>
        <v>0</v>
      </c>
      <c r="AN92" s="414">
        <v>6</v>
      </c>
      <c r="AO92" s="414" t="s">
        <v>701</v>
      </c>
      <c r="AP92" s="412" t="s">
        <v>245</v>
      </c>
      <c r="AQ92" s="414">
        <f>AQ68</f>
        <v>534</v>
      </c>
      <c r="AR92" s="412" t="s">
        <v>701</v>
      </c>
      <c r="AS92" s="414">
        <f>AQ92*AN92</f>
        <v>3204</v>
      </c>
    </row>
    <row r="93" spans="1:45" ht="24" customHeight="1">
      <c r="F93" s="433" t="s">
        <v>790</v>
      </c>
      <c r="H93" s="418" t="s">
        <v>1288</v>
      </c>
      <c r="M93" s="414" t="s">
        <v>2021</v>
      </c>
      <c r="S93" s="434"/>
      <c r="U93" s="418"/>
      <c r="W93" s="413"/>
      <c r="AE93" s="414">
        <f t="shared" si="14"/>
        <v>0</v>
      </c>
      <c r="AH93" s="414">
        <f t="shared" si="20"/>
        <v>0</v>
      </c>
      <c r="AI93" s="414">
        <f t="shared" si="17"/>
        <v>0</v>
      </c>
      <c r="AJ93" s="414">
        <f t="shared" si="18"/>
        <v>0</v>
      </c>
      <c r="AK93" s="414">
        <f t="shared" si="19"/>
        <v>0</v>
      </c>
      <c r="AO93" s="414" t="s">
        <v>358</v>
      </c>
      <c r="AP93" s="412" t="s">
        <v>359</v>
      </c>
      <c r="AR93" s="412" t="s">
        <v>358</v>
      </c>
      <c r="AS93" s="414">
        <v>0</v>
      </c>
    </row>
    <row r="94" spans="1:45" ht="24" customHeight="1">
      <c r="F94" s="414">
        <v>10</v>
      </c>
      <c r="G94" s="414" t="s">
        <v>702</v>
      </c>
      <c r="H94" s="412" t="s">
        <v>302</v>
      </c>
      <c r="I94" s="414">
        <f>D61</f>
        <v>166.9</v>
      </c>
      <c r="J94" s="412" t="s">
        <v>702</v>
      </c>
      <c r="K94" s="414">
        <f>(F94*I94)</f>
        <v>1669</v>
      </c>
      <c r="M94" s="414">
        <f>AE39</f>
        <v>74.849999999999994</v>
      </c>
      <c r="U94" s="412"/>
      <c r="W94" s="413"/>
      <c r="AE94" s="414">
        <f t="shared" si="14"/>
        <v>0</v>
      </c>
      <c r="AH94" s="414">
        <f t="shared" si="20"/>
        <v>0</v>
      </c>
      <c r="AI94" s="414">
        <f t="shared" si="17"/>
        <v>0</v>
      </c>
      <c r="AJ94" s="414">
        <f t="shared" si="18"/>
        <v>0</v>
      </c>
      <c r="AK94" s="414">
        <f t="shared" si="19"/>
        <v>0</v>
      </c>
      <c r="AR94" s="412"/>
      <c r="AS94" s="418" t="s">
        <v>1288</v>
      </c>
    </row>
    <row r="95" spans="1:45" ht="24" customHeight="1">
      <c r="F95" s="414">
        <v>10</v>
      </c>
      <c r="G95" s="414" t="s">
        <v>702</v>
      </c>
      <c r="H95" s="412" t="s">
        <v>1639</v>
      </c>
      <c r="I95" s="414">
        <f>D61</f>
        <v>166.9</v>
      </c>
      <c r="J95" s="412" t="s">
        <v>702</v>
      </c>
      <c r="K95" s="414">
        <f>(F95*I95)</f>
        <v>1669</v>
      </c>
      <c r="M95" s="414">
        <f>M94</f>
        <v>74.849999999999994</v>
      </c>
      <c r="U95" s="412"/>
      <c r="W95" s="413"/>
      <c r="AE95" s="414">
        <f t="shared" si="14"/>
        <v>0</v>
      </c>
      <c r="AH95" s="414">
        <f t="shared" si="20"/>
        <v>0</v>
      </c>
      <c r="AI95" s="414">
        <f t="shared" si="17"/>
        <v>0</v>
      </c>
      <c r="AJ95" s="414">
        <f t="shared" si="18"/>
        <v>0</v>
      </c>
      <c r="AK95" s="414">
        <f t="shared" si="19"/>
        <v>0</v>
      </c>
      <c r="AP95" s="412" t="s">
        <v>492</v>
      </c>
      <c r="AR95" s="412"/>
      <c r="AS95" s="414" t="e">
        <f>SUM(AS87:AS93)</f>
        <v>#REF!</v>
      </c>
    </row>
    <row r="96" spans="1:45" ht="24" customHeight="1">
      <c r="F96" s="414">
        <v>10</v>
      </c>
      <c r="G96" s="414" t="s">
        <v>702</v>
      </c>
      <c r="H96" s="412" t="s">
        <v>1641</v>
      </c>
      <c r="I96" s="414">
        <f>I83</f>
        <v>12.98</v>
      </c>
      <c r="J96" s="412" t="s">
        <v>702</v>
      </c>
      <c r="K96" s="414">
        <f>(F96*I96)</f>
        <v>129.80000000000001</v>
      </c>
      <c r="M96" s="414">
        <f>I96</f>
        <v>12.98</v>
      </c>
      <c r="U96" s="412"/>
      <c r="W96" s="413"/>
      <c r="AE96" s="414">
        <f t="shared" si="14"/>
        <v>0</v>
      </c>
      <c r="AH96" s="414">
        <f t="shared" si="20"/>
        <v>0</v>
      </c>
      <c r="AI96" s="414">
        <f t="shared" si="17"/>
        <v>0</v>
      </c>
      <c r="AJ96" s="414">
        <f t="shared" si="18"/>
        <v>0</v>
      </c>
      <c r="AK96" s="414">
        <f t="shared" si="19"/>
        <v>0</v>
      </c>
      <c r="AR96" s="412"/>
      <c r="AS96" s="418" t="s">
        <v>1288</v>
      </c>
    </row>
    <row r="97" spans="6:48" ht="24" customHeight="1">
      <c r="G97" s="414" t="s">
        <v>358</v>
      </c>
      <c r="H97" s="412" t="s">
        <v>359</v>
      </c>
      <c r="J97" s="412" t="s">
        <v>358</v>
      </c>
      <c r="K97" s="414">
        <v>0</v>
      </c>
      <c r="M97" s="414">
        <f>SUM(M94:M96)</f>
        <v>162.68</v>
      </c>
      <c r="U97" s="412"/>
      <c r="W97" s="413"/>
      <c r="AE97" s="414">
        <f t="shared" si="14"/>
        <v>0</v>
      </c>
      <c r="AH97" s="414">
        <f t="shared" si="20"/>
        <v>0</v>
      </c>
      <c r="AI97" s="414">
        <f t="shared" si="17"/>
        <v>0</v>
      </c>
      <c r="AJ97" s="414">
        <f t="shared" si="18"/>
        <v>0</v>
      </c>
      <c r="AK97" s="414">
        <f t="shared" si="19"/>
        <v>0</v>
      </c>
      <c r="AP97" s="413" t="s">
        <v>621</v>
      </c>
      <c r="AR97" s="412"/>
      <c r="AS97" s="414" t="e">
        <f>(AS95/2.83168)</f>
        <v>#REF!</v>
      </c>
    </row>
    <row r="98" spans="6:48" ht="24" customHeight="1">
      <c r="K98" s="418" t="s">
        <v>1288</v>
      </c>
      <c r="W98" s="413"/>
      <c r="X98" s="418"/>
      <c r="AE98" s="414">
        <f t="shared" si="14"/>
        <v>0</v>
      </c>
      <c r="AH98" s="414">
        <f t="shared" si="20"/>
        <v>0</v>
      </c>
      <c r="AI98" s="414">
        <f t="shared" si="17"/>
        <v>0</v>
      </c>
      <c r="AJ98" s="414">
        <f t="shared" si="18"/>
        <v>0</v>
      </c>
      <c r="AK98" s="414">
        <f t="shared" si="19"/>
        <v>0</v>
      </c>
      <c r="AR98" s="412"/>
      <c r="AS98" s="418" t="s">
        <v>1676</v>
      </c>
    </row>
    <row r="99" spans="6:48" ht="24" customHeight="1">
      <c r="H99" s="412" t="s">
        <v>492</v>
      </c>
      <c r="K99" s="414">
        <f>SUM(K94:K97)</f>
        <v>3467.8</v>
      </c>
      <c r="U99" s="412"/>
      <c r="W99" s="413"/>
      <c r="AE99" s="414">
        <f t="shared" si="14"/>
        <v>0</v>
      </c>
      <c r="AH99" s="414">
        <f t="shared" ref="AH99:AH123" si="22">AF99*1.2</f>
        <v>0</v>
      </c>
      <c r="AP99" s="412" t="s">
        <v>307</v>
      </c>
      <c r="AR99" s="412"/>
      <c r="AS99" s="417" t="e">
        <f>AS97+C19</f>
        <v>#REF!</v>
      </c>
      <c r="AU99" s="414" t="e">
        <f>AS99*22.69/100</f>
        <v>#REF!</v>
      </c>
      <c r="AV99" s="414" t="e">
        <f>AS99-AU99</f>
        <v>#REF!</v>
      </c>
    </row>
    <row r="100" spans="6:48" ht="24" customHeight="1">
      <c r="K100" s="418" t="s">
        <v>1288</v>
      </c>
      <c r="W100" s="413"/>
      <c r="X100" s="418"/>
      <c r="AE100" s="414">
        <f t="shared" si="14"/>
        <v>0</v>
      </c>
      <c r="AH100" s="414">
        <f t="shared" si="22"/>
        <v>0</v>
      </c>
      <c r="AP100" s="412" t="s">
        <v>309</v>
      </c>
      <c r="AR100" s="412"/>
      <c r="AS100" s="417" t="e">
        <f>(AS99+C20)</f>
        <v>#REF!</v>
      </c>
      <c r="AU100" s="414" t="e">
        <f t="shared" ref="AU100:AU163" si="23">AS100*22.69/100</f>
        <v>#REF!</v>
      </c>
      <c r="AV100" s="414" t="e">
        <f t="shared" ref="AV100:AV163" si="24">AS100-AU100</f>
        <v>#REF!</v>
      </c>
    </row>
    <row r="101" spans="6:48" ht="24" customHeight="1">
      <c r="H101" s="415" t="s">
        <v>1673</v>
      </c>
      <c r="I101" s="417" t="s">
        <v>1135</v>
      </c>
      <c r="J101" s="415"/>
      <c r="K101" s="417">
        <f>(K99/10)</f>
        <v>346.78</v>
      </c>
      <c r="M101" s="414">
        <f>SUM(M94:M95)</f>
        <v>149.69999999999999</v>
      </c>
      <c r="U101" s="415"/>
      <c r="V101" s="417"/>
      <c r="W101" s="420"/>
      <c r="X101" s="417"/>
      <c r="AE101" s="414">
        <f t="shared" si="14"/>
        <v>0</v>
      </c>
      <c r="AH101" s="414">
        <f t="shared" si="22"/>
        <v>0</v>
      </c>
      <c r="AP101" s="412" t="s">
        <v>1818</v>
      </c>
      <c r="AR101" s="412"/>
      <c r="AS101" s="417" t="e">
        <f>(AS100+C20)</f>
        <v>#REF!</v>
      </c>
      <c r="AU101" s="414" t="e">
        <f t="shared" si="23"/>
        <v>#REF!</v>
      </c>
      <c r="AV101" s="414" t="e">
        <f t="shared" si="24"/>
        <v>#REF!</v>
      </c>
    </row>
    <row r="102" spans="6:48" ht="24" customHeight="1">
      <c r="I102" s="417" t="s">
        <v>1108</v>
      </c>
      <c r="J102" s="415"/>
      <c r="K102" s="419">
        <f>ROUND(K101+C36,2)</f>
        <v>357.33</v>
      </c>
      <c r="V102" s="417"/>
      <c r="W102" s="420"/>
      <c r="X102" s="419"/>
      <c r="AE102" s="414">
        <f t="shared" si="14"/>
        <v>0</v>
      </c>
      <c r="AH102" s="414">
        <f t="shared" si="22"/>
        <v>0</v>
      </c>
      <c r="AP102" s="412" t="s">
        <v>301</v>
      </c>
      <c r="AR102" s="412"/>
      <c r="AS102" s="417" t="e">
        <f>(AS101+C20)</f>
        <v>#REF!</v>
      </c>
      <c r="AU102" s="414" t="e">
        <f t="shared" si="23"/>
        <v>#REF!</v>
      </c>
      <c r="AV102" s="414" t="e">
        <f t="shared" si="24"/>
        <v>#REF!</v>
      </c>
    </row>
    <row r="103" spans="6:48" ht="24" customHeight="1">
      <c r="I103" s="417"/>
      <c r="J103" s="415"/>
      <c r="K103" s="436"/>
      <c r="V103" s="417"/>
      <c r="W103" s="420"/>
      <c r="X103" s="436"/>
      <c r="AE103" s="414">
        <f t="shared" si="14"/>
        <v>0</v>
      </c>
      <c r="AH103" s="414">
        <f t="shared" si="22"/>
        <v>0</v>
      </c>
      <c r="AN103" s="412" t="s">
        <v>790</v>
      </c>
      <c r="AP103" s="412" t="s">
        <v>388</v>
      </c>
      <c r="AR103" s="412"/>
      <c r="AS103" s="417" t="e">
        <f>(AS102+C20)</f>
        <v>#REF!</v>
      </c>
      <c r="AU103" s="414" t="e">
        <f t="shared" si="23"/>
        <v>#REF!</v>
      </c>
      <c r="AV103" s="414" t="e">
        <f t="shared" si="24"/>
        <v>#REF!</v>
      </c>
    </row>
    <row r="104" spans="6:48" ht="30.75" customHeight="1">
      <c r="F104" s="427">
        <v>1.7</v>
      </c>
      <c r="H104" s="435" t="s">
        <v>527</v>
      </c>
      <c r="I104" s="417" t="s">
        <v>1135</v>
      </c>
      <c r="J104" s="415"/>
      <c r="K104" s="419">
        <f>ROUND(K101-K96/10,2)</f>
        <v>333.8</v>
      </c>
      <c r="S104" s="432"/>
      <c r="U104" s="435"/>
      <c r="V104" s="417"/>
      <c r="W104" s="420"/>
      <c r="X104" s="419"/>
      <c r="AE104" s="414">
        <f t="shared" si="14"/>
        <v>0</v>
      </c>
      <c r="AH104" s="414">
        <f t="shared" si="22"/>
        <v>0</v>
      </c>
      <c r="AN104" s="425">
        <v>27</v>
      </c>
      <c r="AO104" s="414" t="s">
        <v>1833</v>
      </c>
      <c r="AP104" s="412" t="s">
        <v>2276</v>
      </c>
      <c r="AR104" s="412"/>
      <c r="AS104" s="417" t="e">
        <f>(AS103+C21)</f>
        <v>#REF!</v>
      </c>
    </row>
    <row r="105" spans="6:48" ht="24" customHeight="1">
      <c r="I105" s="417" t="s">
        <v>1108</v>
      </c>
      <c r="J105" s="415"/>
      <c r="K105" s="419">
        <f>ROUND(K104+C36,2)</f>
        <v>344.35</v>
      </c>
      <c r="V105" s="417"/>
      <c r="W105" s="420"/>
      <c r="X105" s="419"/>
      <c r="AE105" s="414">
        <f t="shared" si="14"/>
        <v>0</v>
      </c>
      <c r="AH105" s="414">
        <f t="shared" si="22"/>
        <v>0</v>
      </c>
      <c r="AP105" s="412" t="str">
        <f>AP85</f>
        <v>Bricks of size 23x11x7 cm</v>
      </c>
      <c r="AR105" s="412"/>
    </row>
    <row r="106" spans="6:48" ht="24" customHeight="1">
      <c r="K106" s="418"/>
      <c r="W106" s="413"/>
      <c r="X106" s="418"/>
      <c r="AE106" s="414">
        <f t="shared" si="14"/>
        <v>0</v>
      </c>
      <c r="AH106" s="414">
        <f t="shared" si="22"/>
        <v>0</v>
      </c>
      <c r="AP106" s="418" t="s">
        <v>1288</v>
      </c>
      <c r="AR106" s="412"/>
    </row>
    <row r="107" spans="6:48" ht="24" hidden="1" customHeight="1">
      <c r="K107" s="418"/>
      <c r="W107" s="413"/>
      <c r="X107" s="418"/>
      <c r="AH107" s="414">
        <f t="shared" si="22"/>
        <v>0</v>
      </c>
      <c r="AN107" s="414">
        <v>1300</v>
      </c>
      <c r="AO107" s="414" t="s">
        <v>1159</v>
      </c>
      <c r="AP107" s="414" t="str">
        <f>AP61</f>
        <v>Bricks of size 23x11x7 cm</v>
      </c>
      <c r="AQ107" s="414" t="e">
        <f>AC45</f>
        <v>#REF!</v>
      </c>
      <c r="AR107" s="412" t="s">
        <v>1296</v>
      </c>
      <c r="AS107" s="414" t="e">
        <f>(AN107*AQ107)/1000</f>
        <v>#REF!</v>
      </c>
      <c r="AU107" s="414" t="e">
        <f t="shared" si="23"/>
        <v>#REF!</v>
      </c>
      <c r="AV107" s="414" t="e">
        <f t="shared" si="24"/>
        <v>#REF!</v>
      </c>
    </row>
    <row r="108" spans="6:48" ht="38.25" customHeight="1">
      <c r="F108" s="427">
        <v>1.4</v>
      </c>
      <c r="G108" s="414" t="s">
        <v>790</v>
      </c>
      <c r="H108" s="426" t="s">
        <v>4292</v>
      </c>
      <c r="S108" s="432">
        <v>1.4</v>
      </c>
      <c r="T108" s="414" t="s">
        <v>790</v>
      </c>
      <c r="U108" s="426" t="s">
        <v>4292</v>
      </c>
      <c r="W108" s="413"/>
      <c r="AH108" s="414">
        <f t="shared" si="22"/>
        <v>0</v>
      </c>
      <c r="AN108" s="416">
        <v>0.70799999999999996</v>
      </c>
      <c r="AO108" s="414" t="s">
        <v>702</v>
      </c>
      <c r="AP108" s="412" t="s">
        <v>1063</v>
      </c>
      <c r="AQ108" s="414" t="e">
        <f>K40</f>
        <v>#REF!</v>
      </c>
      <c r="AR108" s="412" t="s">
        <v>702</v>
      </c>
      <c r="AS108" s="414" t="e">
        <f>(AN108*AQ108)</f>
        <v>#REF!</v>
      </c>
      <c r="AU108" s="414" t="e">
        <f t="shared" si="23"/>
        <v>#REF!</v>
      </c>
      <c r="AV108" s="414" t="e">
        <f t="shared" si="24"/>
        <v>#REF!</v>
      </c>
    </row>
    <row r="109" spans="6:48" ht="24" hidden="1" customHeight="1">
      <c r="W109" s="413"/>
      <c r="AH109" s="414">
        <f t="shared" si="22"/>
        <v>0</v>
      </c>
      <c r="AN109" s="414">
        <v>1</v>
      </c>
      <c r="AO109" s="414" t="s">
        <v>701</v>
      </c>
      <c r="AP109" s="412" t="s">
        <v>1637</v>
      </c>
      <c r="AQ109" s="414">
        <f>AQ89</f>
        <v>999</v>
      </c>
      <c r="AR109" s="412" t="s">
        <v>701</v>
      </c>
      <c r="AS109" s="414">
        <f>(AN109*AQ109)</f>
        <v>999</v>
      </c>
      <c r="AU109" s="414">
        <f t="shared" si="23"/>
        <v>226.67</v>
      </c>
      <c r="AV109" s="414">
        <f t="shared" si="24"/>
        <v>772.33</v>
      </c>
    </row>
    <row r="110" spans="6:48" ht="24" customHeight="1">
      <c r="F110" s="414">
        <v>10</v>
      </c>
      <c r="G110" s="414" t="s">
        <v>702</v>
      </c>
      <c r="H110" s="412" t="s">
        <v>958</v>
      </c>
      <c r="I110" s="414">
        <f>C61</f>
        <v>112.05</v>
      </c>
      <c r="J110" s="412" t="s">
        <v>702</v>
      </c>
      <c r="K110" s="414">
        <f>(F110*I110)</f>
        <v>1120.5</v>
      </c>
      <c r="S110" s="416">
        <v>10</v>
      </c>
      <c r="T110" s="414" t="s">
        <v>702</v>
      </c>
      <c r="U110" s="412" t="s">
        <v>958</v>
      </c>
      <c r="V110" s="414">
        <f>V81</f>
        <v>74.849999999999994</v>
      </c>
      <c r="W110" s="413" t="s">
        <v>702</v>
      </c>
      <c r="X110" s="414">
        <f>(S110*V110)</f>
        <v>748.5</v>
      </c>
      <c r="AH110" s="414">
        <f t="shared" si="22"/>
        <v>0</v>
      </c>
      <c r="AN110" s="414">
        <v>3</v>
      </c>
      <c r="AO110" s="414" t="s">
        <v>701</v>
      </c>
      <c r="AP110" s="412" t="s">
        <v>1392</v>
      </c>
      <c r="AQ110" s="414">
        <f>AQ90</f>
        <v>932</v>
      </c>
      <c r="AR110" s="412" t="s">
        <v>701</v>
      </c>
      <c r="AS110" s="414">
        <f>(AN110*AQ110)</f>
        <v>2796</v>
      </c>
      <c r="AU110" s="414">
        <f t="shared" si="23"/>
        <v>634.41</v>
      </c>
      <c r="AV110" s="414">
        <f t="shared" si="24"/>
        <v>2161.59</v>
      </c>
    </row>
    <row r="111" spans="6:48" ht="24" customHeight="1">
      <c r="F111" s="414">
        <v>10</v>
      </c>
      <c r="G111" s="414" t="s">
        <v>702</v>
      </c>
      <c r="H111" s="412" t="s">
        <v>1641</v>
      </c>
      <c r="I111" s="414">
        <f>I83</f>
        <v>12.98</v>
      </c>
      <c r="J111" s="412" t="s">
        <v>702</v>
      </c>
      <c r="K111" s="414">
        <f>(F111*I111)</f>
        <v>129.80000000000001</v>
      </c>
      <c r="S111" s="416">
        <v>10</v>
      </c>
      <c r="T111" s="414" t="s">
        <v>702</v>
      </c>
      <c r="U111" s="412" t="s">
        <v>1641</v>
      </c>
      <c r="V111" s="414">
        <f>V83</f>
        <v>11.4</v>
      </c>
      <c r="W111" s="413" t="s">
        <v>702</v>
      </c>
      <c r="X111" s="414">
        <f>(S111*V111)</f>
        <v>114</v>
      </c>
      <c r="AH111" s="414">
        <f t="shared" si="22"/>
        <v>0</v>
      </c>
      <c r="AN111" s="414">
        <v>2</v>
      </c>
      <c r="AO111" s="414" t="s">
        <v>701</v>
      </c>
      <c r="AP111" s="412" t="s">
        <v>1550</v>
      </c>
      <c r="AQ111" s="414">
        <f>AQ91</f>
        <v>651</v>
      </c>
      <c r="AR111" s="412" t="s">
        <v>701</v>
      </c>
      <c r="AS111" s="414">
        <f>(AN111*AQ111)</f>
        <v>1302</v>
      </c>
      <c r="AU111" s="414">
        <f t="shared" si="23"/>
        <v>295.42</v>
      </c>
      <c r="AV111" s="414">
        <f t="shared" si="24"/>
        <v>1006.58</v>
      </c>
    </row>
    <row r="112" spans="6:48" ht="24" customHeight="1">
      <c r="G112" s="414" t="s">
        <v>358</v>
      </c>
      <c r="H112" s="412" t="s">
        <v>359</v>
      </c>
      <c r="J112" s="412" t="s">
        <v>358</v>
      </c>
      <c r="K112" s="414">
        <v>0</v>
      </c>
      <c r="T112" s="414" t="s">
        <v>358</v>
      </c>
      <c r="U112" s="412" t="s">
        <v>359</v>
      </c>
      <c r="W112" s="413" t="s">
        <v>358</v>
      </c>
      <c r="X112" s="414">
        <v>0</v>
      </c>
      <c r="AH112" s="414">
        <f t="shared" si="22"/>
        <v>0</v>
      </c>
      <c r="AN112" s="414">
        <v>6</v>
      </c>
      <c r="AO112" s="414" t="s">
        <v>701</v>
      </c>
      <c r="AP112" s="412" t="s">
        <v>245</v>
      </c>
      <c r="AQ112" s="414">
        <f>AQ92</f>
        <v>534</v>
      </c>
      <c r="AR112" s="412" t="s">
        <v>701</v>
      </c>
      <c r="AS112" s="414">
        <f>(AN112*AQ112)</f>
        <v>3204</v>
      </c>
      <c r="AU112" s="414">
        <f t="shared" si="23"/>
        <v>726.99</v>
      </c>
      <c r="AV112" s="414">
        <f t="shared" si="24"/>
        <v>2477.0100000000002</v>
      </c>
    </row>
    <row r="113" spans="6:48" ht="24" customHeight="1">
      <c r="K113" s="418" t="s">
        <v>1288</v>
      </c>
      <c r="W113" s="413"/>
      <c r="X113" s="418" t="s">
        <v>1288</v>
      </c>
      <c r="AH113" s="414">
        <f t="shared" si="22"/>
        <v>0</v>
      </c>
      <c r="AO113" s="414" t="s">
        <v>358</v>
      </c>
      <c r="AP113" s="412" t="s">
        <v>359</v>
      </c>
      <c r="AR113" s="412" t="s">
        <v>358</v>
      </c>
      <c r="AS113" s="414">
        <v>5</v>
      </c>
      <c r="AU113" s="414">
        <f t="shared" si="23"/>
        <v>1.1299999999999999</v>
      </c>
      <c r="AV113" s="414">
        <f t="shared" si="24"/>
        <v>3.87</v>
      </c>
    </row>
    <row r="114" spans="6:48" ht="24" customHeight="1">
      <c r="H114" s="412" t="s">
        <v>492</v>
      </c>
      <c r="K114" s="414">
        <f>SUM(K110:K112)</f>
        <v>1250.3</v>
      </c>
      <c r="U114" s="412" t="s">
        <v>492</v>
      </c>
      <c r="W114" s="413"/>
      <c r="X114" s="414">
        <f>SUM(X110:X112)</f>
        <v>862.5</v>
      </c>
      <c r="AH114" s="414">
        <f t="shared" si="22"/>
        <v>0</v>
      </c>
      <c r="AR114" s="412"/>
      <c r="AS114" s="418" t="s">
        <v>1288</v>
      </c>
      <c r="AU114" s="414">
        <f t="shared" si="23"/>
        <v>0</v>
      </c>
      <c r="AV114" s="414">
        <f t="shared" si="24"/>
        <v>0</v>
      </c>
    </row>
    <row r="115" spans="6:48" ht="24" customHeight="1">
      <c r="K115" s="418" t="s">
        <v>1288</v>
      </c>
      <c r="W115" s="413"/>
      <c r="X115" s="418" t="s">
        <v>1288</v>
      </c>
      <c r="AH115" s="414">
        <f t="shared" si="22"/>
        <v>0</v>
      </c>
      <c r="AP115" s="412" t="s">
        <v>492</v>
      </c>
      <c r="AR115" s="412"/>
      <c r="AS115" s="414" t="e">
        <f>SUM(AS107:AS113)</f>
        <v>#REF!</v>
      </c>
      <c r="AU115" s="414" t="e">
        <f t="shared" si="23"/>
        <v>#REF!</v>
      </c>
      <c r="AV115" s="414" t="e">
        <f t="shared" si="24"/>
        <v>#REF!</v>
      </c>
    </row>
    <row r="116" spans="6:48" ht="24" customHeight="1">
      <c r="H116" s="412"/>
      <c r="K116" s="417">
        <f>(K114/10)</f>
        <v>125.03</v>
      </c>
      <c r="L116" s="417">
        <f>K116+C36</f>
        <v>135.58000000000001</v>
      </c>
      <c r="M116" s="414">
        <f>M94</f>
        <v>74.849999999999994</v>
      </c>
      <c r="U116" s="412"/>
      <c r="W116" s="413"/>
      <c r="X116" s="417">
        <f>(X114/10)</f>
        <v>86.25</v>
      </c>
      <c r="AH116" s="414">
        <f t="shared" si="22"/>
        <v>0</v>
      </c>
      <c r="AR116" s="412"/>
      <c r="AS116" s="418" t="s">
        <v>1288</v>
      </c>
      <c r="AU116" s="414">
        <f t="shared" si="23"/>
        <v>0</v>
      </c>
      <c r="AV116" s="414">
        <f t="shared" si="24"/>
        <v>0</v>
      </c>
    </row>
    <row r="117" spans="6:48" ht="24" customHeight="1">
      <c r="K117" s="418"/>
      <c r="W117" s="413"/>
      <c r="X117" s="418"/>
      <c r="AH117" s="414">
        <f t="shared" si="22"/>
        <v>0</v>
      </c>
      <c r="AP117" s="412" t="s">
        <v>621</v>
      </c>
      <c r="AR117" s="412"/>
      <c r="AS117" s="417" t="e">
        <f>(AS115/2.83168)</f>
        <v>#REF!</v>
      </c>
      <c r="AU117" s="414" t="e">
        <f t="shared" si="23"/>
        <v>#REF!</v>
      </c>
      <c r="AV117" s="414" t="e">
        <f t="shared" si="24"/>
        <v>#REF!</v>
      </c>
    </row>
    <row r="118" spans="6:48" ht="24" customHeight="1">
      <c r="F118" s="427">
        <v>1.5</v>
      </c>
      <c r="H118" s="412" t="s">
        <v>1660</v>
      </c>
      <c r="I118" s="417" t="s">
        <v>1135</v>
      </c>
      <c r="K118" s="417">
        <f>K116-K111/10</f>
        <v>112.05</v>
      </c>
      <c r="S118" s="432">
        <v>1.5</v>
      </c>
      <c r="U118" s="412" t="s">
        <v>1660</v>
      </c>
      <c r="V118" s="417" t="s">
        <v>1135</v>
      </c>
      <c r="W118" s="413"/>
      <c r="X118" s="417">
        <f>X116-X111/10</f>
        <v>74.849999999999994</v>
      </c>
      <c r="AH118" s="414">
        <f t="shared" si="22"/>
        <v>0</v>
      </c>
      <c r="AR118" s="412"/>
      <c r="AS118" s="418" t="s">
        <v>1676</v>
      </c>
      <c r="AU118" s="414">
        <f t="shared" si="23"/>
        <v>0</v>
      </c>
      <c r="AV118" s="414">
        <f t="shared" si="24"/>
        <v>0</v>
      </c>
    </row>
    <row r="119" spans="6:48" ht="24" customHeight="1">
      <c r="I119" s="417" t="s">
        <v>1108</v>
      </c>
      <c r="K119" s="419">
        <f>ROUND(K118+C36,2)</f>
        <v>122.6</v>
      </c>
      <c r="V119" s="417" t="s">
        <v>1108</v>
      </c>
      <c r="W119" s="413"/>
      <c r="X119" s="419">
        <f>ROUND(X118+P36,2)</f>
        <v>74.849999999999994</v>
      </c>
      <c r="AH119" s="414">
        <f t="shared" si="22"/>
        <v>0</v>
      </c>
      <c r="AP119" s="412" t="s">
        <v>307</v>
      </c>
      <c r="AR119" s="412"/>
      <c r="AS119" s="414" t="e">
        <f>(AS117+C19)</f>
        <v>#REF!</v>
      </c>
      <c r="AT119" s="414" t="e">
        <f>AS119-AS117</f>
        <v>#REF!</v>
      </c>
      <c r="AU119" s="414" t="e">
        <f t="shared" si="23"/>
        <v>#REF!</v>
      </c>
      <c r="AV119" s="414" t="e">
        <f t="shared" si="24"/>
        <v>#REF!</v>
      </c>
    </row>
    <row r="120" spans="6:48" ht="24" customHeight="1">
      <c r="I120" s="414" t="s">
        <v>2298</v>
      </c>
      <c r="K120" s="419">
        <f>ROUND(K119+C36,2)</f>
        <v>133.15</v>
      </c>
      <c r="W120" s="413"/>
      <c r="X120" s="418"/>
      <c r="AH120" s="414">
        <f t="shared" si="22"/>
        <v>0</v>
      </c>
      <c r="AP120" s="412" t="s">
        <v>309</v>
      </c>
      <c r="AR120" s="412"/>
      <c r="AS120" s="414" t="e">
        <f>(AS119+C20)</f>
        <v>#REF!</v>
      </c>
      <c r="AT120" s="414" t="e">
        <f>AS120-AS119</f>
        <v>#REF!</v>
      </c>
      <c r="AU120" s="414" t="e">
        <f t="shared" si="23"/>
        <v>#REF!</v>
      </c>
      <c r="AV120" s="414" t="e">
        <f t="shared" si="24"/>
        <v>#REF!</v>
      </c>
    </row>
    <row r="121" spans="6:48" ht="24" customHeight="1">
      <c r="I121" s="414" t="s">
        <v>2299</v>
      </c>
      <c r="K121" s="419">
        <f>ROUND(K120+C36,2)</f>
        <v>143.69999999999999</v>
      </c>
      <c r="W121" s="413"/>
      <c r="X121" s="418"/>
      <c r="AH121" s="414">
        <f t="shared" si="22"/>
        <v>0</v>
      </c>
      <c r="AP121" s="412" t="s">
        <v>1818</v>
      </c>
      <c r="AR121" s="412"/>
      <c r="AS121" s="414" t="e">
        <f>(AS120+C20)</f>
        <v>#REF!</v>
      </c>
      <c r="AU121" s="414" t="e">
        <f t="shared" si="23"/>
        <v>#REF!</v>
      </c>
      <c r="AV121" s="414" t="e">
        <f t="shared" si="24"/>
        <v>#REF!</v>
      </c>
    </row>
    <row r="122" spans="6:48" ht="37.9" customHeight="1">
      <c r="F122" s="427">
        <v>1.8</v>
      </c>
      <c r="H122" s="426" t="s">
        <v>3273</v>
      </c>
      <c r="K122" s="418"/>
      <c r="M122" s="413" t="s">
        <v>305</v>
      </c>
      <c r="N122" s="414" t="s">
        <v>1833</v>
      </c>
      <c r="O122" s="412" t="s">
        <v>306</v>
      </c>
      <c r="Q122" s="412"/>
      <c r="S122" s="432"/>
      <c r="U122" s="426"/>
      <c r="W122" s="413"/>
      <c r="X122" s="418"/>
      <c r="AH122" s="414">
        <f t="shared" si="22"/>
        <v>0</v>
      </c>
      <c r="AP122" s="412" t="s">
        <v>301</v>
      </c>
      <c r="AR122" s="412"/>
      <c r="AS122" s="414" t="e">
        <f>AS121+C20</f>
        <v>#REF!</v>
      </c>
      <c r="AU122" s="414" t="e">
        <f t="shared" si="23"/>
        <v>#REF!</v>
      </c>
      <c r="AV122" s="414" t="e">
        <f t="shared" si="24"/>
        <v>#REF!</v>
      </c>
    </row>
    <row r="123" spans="6:48" ht="24" customHeight="1">
      <c r="K123" s="418"/>
      <c r="O123" s="412" t="s">
        <v>4293</v>
      </c>
      <c r="Q123" s="412"/>
      <c r="W123" s="413"/>
      <c r="X123" s="418"/>
      <c r="AH123" s="414">
        <f t="shared" si="22"/>
        <v>0</v>
      </c>
      <c r="AP123" s="412" t="s">
        <v>388</v>
      </c>
      <c r="AR123" s="412"/>
      <c r="AS123" s="414" t="e">
        <f>AS122+C20</f>
        <v>#REF!</v>
      </c>
      <c r="AU123" s="414" t="e">
        <f t="shared" si="23"/>
        <v>#REF!</v>
      </c>
      <c r="AV123" s="414" t="e">
        <f t="shared" si="24"/>
        <v>#REF!</v>
      </c>
    </row>
    <row r="124" spans="6:48" ht="24" customHeight="1">
      <c r="F124" s="414">
        <v>10</v>
      </c>
      <c r="G124" s="414" t="s">
        <v>702</v>
      </c>
      <c r="H124" s="412" t="s">
        <v>302</v>
      </c>
      <c r="I124" s="414">
        <f>D61</f>
        <v>166.9</v>
      </c>
      <c r="J124" s="412" t="s">
        <v>702</v>
      </c>
      <c r="K124" s="414">
        <f>(F124*I124)</f>
        <v>1669</v>
      </c>
      <c r="O124" s="418" t="s">
        <v>1288</v>
      </c>
      <c r="Q124" s="412"/>
      <c r="U124" s="412"/>
      <c r="W124" s="413" t="s">
        <v>702</v>
      </c>
      <c r="AP124" s="412" t="s">
        <v>1486</v>
      </c>
      <c r="AR124" s="412"/>
      <c r="AS124" s="414" t="e">
        <f>(AS119+AS120+AS121+AS122)/4</f>
        <v>#REF!</v>
      </c>
      <c r="AU124" s="414" t="e">
        <f t="shared" si="23"/>
        <v>#REF!</v>
      </c>
      <c r="AV124" s="414" t="e">
        <f t="shared" si="24"/>
        <v>#REF!</v>
      </c>
    </row>
    <row r="125" spans="6:48" ht="24" customHeight="1">
      <c r="G125" s="414" t="s">
        <v>528</v>
      </c>
      <c r="J125" s="412" t="s">
        <v>528</v>
      </c>
      <c r="K125" s="414">
        <v>0</v>
      </c>
      <c r="M125" s="414">
        <v>1</v>
      </c>
      <c r="N125" s="414" t="s">
        <v>702</v>
      </c>
      <c r="O125" s="412" t="s">
        <v>1564</v>
      </c>
      <c r="P125" s="414" t="e">
        <f>AC39</f>
        <v>#REF!</v>
      </c>
      <c r="Q125" s="412" t="s">
        <v>702</v>
      </c>
      <c r="R125" s="414" t="e">
        <f>(M125*P125)</f>
        <v>#REF!</v>
      </c>
      <c r="W125" s="413" t="s">
        <v>528</v>
      </c>
    </row>
    <row r="126" spans="6:48" ht="24" customHeight="1">
      <c r="K126" s="418" t="s">
        <v>1288</v>
      </c>
      <c r="M126" s="414">
        <v>1</v>
      </c>
      <c r="N126" s="414" t="s">
        <v>702</v>
      </c>
      <c r="O126" s="412" t="s">
        <v>1101</v>
      </c>
      <c r="P126" s="414">
        <f>P141</f>
        <v>38.950000000000003</v>
      </c>
      <c r="Q126" s="412" t="s">
        <v>702</v>
      </c>
      <c r="R126" s="414">
        <f>(M126*P126)</f>
        <v>38.950000000000003</v>
      </c>
      <c r="W126" s="413"/>
      <c r="X126" s="418"/>
      <c r="AR126" s="412"/>
    </row>
    <row r="127" spans="6:48" ht="24" customHeight="1">
      <c r="H127" s="412" t="s">
        <v>492</v>
      </c>
      <c r="K127" s="414">
        <f>SUM(K124:K125)</f>
        <v>1669</v>
      </c>
      <c r="N127" s="414" t="s">
        <v>358</v>
      </c>
      <c r="O127" s="412" t="s">
        <v>359</v>
      </c>
      <c r="P127" s="412" t="s">
        <v>790</v>
      </c>
      <c r="Q127" s="412" t="s">
        <v>358</v>
      </c>
      <c r="R127" s="414">
        <v>0</v>
      </c>
      <c r="U127" s="412"/>
      <c r="W127" s="413"/>
      <c r="AP127" s="420" t="s">
        <v>1488</v>
      </c>
      <c r="AR127" s="412"/>
    </row>
    <row r="128" spans="6:48" ht="24" customHeight="1">
      <c r="K128" s="418" t="s">
        <v>1288</v>
      </c>
      <c r="Q128" s="412"/>
      <c r="R128" s="418" t="s">
        <v>1288</v>
      </c>
      <c r="W128" s="413"/>
      <c r="X128" s="418"/>
      <c r="AP128" s="418" t="s">
        <v>1288</v>
      </c>
      <c r="AR128" s="412"/>
    </row>
    <row r="129" spans="1:48" ht="38.25" customHeight="1">
      <c r="F129" s="427"/>
      <c r="H129" s="426" t="s">
        <v>4294</v>
      </c>
      <c r="I129" s="417" t="s">
        <v>1135</v>
      </c>
      <c r="K129" s="419">
        <f>ROUND(K127/10,2)</f>
        <v>166.9</v>
      </c>
      <c r="O129" s="412" t="s">
        <v>1233</v>
      </c>
      <c r="Q129" s="412"/>
      <c r="R129" s="414" t="e">
        <f>SUM(R125:R127)</f>
        <v>#REF!</v>
      </c>
      <c r="S129" s="432"/>
      <c r="U129" s="426"/>
      <c r="V129" s="417"/>
      <c r="W129" s="413"/>
      <c r="X129" s="419"/>
      <c r="AN129" s="425">
        <v>10</v>
      </c>
      <c r="AO129" s="414" t="s">
        <v>1833</v>
      </c>
      <c r="AP129" s="412" t="s">
        <v>2277</v>
      </c>
      <c r="AR129" s="412"/>
    </row>
    <row r="130" spans="1:48" ht="24" customHeight="1">
      <c r="I130" s="417" t="s">
        <v>1108</v>
      </c>
      <c r="K130" s="419">
        <f>ROUND(K129+C36,2)</f>
        <v>177.45</v>
      </c>
      <c r="V130" s="417"/>
      <c r="W130" s="413"/>
      <c r="X130" s="419"/>
      <c r="AP130" s="414" t="str">
        <f>AP61</f>
        <v>Bricks of size 23x11x7 cm</v>
      </c>
      <c r="AR130" s="412"/>
    </row>
    <row r="131" spans="1:48" ht="24" customHeight="1">
      <c r="I131" s="417"/>
      <c r="K131" s="418"/>
      <c r="V131" s="417"/>
      <c r="W131" s="413"/>
      <c r="X131" s="418"/>
      <c r="AP131" s="418" t="s">
        <v>1288</v>
      </c>
      <c r="AR131" s="412"/>
    </row>
    <row r="132" spans="1:48" ht="24" customHeight="1">
      <c r="F132" s="427">
        <v>1.6</v>
      </c>
      <c r="H132" s="412" t="s">
        <v>641</v>
      </c>
      <c r="I132" s="417"/>
      <c r="S132" s="432">
        <v>1.6</v>
      </c>
      <c r="U132" s="412" t="s">
        <v>641</v>
      </c>
      <c r="V132" s="417"/>
      <c r="W132" s="413"/>
      <c r="AN132" s="414">
        <f>AN63</f>
        <v>1300</v>
      </c>
      <c r="AO132" s="414" t="s">
        <v>1159</v>
      </c>
      <c r="AP132" s="414" t="str">
        <f>AP61</f>
        <v>Bricks of size 23x11x7 cm</v>
      </c>
      <c r="AQ132" s="414" t="e">
        <f>AC45</f>
        <v>#REF!</v>
      </c>
      <c r="AR132" s="412" t="s">
        <v>1296</v>
      </c>
      <c r="AS132" s="414" t="e">
        <f>(AN132*AQ132)/1000</f>
        <v>#REF!</v>
      </c>
      <c r="AU132" s="414" t="e">
        <f t="shared" si="23"/>
        <v>#REF!</v>
      </c>
      <c r="AV132" s="414" t="e">
        <f t="shared" si="24"/>
        <v>#REF!</v>
      </c>
    </row>
    <row r="133" spans="1:48" ht="24" customHeight="1">
      <c r="H133" s="412" t="s">
        <v>303</v>
      </c>
      <c r="I133" s="417" t="s">
        <v>1135</v>
      </c>
      <c r="K133" s="417">
        <f>C61*1.5</f>
        <v>168.08</v>
      </c>
      <c r="L133" s="417"/>
      <c r="M133" s="414">
        <f>M116*1.5</f>
        <v>112.28</v>
      </c>
      <c r="U133" s="412" t="s">
        <v>303</v>
      </c>
      <c r="V133" s="417" t="s">
        <v>1135</v>
      </c>
      <c r="W133" s="413"/>
      <c r="X133" s="417">
        <f>V81*1.5</f>
        <v>112.28</v>
      </c>
      <c r="AN133" s="416">
        <v>0.70799999999999996</v>
      </c>
      <c r="AO133" s="414" t="s">
        <v>702</v>
      </c>
      <c r="AP133" s="412" t="s">
        <v>1063</v>
      </c>
      <c r="AQ133" s="414" t="e">
        <f>K40</f>
        <v>#REF!</v>
      </c>
      <c r="AR133" s="412" t="s">
        <v>702</v>
      </c>
      <c r="AS133" s="414" t="e">
        <f>(AN133*AQ133)</f>
        <v>#REF!</v>
      </c>
      <c r="AU133" s="414" t="e">
        <f t="shared" si="23"/>
        <v>#REF!</v>
      </c>
      <c r="AV133" s="414" t="e">
        <f t="shared" si="24"/>
        <v>#REF!</v>
      </c>
    </row>
    <row r="134" spans="1:48" ht="24" customHeight="1">
      <c r="F134" s="412" t="s">
        <v>790</v>
      </c>
      <c r="H134" s="412" t="s">
        <v>304</v>
      </c>
      <c r="I134" s="417" t="s">
        <v>1108</v>
      </c>
      <c r="K134" s="419">
        <f>ROUND(K133+C36,2)</f>
        <v>178.63</v>
      </c>
      <c r="S134" s="434" t="s">
        <v>790</v>
      </c>
      <c r="U134" s="412" t="s">
        <v>304</v>
      </c>
      <c r="V134" s="417" t="s">
        <v>1108</v>
      </c>
      <c r="W134" s="413"/>
      <c r="X134" s="419">
        <f>ROUND(X133+C36,2)</f>
        <v>122.83</v>
      </c>
      <c r="AN134" s="414">
        <v>1</v>
      </c>
      <c r="AO134" s="414" t="s">
        <v>701</v>
      </c>
      <c r="AP134" s="412" t="s">
        <v>1637</v>
      </c>
      <c r="AQ134" s="414">
        <f>AQ109</f>
        <v>999</v>
      </c>
      <c r="AR134" s="412" t="s">
        <v>701</v>
      </c>
      <c r="AS134" s="414">
        <f>(AN134*AQ134)</f>
        <v>999</v>
      </c>
      <c r="AU134" s="414">
        <f t="shared" si="23"/>
        <v>226.67</v>
      </c>
      <c r="AV134" s="414">
        <f t="shared" si="24"/>
        <v>772.33</v>
      </c>
    </row>
    <row r="135" spans="1:48" ht="24" customHeight="1">
      <c r="K135" s="418" t="s">
        <v>1676</v>
      </c>
      <c r="W135" s="413"/>
      <c r="X135" s="418" t="s">
        <v>1676</v>
      </c>
      <c r="AN135" s="414">
        <v>3</v>
      </c>
      <c r="AO135" s="414" t="s">
        <v>701</v>
      </c>
      <c r="AP135" s="412" t="s">
        <v>1392</v>
      </c>
      <c r="AQ135" s="414">
        <f>AQ110</f>
        <v>932</v>
      </c>
      <c r="AR135" s="412" t="s">
        <v>701</v>
      </c>
      <c r="AS135" s="414">
        <f>(AN135*AQ135)</f>
        <v>2796</v>
      </c>
      <c r="AU135" s="414">
        <f t="shared" si="23"/>
        <v>634.41</v>
      </c>
      <c r="AV135" s="414">
        <f t="shared" si="24"/>
        <v>2161.59</v>
      </c>
    </row>
    <row r="136" spans="1:48" ht="24" customHeight="1">
      <c r="H136" s="415" t="s">
        <v>2260</v>
      </c>
      <c r="I136" s="417" t="s">
        <v>1135</v>
      </c>
      <c r="K136" s="417">
        <f>C61*1.25</f>
        <v>140.06</v>
      </c>
      <c r="U136" s="415" t="s">
        <v>1124</v>
      </c>
      <c r="V136" s="417" t="s">
        <v>1135</v>
      </c>
      <c r="W136" s="413"/>
      <c r="X136" s="417">
        <f>V81*1.25</f>
        <v>93.56</v>
      </c>
      <c r="AN136" s="414">
        <v>2</v>
      </c>
      <c r="AO136" s="414" t="s">
        <v>701</v>
      </c>
      <c r="AP136" s="412" t="s">
        <v>1550</v>
      </c>
      <c r="AQ136" s="414">
        <f>AQ111</f>
        <v>651</v>
      </c>
      <c r="AR136" s="412" t="s">
        <v>701</v>
      </c>
      <c r="AS136" s="414">
        <f>(AN136*AQ136)</f>
        <v>1302</v>
      </c>
      <c r="AU136" s="414">
        <f t="shared" si="23"/>
        <v>295.42</v>
      </c>
      <c r="AV136" s="414">
        <f t="shared" si="24"/>
        <v>1006.58</v>
      </c>
    </row>
    <row r="137" spans="1:48" ht="24" customHeight="1">
      <c r="A137" s="424">
        <f>(A91+1)</f>
        <v>80</v>
      </c>
      <c r="B137" s="412" t="s">
        <v>1255</v>
      </c>
      <c r="C137" s="414">
        <f>AC30</f>
        <v>11907</v>
      </c>
      <c r="D137" s="414">
        <v>13.87</v>
      </c>
      <c r="E137" s="412" t="s">
        <v>790</v>
      </c>
      <c r="F137" s="413" t="s">
        <v>305</v>
      </c>
      <c r="G137" s="414" t="s">
        <v>1833</v>
      </c>
      <c r="H137" s="412" t="s">
        <v>306</v>
      </c>
      <c r="M137" s="413" t="s">
        <v>305</v>
      </c>
      <c r="N137" s="414" t="s">
        <v>1833</v>
      </c>
      <c r="O137" s="412" t="s">
        <v>306</v>
      </c>
      <c r="Q137" s="412"/>
      <c r="W137" s="413"/>
      <c r="AG137" s="412"/>
      <c r="AN137" s="414">
        <v>6</v>
      </c>
      <c r="AO137" s="414" t="s">
        <v>701</v>
      </c>
      <c r="AP137" s="412" t="s">
        <v>245</v>
      </c>
      <c r="AQ137" s="414">
        <f>AQ112</f>
        <v>534</v>
      </c>
      <c r="AR137" s="412" t="s">
        <v>701</v>
      </c>
      <c r="AS137" s="414">
        <f>(AN137*AQ137)</f>
        <v>3204</v>
      </c>
      <c r="AU137" s="414">
        <f t="shared" si="23"/>
        <v>726.99</v>
      </c>
      <c r="AV137" s="414">
        <f t="shared" si="24"/>
        <v>2477.0100000000002</v>
      </c>
    </row>
    <row r="138" spans="1:48" ht="24" customHeight="1">
      <c r="A138" s="424">
        <f t="shared" ref="A138:A143" si="25">(A137+1)</f>
        <v>81</v>
      </c>
      <c r="B138" s="412" t="s">
        <v>308</v>
      </c>
      <c r="C138" s="414" t="e">
        <f>AC33</f>
        <v>#REF!</v>
      </c>
      <c r="D138" s="412" t="s">
        <v>694</v>
      </c>
      <c r="H138" s="412" t="s">
        <v>4295</v>
      </c>
      <c r="O138" s="412" t="s">
        <v>4296</v>
      </c>
      <c r="Q138" s="412"/>
      <c r="W138" s="413"/>
      <c r="AG138" s="412"/>
      <c r="AO138" s="414" t="s">
        <v>358</v>
      </c>
      <c r="AP138" s="412" t="s">
        <v>359</v>
      </c>
      <c r="AQ138" s="412" t="s">
        <v>790</v>
      </c>
      <c r="AR138" s="412" t="s">
        <v>358</v>
      </c>
      <c r="AS138" s="414">
        <v>0</v>
      </c>
      <c r="AU138" s="414">
        <f t="shared" si="23"/>
        <v>0</v>
      </c>
      <c r="AV138" s="414">
        <f t="shared" si="24"/>
        <v>0</v>
      </c>
    </row>
    <row r="139" spans="1:48" ht="24" customHeight="1">
      <c r="A139" s="424">
        <f t="shared" si="25"/>
        <v>82</v>
      </c>
      <c r="B139" s="412" t="s">
        <v>1463</v>
      </c>
      <c r="C139" s="414" t="e">
        <f>AC32</f>
        <v>#REF!</v>
      </c>
      <c r="D139" s="412" t="s">
        <v>694</v>
      </c>
      <c r="H139" s="418" t="s">
        <v>1288</v>
      </c>
      <c r="O139" s="418" t="s">
        <v>1288</v>
      </c>
      <c r="Q139" s="412"/>
      <c r="W139" s="413"/>
      <c r="AG139" s="412"/>
      <c r="AR139" s="412"/>
      <c r="AS139" s="418" t="s">
        <v>1288</v>
      </c>
      <c r="AU139" s="414">
        <f t="shared" si="23"/>
        <v>0</v>
      </c>
      <c r="AV139" s="414">
        <f t="shared" si="24"/>
        <v>0</v>
      </c>
    </row>
    <row r="140" spans="1:48" ht="24" customHeight="1">
      <c r="A140" s="424">
        <f t="shared" si="25"/>
        <v>83</v>
      </c>
      <c r="B140" s="412" t="s">
        <v>299</v>
      </c>
      <c r="C140" s="414" t="e">
        <f>AC33</f>
        <v>#REF!</v>
      </c>
      <c r="D140" s="412" t="s">
        <v>694</v>
      </c>
      <c r="F140" s="414">
        <v>1</v>
      </c>
      <c r="G140" s="414" t="s">
        <v>702</v>
      </c>
      <c r="H140" s="412" t="s">
        <v>300</v>
      </c>
      <c r="I140" s="414" t="e">
        <f>I36</f>
        <v>#REF!</v>
      </c>
      <c r="J140" s="412" t="s">
        <v>702</v>
      </c>
      <c r="K140" s="414" t="e">
        <f>(F140*I140)</f>
        <v>#REF!</v>
      </c>
      <c r="M140" s="414">
        <v>1</v>
      </c>
      <c r="N140" s="414" t="s">
        <v>702</v>
      </c>
      <c r="O140" s="412" t="s">
        <v>1564</v>
      </c>
      <c r="P140" s="414" t="e">
        <f>AC38</f>
        <v>#REF!</v>
      </c>
      <c r="Q140" s="412" t="s">
        <v>702</v>
      </c>
      <c r="R140" s="414" t="e">
        <f>(M140*P140)</f>
        <v>#REF!</v>
      </c>
      <c r="W140" s="413"/>
      <c r="AG140" s="412"/>
      <c r="AP140" s="412" t="s">
        <v>492</v>
      </c>
      <c r="AR140" s="412"/>
      <c r="AS140" s="414" t="e">
        <f>SUM(AS132:AS138)</f>
        <v>#REF!</v>
      </c>
      <c r="AU140" s="414" t="e">
        <f t="shared" si="23"/>
        <v>#REF!</v>
      </c>
      <c r="AV140" s="414" t="e">
        <f t="shared" si="24"/>
        <v>#REF!</v>
      </c>
    </row>
    <row r="141" spans="1:48" ht="24" customHeight="1">
      <c r="A141" s="424">
        <f t="shared" si="25"/>
        <v>84</v>
      </c>
      <c r="B141" s="412" t="s">
        <v>1254</v>
      </c>
      <c r="C141" s="414" t="e">
        <f>AC38</f>
        <v>#REF!</v>
      </c>
      <c r="D141" s="412" t="s">
        <v>702</v>
      </c>
      <c r="F141" s="414">
        <v>1</v>
      </c>
      <c r="G141" s="414" t="s">
        <v>702</v>
      </c>
      <c r="H141" s="412" t="s">
        <v>1101</v>
      </c>
      <c r="I141" s="414">
        <f>C27</f>
        <v>34.200000000000003</v>
      </c>
      <c r="J141" s="412" t="s">
        <v>702</v>
      </c>
      <c r="K141" s="414">
        <f>(F141*I141)</f>
        <v>34.200000000000003</v>
      </c>
      <c r="M141" s="414">
        <v>1</v>
      </c>
      <c r="N141" s="414" t="s">
        <v>702</v>
      </c>
      <c r="O141" s="412" t="s">
        <v>1101</v>
      </c>
      <c r="P141" s="414">
        <f>C26</f>
        <v>38.950000000000003</v>
      </c>
      <c r="Q141" s="412" t="s">
        <v>702</v>
      </c>
      <c r="R141" s="414">
        <f>(M141*P141)</f>
        <v>38.950000000000003</v>
      </c>
      <c r="W141" s="413"/>
      <c r="AG141" s="412"/>
      <c r="AR141" s="412"/>
      <c r="AS141" s="418" t="s">
        <v>1288</v>
      </c>
      <c r="AU141" s="414">
        <f t="shared" si="23"/>
        <v>0</v>
      </c>
      <c r="AV141" s="414">
        <f t="shared" si="24"/>
        <v>0</v>
      </c>
    </row>
    <row r="142" spans="1:48" ht="24" customHeight="1">
      <c r="A142" s="424">
        <f t="shared" si="25"/>
        <v>85</v>
      </c>
      <c r="B142" s="412" t="s">
        <v>155</v>
      </c>
      <c r="C142" s="414">
        <v>43563.69</v>
      </c>
      <c r="D142" s="412" t="s">
        <v>694</v>
      </c>
      <c r="G142" s="414" t="s">
        <v>358</v>
      </c>
      <c r="H142" s="412" t="s">
        <v>359</v>
      </c>
      <c r="I142" s="412" t="s">
        <v>790</v>
      </c>
      <c r="J142" s="412" t="s">
        <v>358</v>
      </c>
      <c r="K142" s="414">
        <v>0</v>
      </c>
      <c r="N142" s="414" t="s">
        <v>358</v>
      </c>
      <c r="O142" s="412" t="s">
        <v>359</v>
      </c>
      <c r="P142" s="412" t="s">
        <v>790</v>
      </c>
      <c r="Q142" s="412" t="s">
        <v>358</v>
      </c>
      <c r="R142" s="414">
        <v>0</v>
      </c>
      <c r="W142" s="413"/>
      <c r="AG142" s="412"/>
      <c r="AP142" s="412" t="s">
        <v>621</v>
      </c>
      <c r="AR142" s="412"/>
      <c r="AS142" s="414" t="e">
        <f>(AS140/2.83168)</f>
        <v>#REF!</v>
      </c>
      <c r="AU142" s="414" t="e">
        <f t="shared" si="23"/>
        <v>#REF!</v>
      </c>
      <c r="AV142" s="414" t="e">
        <f t="shared" si="24"/>
        <v>#REF!</v>
      </c>
    </row>
    <row r="143" spans="1:48" ht="24" customHeight="1">
      <c r="A143" s="424">
        <f t="shared" si="25"/>
        <v>86</v>
      </c>
      <c r="B143" s="412" t="s">
        <v>3140</v>
      </c>
      <c r="C143" s="414">
        <f>56.35*1000</f>
        <v>56350</v>
      </c>
      <c r="D143" s="412" t="s">
        <v>694</v>
      </c>
      <c r="E143" s="414">
        <v>5</v>
      </c>
      <c r="K143" s="418" t="s">
        <v>1288</v>
      </c>
      <c r="Q143" s="412"/>
      <c r="R143" s="418" t="s">
        <v>1288</v>
      </c>
      <c r="W143" s="413"/>
      <c r="AG143" s="412"/>
      <c r="AR143" s="412"/>
      <c r="AS143" s="418" t="s">
        <v>1676</v>
      </c>
      <c r="AU143" s="414">
        <f t="shared" si="23"/>
        <v>0</v>
      </c>
      <c r="AV143" s="414">
        <f t="shared" si="24"/>
        <v>0</v>
      </c>
    </row>
    <row r="144" spans="1:48" ht="24" customHeight="1">
      <c r="B144" s="412" t="s">
        <v>790</v>
      </c>
      <c r="H144" s="412" t="s">
        <v>157</v>
      </c>
      <c r="K144" s="417" t="e">
        <f>SUM(K138:K142)</f>
        <v>#REF!</v>
      </c>
      <c r="O144" s="412" t="s">
        <v>1233</v>
      </c>
      <c r="Q144" s="412"/>
      <c r="R144" s="414" t="e">
        <f>SUM(R140:R142)</f>
        <v>#REF!</v>
      </c>
      <c r="W144" s="413"/>
      <c r="AG144" s="412"/>
      <c r="AR144" s="412"/>
      <c r="AU144" s="414">
        <f t="shared" si="23"/>
        <v>0</v>
      </c>
      <c r="AV144" s="414">
        <f t="shared" si="24"/>
        <v>0</v>
      </c>
    </row>
    <row r="145" spans="1:48" ht="24" customHeight="1">
      <c r="A145" s="424">
        <f>(A143+1)</f>
        <v>87</v>
      </c>
      <c r="B145" s="412" t="s">
        <v>158</v>
      </c>
      <c r="C145" s="414">
        <v>7.5</v>
      </c>
      <c r="D145" s="412" t="s">
        <v>358</v>
      </c>
      <c r="K145" s="418" t="s">
        <v>1288</v>
      </c>
      <c r="O145" s="412" t="s">
        <v>1653</v>
      </c>
      <c r="Q145" s="412"/>
      <c r="R145" s="418" t="s">
        <v>1288</v>
      </c>
      <c r="W145" s="413"/>
      <c r="AG145" s="412"/>
      <c r="AO145" s="414" t="s">
        <v>544</v>
      </c>
      <c r="AP145" s="412" t="s">
        <v>1983</v>
      </c>
      <c r="AR145" s="412"/>
      <c r="AU145" s="414">
        <f t="shared" si="23"/>
        <v>0</v>
      </c>
      <c r="AV145" s="414">
        <f t="shared" si="24"/>
        <v>0</v>
      </c>
    </row>
    <row r="146" spans="1:48" ht="24" customHeight="1">
      <c r="B146" s="412" t="s">
        <v>2826</v>
      </c>
      <c r="C146" s="414">
        <v>15.5</v>
      </c>
      <c r="F146" s="413" t="s">
        <v>159</v>
      </c>
      <c r="G146" s="414" t="s">
        <v>1833</v>
      </c>
      <c r="H146" s="412" t="s">
        <v>4297</v>
      </c>
      <c r="W146" s="413"/>
      <c r="AP146" s="418" t="s">
        <v>1288</v>
      </c>
      <c r="AR146" s="412"/>
      <c r="AU146" s="414">
        <f t="shared" si="23"/>
        <v>0</v>
      </c>
      <c r="AV146" s="414">
        <f t="shared" si="24"/>
        <v>0</v>
      </c>
    </row>
    <row r="147" spans="1:48" ht="24" customHeight="1">
      <c r="A147" s="424">
        <f>(A145+1)</f>
        <v>88</v>
      </c>
      <c r="B147" s="412" t="s">
        <v>1340</v>
      </c>
      <c r="C147" s="414">
        <v>15.25</v>
      </c>
      <c r="D147" s="412" t="s">
        <v>1341</v>
      </c>
      <c r="H147" s="412" t="s">
        <v>835</v>
      </c>
      <c r="M147" s="413" t="s">
        <v>305</v>
      </c>
      <c r="N147" s="414" t="s">
        <v>1833</v>
      </c>
      <c r="O147" s="412" t="s">
        <v>306</v>
      </c>
      <c r="Q147" s="412"/>
      <c r="W147" s="413"/>
      <c r="AN147" s="414">
        <v>1.1000000000000001</v>
      </c>
      <c r="AO147" s="414" t="s">
        <v>702</v>
      </c>
      <c r="AP147" s="412" t="s">
        <v>908</v>
      </c>
      <c r="AQ147" s="414" t="e">
        <f>(AS142)</f>
        <v>#REF!</v>
      </c>
      <c r="AR147" s="412" t="s">
        <v>702</v>
      </c>
      <c r="AS147" s="414" t="e">
        <f>(AN147*AQ147)</f>
        <v>#REF!</v>
      </c>
      <c r="AU147" s="414" t="e">
        <f t="shared" si="23"/>
        <v>#REF!</v>
      </c>
      <c r="AV147" s="414" t="e">
        <f t="shared" si="24"/>
        <v>#REF!</v>
      </c>
    </row>
    <row r="148" spans="1:48" ht="24" customHeight="1">
      <c r="A148" s="424">
        <f>(A147+1)</f>
        <v>89</v>
      </c>
      <c r="B148" s="412" t="s">
        <v>2943</v>
      </c>
      <c r="C148" s="414">
        <v>145.19999999999999</v>
      </c>
      <c r="D148" s="412" t="s">
        <v>1341</v>
      </c>
      <c r="H148" s="412" t="s">
        <v>387</v>
      </c>
      <c r="O148" s="412" t="s">
        <v>4298</v>
      </c>
      <c r="Q148" s="412"/>
      <c r="W148" s="413"/>
      <c r="AN148" s="414">
        <v>1</v>
      </c>
      <c r="AO148" s="414" t="s">
        <v>619</v>
      </c>
      <c r="AP148" s="412" t="s">
        <v>1637</v>
      </c>
      <c r="AQ148" s="414">
        <f>AQ134</f>
        <v>999</v>
      </c>
      <c r="AR148" s="412" t="s">
        <v>701</v>
      </c>
      <c r="AS148" s="414">
        <f>(AN148*AQ148)</f>
        <v>999</v>
      </c>
      <c r="AU148" s="414">
        <f t="shared" si="23"/>
        <v>226.67</v>
      </c>
      <c r="AV148" s="414">
        <f t="shared" si="24"/>
        <v>772.33</v>
      </c>
    </row>
    <row r="149" spans="1:48" ht="24" customHeight="1">
      <c r="B149" s="414" t="s">
        <v>3141</v>
      </c>
      <c r="C149" s="414">
        <v>43.2</v>
      </c>
      <c r="D149" s="414" t="s">
        <v>1341</v>
      </c>
      <c r="H149" s="412" t="s">
        <v>422</v>
      </c>
      <c r="O149" s="418" t="s">
        <v>1288</v>
      </c>
      <c r="Q149" s="412"/>
      <c r="W149" s="413"/>
      <c r="AO149" s="414" t="s">
        <v>358</v>
      </c>
      <c r="AP149" s="412" t="s">
        <v>359</v>
      </c>
      <c r="AQ149" s="412" t="s">
        <v>790</v>
      </c>
      <c r="AR149" s="412" t="s">
        <v>358</v>
      </c>
      <c r="AS149" s="414">
        <v>0</v>
      </c>
      <c r="AU149" s="414">
        <f t="shared" si="23"/>
        <v>0</v>
      </c>
      <c r="AV149" s="414">
        <f t="shared" si="24"/>
        <v>0</v>
      </c>
    </row>
    <row r="150" spans="1:48" ht="24" customHeight="1">
      <c r="H150" s="412" t="s">
        <v>423</v>
      </c>
      <c r="M150" s="414">
        <v>1</v>
      </c>
      <c r="N150" s="414" t="s">
        <v>702</v>
      </c>
      <c r="O150" s="412" t="s">
        <v>2169</v>
      </c>
      <c r="P150" s="414" t="e">
        <f>AC43</f>
        <v>#REF!</v>
      </c>
      <c r="Q150" s="412" t="s">
        <v>702</v>
      </c>
      <c r="R150" s="414" t="e">
        <f>(M150*P150)</f>
        <v>#REF!</v>
      </c>
      <c r="W150" s="413"/>
      <c r="AR150" s="412"/>
      <c r="AS150" s="418" t="s">
        <v>1288</v>
      </c>
      <c r="AU150" s="414">
        <f t="shared" si="23"/>
        <v>0</v>
      </c>
      <c r="AV150" s="414">
        <f t="shared" si="24"/>
        <v>0</v>
      </c>
    </row>
    <row r="151" spans="1:48" ht="24" customHeight="1">
      <c r="H151" s="418" t="s">
        <v>1288</v>
      </c>
      <c r="M151" s="414">
        <v>1</v>
      </c>
      <c r="N151" s="414" t="s">
        <v>702</v>
      </c>
      <c r="O151" s="412" t="s">
        <v>1101</v>
      </c>
      <c r="P151" s="414">
        <f>AE28</f>
        <v>38.950000000000003</v>
      </c>
      <c r="Q151" s="412" t="s">
        <v>702</v>
      </c>
      <c r="R151" s="414">
        <f>(M151*P151)</f>
        <v>38.950000000000003</v>
      </c>
      <c r="W151" s="413"/>
      <c r="AP151" s="412" t="s">
        <v>351</v>
      </c>
      <c r="AR151" s="412"/>
      <c r="AS151" s="417" t="e">
        <f>SUM(AS147:AS149)</f>
        <v>#REF!</v>
      </c>
      <c r="AU151" s="414" t="e">
        <f t="shared" si="23"/>
        <v>#REF!</v>
      </c>
      <c r="AV151" s="414" t="e">
        <f t="shared" si="24"/>
        <v>#REF!</v>
      </c>
    </row>
    <row r="152" spans="1:48" ht="24" customHeight="1">
      <c r="F152" s="414">
        <v>0.7</v>
      </c>
      <c r="G152" s="414" t="s">
        <v>702</v>
      </c>
      <c r="H152" s="412" t="s">
        <v>1630</v>
      </c>
      <c r="I152" s="414" t="e">
        <f>C79</f>
        <v>#REF!</v>
      </c>
      <c r="J152" s="412" t="s">
        <v>702</v>
      </c>
      <c r="K152" s="414" t="e">
        <f t="shared" ref="K152:K157" si="26">(F152*I152)</f>
        <v>#REF!</v>
      </c>
      <c r="N152" s="414" t="s">
        <v>358</v>
      </c>
      <c r="O152" s="412" t="s">
        <v>359</v>
      </c>
      <c r="P152" s="412" t="s">
        <v>790</v>
      </c>
      <c r="Q152" s="412" t="s">
        <v>358</v>
      </c>
      <c r="R152" s="414">
        <v>0</v>
      </c>
      <c r="W152" s="413"/>
      <c r="AR152" s="412"/>
      <c r="AS152" s="418" t="s">
        <v>1288</v>
      </c>
      <c r="AU152" s="414">
        <f t="shared" si="23"/>
        <v>0</v>
      </c>
      <c r="AV152" s="414">
        <f t="shared" si="24"/>
        <v>0</v>
      </c>
    </row>
    <row r="153" spans="1:48" ht="24" customHeight="1">
      <c r="F153" s="414">
        <v>0.7</v>
      </c>
      <c r="G153" s="414" t="s">
        <v>702</v>
      </c>
      <c r="H153" s="412" t="s">
        <v>424</v>
      </c>
      <c r="I153" s="414">
        <f>C812</f>
        <v>3.15</v>
      </c>
      <c r="J153" s="412" t="s">
        <v>702</v>
      </c>
      <c r="K153" s="414">
        <f t="shared" si="26"/>
        <v>2.21</v>
      </c>
      <c r="Q153" s="412"/>
      <c r="R153" s="418" t="s">
        <v>1288</v>
      </c>
      <c r="W153" s="413"/>
      <c r="AP153" s="412" t="s">
        <v>447</v>
      </c>
      <c r="AR153" s="412"/>
      <c r="AS153" s="414" t="e">
        <f>(AS151/10)</f>
        <v>#REF!</v>
      </c>
      <c r="AU153" s="414" t="e">
        <f t="shared" si="23"/>
        <v>#REF!</v>
      </c>
      <c r="AV153" s="414" t="e">
        <f t="shared" si="24"/>
        <v>#REF!</v>
      </c>
    </row>
    <row r="154" spans="1:48" ht="24" customHeight="1">
      <c r="F154" s="414">
        <v>0.72</v>
      </c>
      <c r="G154" s="414" t="s">
        <v>702</v>
      </c>
      <c r="H154" s="412" t="s">
        <v>1337</v>
      </c>
      <c r="I154" s="414" t="e">
        <f>C35</f>
        <v>#REF!</v>
      </c>
      <c r="J154" s="412" t="s">
        <v>702</v>
      </c>
      <c r="K154" s="414" t="e">
        <f t="shared" si="26"/>
        <v>#REF!</v>
      </c>
      <c r="O154" s="412" t="s">
        <v>1233</v>
      </c>
      <c r="Q154" s="412"/>
      <c r="R154" s="414" t="e">
        <f>SUM(R150:R152)</f>
        <v>#REF!</v>
      </c>
      <c r="W154" s="413"/>
      <c r="AR154" s="412"/>
      <c r="AS154" s="418" t="s">
        <v>1676</v>
      </c>
      <c r="AU154" s="414">
        <f t="shared" si="23"/>
        <v>0</v>
      </c>
      <c r="AV154" s="414">
        <f t="shared" si="24"/>
        <v>0</v>
      </c>
    </row>
    <row r="155" spans="1:48" ht="24" customHeight="1">
      <c r="F155" s="414">
        <v>0.72</v>
      </c>
      <c r="G155" s="414" t="s">
        <v>702</v>
      </c>
      <c r="H155" s="412" t="s">
        <v>424</v>
      </c>
      <c r="I155" s="414">
        <f>C812</f>
        <v>3.15</v>
      </c>
      <c r="J155" s="412" t="s">
        <v>702</v>
      </c>
      <c r="K155" s="414">
        <f t="shared" si="26"/>
        <v>2.27</v>
      </c>
      <c r="O155" s="412" t="s">
        <v>1653</v>
      </c>
      <c r="Q155" s="412"/>
      <c r="R155" s="418" t="s">
        <v>1288</v>
      </c>
      <c r="W155" s="413"/>
      <c r="AP155" s="412" t="s">
        <v>307</v>
      </c>
      <c r="AR155" s="412" t="e">
        <f>AS155-AS153</f>
        <v>#REF!</v>
      </c>
      <c r="AS155" s="417" t="e">
        <f>(AS153+C19/10*AN147)</f>
        <v>#REF!</v>
      </c>
      <c r="AT155" s="414" t="e">
        <f>AS153-AS155</f>
        <v>#REF!</v>
      </c>
      <c r="AU155" s="414" t="e">
        <f t="shared" si="23"/>
        <v>#REF!</v>
      </c>
      <c r="AV155" s="414" t="e">
        <f t="shared" si="24"/>
        <v>#REF!</v>
      </c>
    </row>
    <row r="156" spans="1:48" ht="24" customHeight="1">
      <c r="F156" s="414">
        <v>1</v>
      </c>
      <c r="G156" s="414" t="s">
        <v>702</v>
      </c>
      <c r="H156" s="412" t="s">
        <v>1455</v>
      </c>
      <c r="I156" s="414">
        <f>C18</f>
        <v>116</v>
      </c>
      <c r="J156" s="412" t="s">
        <v>702</v>
      </c>
      <c r="K156" s="414">
        <f t="shared" si="26"/>
        <v>116</v>
      </c>
      <c r="W156" s="413"/>
      <c r="AP156" s="412" t="s">
        <v>309</v>
      </c>
      <c r="AR156" s="412" t="e">
        <f>AS156-AS155</f>
        <v>#REF!</v>
      </c>
      <c r="AS156" s="417" t="e">
        <f>(AS155+C20/10*AN147)</f>
        <v>#REF!</v>
      </c>
      <c r="AT156" s="414" t="e">
        <f>AS156-AS155</f>
        <v>#REF!</v>
      </c>
      <c r="AU156" s="414" t="e">
        <f t="shared" si="23"/>
        <v>#REF!</v>
      </c>
      <c r="AV156" s="414" t="e">
        <f t="shared" si="24"/>
        <v>#REF!</v>
      </c>
    </row>
    <row r="157" spans="1:48" ht="24" customHeight="1">
      <c r="F157" s="414">
        <v>1</v>
      </c>
      <c r="G157" s="414" t="s">
        <v>702</v>
      </c>
      <c r="H157" s="412" t="s">
        <v>1338</v>
      </c>
      <c r="I157" s="414">
        <f>C146</f>
        <v>15.5</v>
      </c>
      <c r="J157" s="412" t="s">
        <v>702</v>
      </c>
      <c r="K157" s="414">
        <f t="shared" si="26"/>
        <v>15.5</v>
      </c>
      <c r="W157" s="413"/>
      <c r="AP157" s="412" t="s">
        <v>1818</v>
      </c>
      <c r="AR157" s="412" t="e">
        <f>AS157-AS156</f>
        <v>#REF!</v>
      </c>
      <c r="AS157" s="417" t="e">
        <f>(AS156+C21/10*AN147)</f>
        <v>#REF!</v>
      </c>
      <c r="AU157" s="414" t="e">
        <f t="shared" si="23"/>
        <v>#REF!</v>
      </c>
      <c r="AV157" s="414" t="e">
        <f t="shared" si="24"/>
        <v>#REF!</v>
      </c>
    </row>
    <row r="158" spans="1:48" ht="24" customHeight="1">
      <c r="H158" s="412" t="s">
        <v>1339</v>
      </c>
      <c r="W158" s="413"/>
      <c r="AP158" s="412" t="s">
        <v>301</v>
      </c>
      <c r="AR158" s="412" t="e">
        <f>AS158-AS157</f>
        <v>#REF!</v>
      </c>
      <c r="AS158" s="417" t="e">
        <f>(AS157+C21/10*AN147)</f>
        <v>#REF!</v>
      </c>
      <c r="AU158" s="414" t="e">
        <f t="shared" si="23"/>
        <v>#REF!</v>
      </c>
      <c r="AV158" s="414" t="e">
        <f t="shared" si="24"/>
        <v>#REF!</v>
      </c>
    </row>
    <row r="159" spans="1:48" ht="24" customHeight="1">
      <c r="G159" s="414" t="s">
        <v>358</v>
      </c>
      <c r="H159" s="412" t="s">
        <v>359</v>
      </c>
      <c r="I159" s="412" t="s">
        <v>790</v>
      </c>
      <c r="J159" s="412" t="s">
        <v>358</v>
      </c>
      <c r="K159" s="414">
        <v>0</v>
      </c>
      <c r="W159" s="413"/>
      <c r="AP159" s="412" t="s">
        <v>1244</v>
      </c>
      <c r="AR159" s="412" t="e">
        <f>AS159-AS158</f>
        <v>#REF!</v>
      </c>
      <c r="AS159" s="417" t="e">
        <f>(AS158+C21/10*AN147)</f>
        <v>#REF!</v>
      </c>
      <c r="AU159" s="414" t="e">
        <f t="shared" si="23"/>
        <v>#REF!</v>
      </c>
      <c r="AV159" s="414" t="e">
        <f t="shared" si="24"/>
        <v>#REF!</v>
      </c>
    </row>
    <row r="160" spans="1:48" ht="24" customHeight="1">
      <c r="K160" s="418" t="s">
        <v>1288</v>
      </c>
      <c r="M160" s="413" t="s">
        <v>536</v>
      </c>
      <c r="N160" s="414" t="s">
        <v>1833</v>
      </c>
      <c r="O160" s="412" t="s">
        <v>442</v>
      </c>
      <c r="Q160" s="412"/>
      <c r="W160" s="413"/>
      <c r="AN160" s="437">
        <v>11</v>
      </c>
      <c r="AO160" s="417" t="s">
        <v>1833</v>
      </c>
      <c r="AP160" s="415" t="s">
        <v>2278</v>
      </c>
      <c r="AQ160" s="417"/>
      <c r="AR160" s="415"/>
      <c r="AS160" s="417"/>
      <c r="AU160" s="414">
        <f t="shared" si="23"/>
        <v>0</v>
      </c>
      <c r="AV160" s="414">
        <f t="shared" si="24"/>
        <v>0</v>
      </c>
    </row>
    <row r="161" spans="1:48" ht="24" customHeight="1">
      <c r="H161" s="420" t="s">
        <v>157</v>
      </c>
      <c r="K161" s="417" t="e">
        <f>SUM(K152:K159)</f>
        <v>#REF!</v>
      </c>
      <c r="O161" s="412" t="s">
        <v>539</v>
      </c>
      <c r="Q161" s="412"/>
      <c r="W161" s="413"/>
      <c r="AN161" s="417"/>
      <c r="AO161" s="417"/>
      <c r="AP161" s="417" t="str">
        <f>AP61</f>
        <v>Bricks of size 23x11x7 cm</v>
      </c>
      <c r="AQ161" s="417"/>
      <c r="AR161" s="415"/>
      <c r="AS161" s="417"/>
      <c r="AU161" s="414">
        <f t="shared" si="23"/>
        <v>0</v>
      </c>
      <c r="AV161" s="414">
        <f t="shared" si="24"/>
        <v>0</v>
      </c>
    </row>
    <row r="162" spans="1:48" ht="24" customHeight="1">
      <c r="K162" s="418" t="s">
        <v>1288</v>
      </c>
      <c r="O162" s="418" t="s">
        <v>1288</v>
      </c>
      <c r="Q162" s="412"/>
      <c r="W162" s="413"/>
      <c r="AP162" s="418" t="s">
        <v>1288</v>
      </c>
      <c r="AR162" s="412"/>
      <c r="AU162" s="414">
        <f t="shared" si="23"/>
        <v>0</v>
      </c>
      <c r="AV162" s="414">
        <f t="shared" si="24"/>
        <v>0</v>
      </c>
    </row>
    <row r="163" spans="1:48" ht="24" hidden="1" customHeight="1">
      <c r="H163" s="412" t="s">
        <v>790</v>
      </c>
      <c r="K163" s="412" t="s">
        <v>790</v>
      </c>
      <c r="M163" s="414">
        <v>9</v>
      </c>
      <c r="N163" s="414" t="s">
        <v>702</v>
      </c>
      <c r="O163" s="412" t="s">
        <v>1334</v>
      </c>
      <c r="P163" s="414" t="e">
        <f>I195</f>
        <v>#REF!</v>
      </c>
      <c r="Q163" s="412" t="s">
        <v>702</v>
      </c>
      <c r="R163" s="414" t="e">
        <f>(M163*P163)</f>
        <v>#REF!</v>
      </c>
      <c r="W163" s="413"/>
      <c r="AN163" s="414">
        <f>AN63</f>
        <v>1300</v>
      </c>
      <c r="AO163" s="414" t="s">
        <v>1159</v>
      </c>
      <c r="AP163" s="414" t="str">
        <f>AP61</f>
        <v>Bricks of size 23x11x7 cm</v>
      </c>
      <c r="AQ163" s="414" t="e">
        <f>AC45</f>
        <v>#REF!</v>
      </c>
      <c r="AR163" s="412" t="s">
        <v>1245</v>
      </c>
      <c r="AS163" s="414" t="e">
        <f>(AN163*AQ163)/1000</f>
        <v>#REF!</v>
      </c>
      <c r="AU163" s="414" t="e">
        <f t="shared" si="23"/>
        <v>#REF!</v>
      </c>
      <c r="AV163" s="414" t="e">
        <f t="shared" si="24"/>
        <v>#REF!</v>
      </c>
    </row>
    <row r="164" spans="1:48" ht="24" hidden="1" customHeight="1">
      <c r="K164" s="412" t="s">
        <v>790</v>
      </c>
      <c r="M164" s="414">
        <v>4.5</v>
      </c>
      <c r="N164" s="414" t="s">
        <v>702</v>
      </c>
      <c r="O164" s="412" t="s">
        <v>1063</v>
      </c>
      <c r="P164" s="414" t="e">
        <f>K40</f>
        <v>#REF!</v>
      </c>
      <c r="Q164" s="412" t="s">
        <v>702</v>
      </c>
      <c r="R164" s="414" t="e">
        <f>(M164*P164)</f>
        <v>#REF!</v>
      </c>
      <c r="W164" s="413"/>
      <c r="AN164" s="416">
        <f>AN133</f>
        <v>0.70799999999999996</v>
      </c>
      <c r="AO164" s="414" t="s">
        <v>702</v>
      </c>
      <c r="AP164" s="412" t="s">
        <v>1063</v>
      </c>
      <c r="AQ164" s="414" t="e">
        <f>AQ133</f>
        <v>#REF!</v>
      </c>
      <c r="AR164" s="412" t="s">
        <v>702</v>
      </c>
      <c r="AS164" s="414" t="e">
        <f>(AN164*AQ164)</f>
        <v>#REF!</v>
      </c>
      <c r="AU164" s="414" t="e">
        <f t="shared" ref="AU164:AU217" si="27">AS164*22.69/100</f>
        <v>#REF!</v>
      </c>
      <c r="AV164" s="414" t="e">
        <f t="shared" ref="AV164:AV217" si="28">AS164-AU164</f>
        <v>#REF!</v>
      </c>
    </row>
    <row r="165" spans="1:48" ht="24" customHeight="1">
      <c r="A165" s="438">
        <v>2.2999999999999998</v>
      </c>
      <c r="B165" s="412" t="s">
        <v>190</v>
      </c>
      <c r="C165" s="414" t="e">
        <f>AC19+I168</f>
        <v>#REF!</v>
      </c>
      <c r="F165" s="427">
        <v>2.6</v>
      </c>
      <c r="G165" s="414" t="s">
        <v>1833</v>
      </c>
      <c r="H165" s="412" t="s">
        <v>953</v>
      </c>
      <c r="M165" s="414">
        <v>1.8</v>
      </c>
      <c r="N165" s="414" t="s">
        <v>701</v>
      </c>
      <c r="O165" s="412" t="s">
        <v>1392</v>
      </c>
      <c r="P165" s="414">
        <f>I197</f>
        <v>932</v>
      </c>
      <c r="Q165" s="412" t="s">
        <v>701</v>
      </c>
      <c r="R165" s="414">
        <f>(M165*P165)</f>
        <v>1677.6</v>
      </c>
      <c r="W165" s="413"/>
      <c r="AN165" s="414">
        <v>1</v>
      </c>
      <c r="AO165" s="414" t="s">
        <v>701</v>
      </c>
      <c r="AP165" s="412" t="s">
        <v>1637</v>
      </c>
      <c r="AQ165" s="414">
        <f>AQ134</f>
        <v>999</v>
      </c>
      <c r="AR165" s="412" t="s">
        <v>701</v>
      </c>
      <c r="AS165" s="414">
        <f>(AN165*AQ165)</f>
        <v>999</v>
      </c>
      <c r="AU165" s="414">
        <f t="shared" si="27"/>
        <v>226.67</v>
      </c>
      <c r="AV165" s="414">
        <f t="shared" si="28"/>
        <v>772.33</v>
      </c>
    </row>
    <row r="166" spans="1:48" ht="24" customHeight="1">
      <c r="A166" s="438">
        <v>2.4</v>
      </c>
      <c r="B166" s="412" t="s">
        <v>627</v>
      </c>
      <c r="C166" s="414" t="e">
        <f>AC20+I168</f>
        <v>#REF!</v>
      </c>
      <c r="H166" s="418" t="s">
        <v>1288</v>
      </c>
      <c r="M166" s="414">
        <v>17.7</v>
      </c>
      <c r="N166" s="414" t="s">
        <v>701</v>
      </c>
      <c r="O166" s="412" t="s">
        <v>1550</v>
      </c>
      <c r="P166" s="414">
        <f>I198</f>
        <v>651</v>
      </c>
      <c r="Q166" s="412" t="s">
        <v>701</v>
      </c>
      <c r="R166" s="414">
        <f>(M166*P166)</f>
        <v>11522.7</v>
      </c>
      <c r="W166" s="413"/>
      <c r="AN166" s="414">
        <v>3</v>
      </c>
      <c r="AO166" s="414" t="s">
        <v>701</v>
      </c>
      <c r="AP166" s="412" t="s">
        <v>1392</v>
      </c>
      <c r="AQ166" s="414">
        <f>AQ135</f>
        <v>932</v>
      </c>
      <c r="AR166" s="412" t="s">
        <v>701</v>
      </c>
      <c r="AS166" s="414">
        <f>(AN166*AQ166)</f>
        <v>2796</v>
      </c>
      <c r="AU166" s="414">
        <f t="shared" si="27"/>
        <v>634.41</v>
      </c>
      <c r="AV166" s="414">
        <f t="shared" si="28"/>
        <v>2161.59</v>
      </c>
    </row>
    <row r="167" spans="1:48" ht="24" customHeight="1">
      <c r="F167" s="414">
        <v>1</v>
      </c>
      <c r="G167" s="414" t="s">
        <v>702</v>
      </c>
      <c r="H167" s="412" t="s">
        <v>880</v>
      </c>
      <c r="I167" s="414" t="e">
        <f>AC15</f>
        <v>#REF!</v>
      </c>
      <c r="J167" s="412" t="s">
        <v>702</v>
      </c>
      <c r="K167" s="414" t="e">
        <f>(F167*I167)</f>
        <v>#REF!</v>
      </c>
      <c r="M167" s="414">
        <v>14.1</v>
      </c>
      <c r="N167" s="414" t="s">
        <v>701</v>
      </c>
      <c r="O167" s="412" t="s">
        <v>245</v>
      </c>
      <c r="P167" s="414">
        <f>I199</f>
        <v>534</v>
      </c>
      <c r="Q167" s="412" t="s">
        <v>701</v>
      </c>
      <c r="R167" s="414">
        <f>(M167*P167)</f>
        <v>7529.4</v>
      </c>
      <c r="W167" s="413"/>
      <c r="AN167" s="414">
        <v>2</v>
      </c>
      <c r="AO167" s="414" t="s">
        <v>701</v>
      </c>
      <c r="AP167" s="412" t="s">
        <v>1550</v>
      </c>
      <c r="AQ167" s="414">
        <f>AQ136</f>
        <v>651</v>
      </c>
      <c r="AR167" s="412" t="s">
        <v>701</v>
      </c>
      <c r="AS167" s="414">
        <f>(AN167*AQ167)</f>
        <v>1302</v>
      </c>
      <c r="AU167" s="414">
        <f t="shared" si="27"/>
        <v>295.42</v>
      </c>
      <c r="AV167" s="414">
        <f t="shared" si="28"/>
        <v>1006.58</v>
      </c>
    </row>
    <row r="168" spans="1:48" ht="24" customHeight="1">
      <c r="F168" s="414">
        <v>1</v>
      </c>
      <c r="G168" s="414" t="s">
        <v>702</v>
      </c>
      <c r="H168" s="412" t="s">
        <v>1101</v>
      </c>
      <c r="I168" s="414">
        <f>C26</f>
        <v>38.950000000000003</v>
      </c>
      <c r="J168" s="412" t="s">
        <v>702</v>
      </c>
      <c r="K168" s="414">
        <f>(F168*I168)</f>
        <v>38.950000000000003</v>
      </c>
      <c r="N168" s="414" t="s">
        <v>358</v>
      </c>
      <c r="O168" s="412" t="s">
        <v>359</v>
      </c>
      <c r="Q168" s="412" t="s">
        <v>358</v>
      </c>
      <c r="R168" s="414">
        <v>0</v>
      </c>
      <c r="W168" s="413"/>
      <c r="AN168" s="414">
        <v>6</v>
      </c>
      <c r="AO168" s="414" t="s">
        <v>701</v>
      </c>
      <c r="AP168" s="412" t="s">
        <v>245</v>
      </c>
      <c r="AQ168" s="414">
        <f>AQ137</f>
        <v>534</v>
      </c>
      <c r="AR168" s="412" t="s">
        <v>701</v>
      </c>
      <c r="AS168" s="414">
        <f>(AN168*AQ168)</f>
        <v>3204</v>
      </c>
      <c r="AU168" s="414">
        <f t="shared" si="27"/>
        <v>726.99</v>
      </c>
      <c r="AV168" s="414">
        <f t="shared" si="28"/>
        <v>2477.0100000000002</v>
      </c>
    </row>
    <row r="169" spans="1:48" ht="24" customHeight="1">
      <c r="G169" s="414" t="s">
        <v>358</v>
      </c>
      <c r="H169" s="412" t="s">
        <v>359</v>
      </c>
      <c r="I169" s="412" t="s">
        <v>790</v>
      </c>
      <c r="J169" s="412" t="s">
        <v>358</v>
      </c>
      <c r="K169" s="414">
        <v>0</v>
      </c>
      <c r="Q169" s="412"/>
      <c r="R169" s="418" t="s">
        <v>1288</v>
      </c>
      <c r="W169" s="413"/>
      <c r="AO169" s="414" t="s">
        <v>358</v>
      </c>
      <c r="AP169" s="412" t="s">
        <v>359</v>
      </c>
      <c r="AQ169" s="412" t="s">
        <v>790</v>
      </c>
      <c r="AR169" s="412" t="s">
        <v>358</v>
      </c>
      <c r="AS169" s="414">
        <v>5</v>
      </c>
      <c r="AU169" s="414">
        <f t="shared" si="27"/>
        <v>1.1299999999999999</v>
      </c>
      <c r="AV169" s="414">
        <f t="shared" si="28"/>
        <v>3.87</v>
      </c>
    </row>
    <row r="170" spans="1:48" ht="24" customHeight="1">
      <c r="K170" s="418" t="s">
        <v>1288</v>
      </c>
      <c r="Q170" s="412"/>
      <c r="R170" s="414" t="e">
        <f>SUM(R163:R168)</f>
        <v>#REF!</v>
      </c>
      <c r="W170" s="413"/>
      <c r="AR170" s="412"/>
      <c r="AS170" s="418" t="s">
        <v>1288</v>
      </c>
      <c r="AU170" s="414">
        <f t="shared" si="27"/>
        <v>0</v>
      </c>
      <c r="AV170" s="414">
        <f t="shared" si="28"/>
        <v>0</v>
      </c>
    </row>
    <row r="171" spans="1:48" ht="24" customHeight="1">
      <c r="H171" s="420" t="s">
        <v>157</v>
      </c>
      <c r="K171" s="417" t="e">
        <f>SUM(K166:K169)</f>
        <v>#REF!</v>
      </c>
      <c r="O171" s="413" t="s">
        <v>492</v>
      </c>
      <c r="Q171" s="412"/>
      <c r="R171" s="418" t="s">
        <v>1288</v>
      </c>
      <c r="W171" s="413"/>
      <c r="AP171" s="412" t="s">
        <v>492</v>
      </c>
      <c r="AR171" s="412"/>
      <c r="AS171" s="414" t="e">
        <f>SUM(AS163:AS169)</f>
        <v>#REF!</v>
      </c>
      <c r="AU171" s="414" t="e">
        <f t="shared" si="27"/>
        <v>#REF!</v>
      </c>
      <c r="AV171" s="414" t="e">
        <f t="shared" si="28"/>
        <v>#REF!</v>
      </c>
    </row>
    <row r="172" spans="1:48" ht="24" customHeight="1">
      <c r="K172" s="418" t="s">
        <v>1288</v>
      </c>
      <c r="Q172" s="412"/>
      <c r="R172" s="417" t="e">
        <f>(R170/10)</f>
        <v>#REF!</v>
      </c>
      <c r="W172" s="413"/>
      <c r="AR172" s="412"/>
      <c r="AS172" s="418" t="s">
        <v>1288</v>
      </c>
      <c r="AU172" s="414">
        <f t="shared" si="27"/>
        <v>0</v>
      </c>
      <c r="AV172" s="414">
        <f t="shared" si="28"/>
        <v>0</v>
      </c>
    </row>
    <row r="173" spans="1:48" ht="24" customHeight="1">
      <c r="F173" s="427">
        <v>2.7</v>
      </c>
      <c r="G173" s="414" t="s">
        <v>1833</v>
      </c>
      <c r="H173" s="412" t="s">
        <v>1620</v>
      </c>
      <c r="O173" s="420" t="s">
        <v>621</v>
      </c>
      <c r="Q173" s="412"/>
      <c r="R173" s="418" t="s">
        <v>1676</v>
      </c>
      <c r="W173" s="413"/>
      <c r="AP173" s="412" t="s">
        <v>621</v>
      </c>
      <c r="AR173" s="412"/>
      <c r="AS173" s="414" t="e">
        <f>(AS171/2.83168)</f>
        <v>#REF!</v>
      </c>
      <c r="AU173" s="414" t="e">
        <f t="shared" si="27"/>
        <v>#REF!</v>
      </c>
      <c r="AV173" s="414" t="e">
        <f t="shared" si="28"/>
        <v>#REF!</v>
      </c>
    </row>
    <row r="174" spans="1:48" ht="24" customHeight="1">
      <c r="H174" s="418" t="s">
        <v>1288</v>
      </c>
      <c r="W174" s="413"/>
      <c r="AR174" s="412"/>
      <c r="AS174" s="418" t="s">
        <v>1676</v>
      </c>
      <c r="AU174" s="414">
        <f t="shared" si="27"/>
        <v>0</v>
      </c>
      <c r="AV174" s="414">
        <f t="shared" si="28"/>
        <v>0</v>
      </c>
    </row>
    <row r="175" spans="1:48" ht="24" customHeight="1">
      <c r="F175" s="414">
        <v>1</v>
      </c>
      <c r="G175" s="414" t="s">
        <v>702</v>
      </c>
      <c r="H175" s="412" t="s">
        <v>674</v>
      </c>
      <c r="I175" s="414" t="e">
        <f>AC14</f>
        <v>#REF!</v>
      </c>
      <c r="J175" s="412" t="s">
        <v>702</v>
      </c>
      <c r="K175" s="414" t="e">
        <f>(F175*I175)</f>
        <v>#REF!</v>
      </c>
      <c r="W175" s="413"/>
      <c r="AN175" s="412" t="s">
        <v>193</v>
      </c>
      <c r="AR175" s="412"/>
      <c r="AU175" s="414">
        <f t="shared" si="27"/>
        <v>0</v>
      </c>
      <c r="AV175" s="414">
        <f t="shared" si="28"/>
        <v>0</v>
      </c>
    </row>
    <row r="176" spans="1:48" ht="24" customHeight="1">
      <c r="F176" s="414">
        <v>1</v>
      </c>
      <c r="G176" s="414" t="s">
        <v>702</v>
      </c>
      <c r="H176" s="412" t="s">
        <v>1101</v>
      </c>
      <c r="I176" s="414">
        <f>C26</f>
        <v>38.950000000000003</v>
      </c>
      <c r="J176" s="412" t="s">
        <v>702</v>
      </c>
      <c r="K176" s="414">
        <f>(F176*I176)</f>
        <v>38.950000000000003</v>
      </c>
      <c r="W176" s="413"/>
      <c r="AR176" s="412"/>
      <c r="AU176" s="414">
        <f t="shared" si="27"/>
        <v>0</v>
      </c>
      <c r="AV176" s="414">
        <f t="shared" si="28"/>
        <v>0</v>
      </c>
    </row>
    <row r="177" spans="1:48" ht="24" customHeight="1">
      <c r="G177" s="414" t="s">
        <v>358</v>
      </c>
      <c r="H177" s="412" t="s">
        <v>359</v>
      </c>
      <c r="I177" s="412" t="s">
        <v>790</v>
      </c>
      <c r="J177" s="412" t="s">
        <v>358</v>
      </c>
      <c r="K177" s="414">
        <v>0</v>
      </c>
      <c r="W177" s="413"/>
      <c r="AO177" s="414" t="s">
        <v>1249</v>
      </c>
      <c r="AP177" s="412" t="s">
        <v>342</v>
      </c>
      <c r="AR177" s="412"/>
      <c r="AU177" s="414">
        <f t="shared" si="27"/>
        <v>0</v>
      </c>
      <c r="AV177" s="414">
        <f t="shared" si="28"/>
        <v>0</v>
      </c>
    </row>
    <row r="178" spans="1:48" ht="24" customHeight="1">
      <c r="K178" s="418" t="s">
        <v>1288</v>
      </c>
      <c r="W178" s="413"/>
      <c r="AP178" s="418" t="s">
        <v>1288</v>
      </c>
      <c r="AR178" s="412"/>
      <c r="AU178" s="414">
        <f t="shared" si="27"/>
        <v>0</v>
      </c>
      <c r="AV178" s="414">
        <f t="shared" si="28"/>
        <v>0</v>
      </c>
    </row>
    <row r="179" spans="1:48" ht="24" customHeight="1">
      <c r="H179" s="420" t="s">
        <v>157</v>
      </c>
      <c r="K179" s="417" t="e">
        <f>SUM(K174:K177)</f>
        <v>#REF!</v>
      </c>
      <c r="W179" s="413"/>
      <c r="AN179" s="414">
        <v>0.7</v>
      </c>
      <c r="AO179" s="414" t="s">
        <v>702</v>
      </c>
      <c r="AP179" s="412" t="s">
        <v>1857</v>
      </c>
      <c r="AQ179" s="414" t="e">
        <f>AQ147</f>
        <v>#REF!</v>
      </c>
      <c r="AR179" s="412" t="s">
        <v>701</v>
      </c>
      <c r="AS179" s="414" t="e">
        <f>(AN179*AQ179)</f>
        <v>#REF!</v>
      </c>
      <c r="AU179" s="414" t="e">
        <f t="shared" si="27"/>
        <v>#REF!</v>
      </c>
      <c r="AV179" s="414" t="e">
        <f t="shared" si="28"/>
        <v>#REF!</v>
      </c>
    </row>
    <row r="180" spans="1:48" ht="24" customHeight="1">
      <c r="K180" s="418" t="s">
        <v>1288</v>
      </c>
      <c r="M180" s="414">
        <v>2.5</v>
      </c>
      <c r="N180" s="412" t="s">
        <v>702</v>
      </c>
      <c r="O180" s="412" t="s">
        <v>1329</v>
      </c>
      <c r="P180" s="414" t="e">
        <f>(K58)</f>
        <v>#REF!</v>
      </c>
      <c r="Q180" s="412" t="s">
        <v>702</v>
      </c>
      <c r="R180" s="414" t="e">
        <f>(M180*P180)</f>
        <v>#REF!</v>
      </c>
      <c r="W180" s="413"/>
      <c r="AG180" s="412"/>
      <c r="AN180" s="414">
        <v>1</v>
      </c>
      <c r="AO180" s="414" t="s">
        <v>619</v>
      </c>
      <c r="AP180" s="412" t="s">
        <v>1637</v>
      </c>
      <c r="AQ180" s="414">
        <f>AQ165</f>
        <v>999</v>
      </c>
      <c r="AR180" s="412" t="s">
        <v>701</v>
      </c>
      <c r="AS180" s="414">
        <f>(AN180*AQ180)</f>
        <v>999</v>
      </c>
      <c r="AU180" s="414">
        <f t="shared" si="27"/>
        <v>226.67</v>
      </c>
      <c r="AV180" s="414">
        <f t="shared" si="28"/>
        <v>772.33</v>
      </c>
    </row>
    <row r="181" spans="1:48" ht="24" customHeight="1">
      <c r="H181" s="412" t="s">
        <v>790</v>
      </c>
      <c r="M181" s="414">
        <v>3.5</v>
      </c>
      <c r="N181" s="412" t="s">
        <v>701</v>
      </c>
      <c r="O181" s="412" t="s">
        <v>1637</v>
      </c>
      <c r="P181" s="414">
        <f>(C10)</f>
        <v>999</v>
      </c>
      <c r="Q181" s="412" t="s">
        <v>701</v>
      </c>
      <c r="R181" s="414">
        <f>(M181*P181)</f>
        <v>3496.5</v>
      </c>
      <c r="W181" s="413"/>
      <c r="AG181" s="412"/>
      <c r="AO181" s="414" t="s">
        <v>358</v>
      </c>
      <c r="AP181" s="412" t="s">
        <v>359</v>
      </c>
      <c r="AQ181" s="412" t="s">
        <v>790</v>
      </c>
      <c r="AR181" s="412" t="s">
        <v>358</v>
      </c>
      <c r="AS181" s="414">
        <v>0</v>
      </c>
      <c r="AU181" s="414">
        <f t="shared" si="27"/>
        <v>0</v>
      </c>
      <c r="AV181" s="414">
        <f t="shared" si="28"/>
        <v>0</v>
      </c>
    </row>
    <row r="182" spans="1:48" ht="24" customHeight="1">
      <c r="F182" s="413" t="s">
        <v>1343</v>
      </c>
      <c r="H182" s="412" t="s">
        <v>4299</v>
      </c>
      <c r="W182" s="413"/>
      <c r="AR182" s="412"/>
      <c r="AS182" s="418" t="s">
        <v>1288</v>
      </c>
      <c r="AU182" s="414">
        <f t="shared" si="27"/>
        <v>0</v>
      </c>
      <c r="AV182" s="414">
        <f t="shared" si="28"/>
        <v>0</v>
      </c>
    </row>
    <row r="183" spans="1:48" ht="24" customHeight="1">
      <c r="W183" s="413"/>
      <c r="AP183" s="412" t="s">
        <v>351</v>
      </c>
      <c r="AR183" s="412"/>
      <c r="AS183" s="417" t="e">
        <f>SUM(AS179:AS181)</f>
        <v>#REF!</v>
      </c>
      <c r="AU183" s="414" t="e">
        <f t="shared" si="27"/>
        <v>#REF!</v>
      </c>
      <c r="AV183" s="414" t="e">
        <f t="shared" si="28"/>
        <v>#REF!</v>
      </c>
    </row>
    <row r="184" spans="1:48" ht="24" customHeight="1">
      <c r="F184" s="414">
        <v>1</v>
      </c>
      <c r="G184" s="414" t="s">
        <v>702</v>
      </c>
      <c r="H184" s="412" t="s">
        <v>46</v>
      </c>
      <c r="I184" s="414" t="e">
        <f>C35</f>
        <v>#REF!</v>
      </c>
      <c r="J184" s="412" t="s">
        <v>702</v>
      </c>
      <c r="K184" s="414" t="e">
        <f>(F184*I184)</f>
        <v>#REF!</v>
      </c>
      <c r="W184" s="413"/>
      <c r="AR184" s="412"/>
      <c r="AS184" s="418" t="s">
        <v>1288</v>
      </c>
      <c r="AU184" s="414">
        <f t="shared" si="27"/>
        <v>0</v>
      </c>
      <c r="AV184" s="414">
        <f t="shared" si="28"/>
        <v>0</v>
      </c>
    </row>
    <row r="185" spans="1:48" ht="24" customHeight="1">
      <c r="F185" s="414">
        <v>1</v>
      </c>
      <c r="G185" s="414" t="s">
        <v>702</v>
      </c>
      <c r="H185" s="412" t="s">
        <v>424</v>
      </c>
      <c r="I185" s="414">
        <f>C812</f>
        <v>3.15</v>
      </c>
      <c r="J185" s="412" t="s">
        <v>702</v>
      </c>
      <c r="K185" s="414">
        <f>(F185*I185)</f>
        <v>3.15</v>
      </c>
      <c r="W185" s="413"/>
      <c r="AP185" s="412" t="s">
        <v>447</v>
      </c>
      <c r="AR185" s="412"/>
      <c r="AS185" s="414" t="e">
        <f>(AS183/10)</f>
        <v>#REF!</v>
      </c>
      <c r="AU185" s="414" t="e">
        <f t="shared" si="27"/>
        <v>#REF!</v>
      </c>
      <c r="AV185" s="414" t="e">
        <f t="shared" si="28"/>
        <v>#REF!</v>
      </c>
    </row>
    <row r="186" spans="1:48" ht="24" customHeight="1">
      <c r="F186" s="414">
        <v>1</v>
      </c>
      <c r="G186" s="414" t="s">
        <v>702</v>
      </c>
      <c r="H186" s="412" t="s">
        <v>1338</v>
      </c>
      <c r="I186" s="414">
        <f>C146</f>
        <v>15.5</v>
      </c>
      <c r="J186" s="412" t="s">
        <v>702</v>
      </c>
      <c r="K186" s="414">
        <f>(F186*I186)</f>
        <v>15.5</v>
      </c>
      <c r="W186" s="413"/>
      <c r="AR186" s="412"/>
      <c r="AS186" s="418" t="s">
        <v>1676</v>
      </c>
      <c r="AU186" s="414">
        <f t="shared" si="27"/>
        <v>0</v>
      </c>
      <c r="AV186" s="414">
        <f t="shared" si="28"/>
        <v>0</v>
      </c>
    </row>
    <row r="187" spans="1:48" ht="24" customHeight="1">
      <c r="H187" s="412" t="s">
        <v>1339</v>
      </c>
      <c r="W187" s="413"/>
      <c r="AP187" s="412" t="s">
        <v>307</v>
      </c>
      <c r="AR187" s="412" t="e">
        <f>AS187-AS185</f>
        <v>#REF!</v>
      </c>
      <c r="AS187" s="417" t="e">
        <f>(AS185+C19/10*AN179)</f>
        <v>#REF!</v>
      </c>
      <c r="AU187" s="414" t="e">
        <f t="shared" si="27"/>
        <v>#REF!</v>
      </c>
      <c r="AV187" s="414" t="e">
        <f t="shared" si="28"/>
        <v>#REF!</v>
      </c>
    </row>
    <row r="188" spans="1:48" ht="24" customHeight="1">
      <c r="K188" s="418" t="s">
        <v>1288</v>
      </c>
      <c r="W188" s="413"/>
      <c r="AP188" s="412" t="s">
        <v>309</v>
      </c>
      <c r="AR188" s="412" t="e">
        <f>AS188-AS187</f>
        <v>#REF!</v>
      </c>
      <c r="AS188" s="417" t="e">
        <f>(AS187+C20/10*AN179)</f>
        <v>#REF!</v>
      </c>
      <c r="AU188" s="414" t="e">
        <f t="shared" si="27"/>
        <v>#REF!</v>
      </c>
      <c r="AV188" s="414" t="e">
        <f t="shared" si="28"/>
        <v>#REF!</v>
      </c>
    </row>
    <row r="189" spans="1:48" ht="24" customHeight="1">
      <c r="H189" s="420" t="s">
        <v>157</v>
      </c>
      <c r="K189" s="417" t="e">
        <f>SUM(K182:K187)</f>
        <v>#REF!</v>
      </c>
      <c r="W189" s="413"/>
      <c r="AP189" s="412" t="s">
        <v>1818</v>
      </c>
      <c r="AR189" s="412" t="e">
        <f>AS189-AS188</f>
        <v>#REF!</v>
      </c>
      <c r="AS189" s="417" t="e">
        <f>(AS188+C21/10*AN179)</f>
        <v>#REF!</v>
      </c>
      <c r="AU189" s="414" t="e">
        <f t="shared" si="27"/>
        <v>#REF!</v>
      </c>
      <c r="AV189" s="414" t="e">
        <f t="shared" si="28"/>
        <v>#REF!</v>
      </c>
    </row>
    <row r="190" spans="1:48" ht="24" customHeight="1">
      <c r="F190" s="412" t="s">
        <v>790</v>
      </c>
      <c r="K190" s="418" t="s">
        <v>1288</v>
      </c>
      <c r="W190" s="413"/>
      <c r="AP190" s="412" t="s">
        <v>301</v>
      </c>
      <c r="AR190" s="412" t="e">
        <f>AS190-AS189</f>
        <v>#REF!</v>
      </c>
      <c r="AS190" s="417" t="e">
        <f>(AS189+C21/10*AN179)</f>
        <v>#REF!</v>
      </c>
      <c r="AU190" s="414" t="e">
        <f t="shared" si="27"/>
        <v>#REF!</v>
      </c>
      <c r="AV190" s="414" t="e">
        <f t="shared" si="28"/>
        <v>#REF!</v>
      </c>
    </row>
    <row r="191" spans="1:48" ht="24" customHeight="1">
      <c r="K191" s="412" t="s">
        <v>790</v>
      </c>
      <c r="W191" s="413"/>
      <c r="AP191" s="412" t="s">
        <v>675</v>
      </c>
      <c r="AR191" s="412" t="e">
        <f>AS191-AS190</f>
        <v>#REF!</v>
      </c>
      <c r="AS191" s="417" t="e">
        <f>(AS190+C21/10*AN179)</f>
        <v>#REF!</v>
      </c>
      <c r="AU191" s="414" t="e">
        <f t="shared" si="27"/>
        <v>#REF!</v>
      </c>
      <c r="AV191" s="414" t="e">
        <f t="shared" si="28"/>
        <v>#REF!</v>
      </c>
    </row>
    <row r="192" spans="1:48" ht="24" customHeight="1">
      <c r="A192" s="424">
        <f>(A148+1)</f>
        <v>90</v>
      </c>
      <c r="B192" s="412" t="s">
        <v>534</v>
      </c>
      <c r="C192" s="414">
        <v>65</v>
      </c>
      <c r="D192" s="412" t="s">
        <v>535</v>
      </c>
      <c r="F192" s="413" t="s">
        <v>536</v>
      </c>
      <c r="G192" s="414" t="s">
        <v>1833</v>
      </c>
      <c r="H192" s="412" t="s">
        <v>537</v>
      </c>
      <c r="M192" s="413" t="s">
        <v>536</v>
      </c>
      <c r="N192" s="414" t="s">
        <v>1833</v>
      </c>
      <c r="O192" s="412" t="s">
        <v>170</v>
      </c>
      <c r="Q192" s="412"/>
      <c r="S192" s="413" t="s">
        <v>536</v>
      </c>
      <c r="T192" s="414" t="s">
        <v>1833</v>
      </c>
      <c r="U192" s="412" t="s">
        <v>170</v>
      </c>
      <c r="W192" s="413"/>
      <c r="AG192" s="412"/>
      <c r="AP192" s="412"/>
      <c r="AR192" s="412"/>
      <c r="AS192" s="417"/>
      <c r="AU192" s="414">
        <f t="shared" si="27"/>
        <v>0</v>
      </c>
      <c r="AV192" s="414">
        <f t="shared" si="28"/>
        <v>0</v>
      </c>
    </row>
    <row r="193" spans="1:48" ht="24" customHeight="1">
      <c r="A193" s="424">
        <f t="shared" ref="A193:A208" si="29">(A192+1)</f>
        <v>91</v>
      </c>
      <c r="B193" s="412" t="s">
        <v>538</v>
      </c>
      <c r="C193" s="414">
        <v>25</v>
      </c>
      <c r="D193" s="412" t="s">
        <v>535</v>
      </c>
      <c r="H193" s="412" t="s">
        <v>539</v>
      </c>
      <c r="O193" s="412" t="s">
        <v>1213</v>
      </c>
      <c r="Q193" s="412"/>
      <c r="S193" s="414"/>
      <c r="U193" s="412" t="s">
        <v>539</v>
      </c>
      <c r="W193" s="413"/>
      <c r="AG193" s="412"/>
      <c r="AO193" s="414" t="s">
        <v>1249</v>
      </c>
      <c r="AP193" s="412" t="s">
        <v>342</v>
      </c>
      <c r="AR193" s="412"/>
      <c r="AU193" s="414">
        <f t="shared" si="27"/>
        <v>0</v>
      </c>
      <c r="AV193" s="414">
        <f t="shared" si="28"/>
        <v>0</v>
      </c>
    </row>
    <row r="194" spans="1:48" ht="24" customHeight="1">
      <c r="A194" s="424">
        <f t="shared" si="29"/>
        <v>92</v>
      </c>
      <c r="B194" s="412" t="s">
        <v>2944</v>
      </c>
      <c r="C194" s="414">
        <v>271.2</v>
      </c>
      <c r="D194" s="412" t="s">
        <v>535</v>
      </c>
      <c r="H194" s="418" t="s">
        <v>1288</v>
      </c>
      <c r="O194" s="418" t="s">
        <v>1288</v>
      </c>
      <c r="Q194" s="412"/>
      <c r="S194" s="414"/>
      <c r="U194" s="418" t="s">
        <v>1288</v>
      </c>
      <c r="W194" s="413"/>
      <c r="AG194" s="412"/>
      <c r="AP194" s="418" t="s">
        <v>1288</v>
      </c>
      <c r="AR194" s="412"/>
      <c r="AU194" s="414">
        <f t="shared" si="27"/>
        <v>0</v>
      </c>
      <c r="AV194" s="414">
        <f t="shared" si="28"/>
        <v>0</v>
      </c>
    </row>
    <row r="195" spans="1:48" ht="24" customHeight="1">
      <c r="A195" s="424">
        <f t="shared" si="29"/>
        <v>93</v>
      </c>
      <c r="B195" s="412" t="s">
        <v>2945</v>
      </c>
      <c r="C195" s="414">
        <v>238.9</v>
      </c>
      <c r="D195" s="414">
        <v>96.11</v>
      </c>
      <c r="F195" s="414">
        <v>9</v>
      </c>
      <c r="G195" s="414" t="s">
        <v>702</v>
      </c>
      <c r="H195" s="412" t="s">
        <v>1334</v>
      </c>
      <c r="I195" s="414" t="e">
        <f>(C74)</f>
        <v>#REF!</v>
      </c>
      <c r="J195" s="412" t="s">
        <v>702</v>
      </c>
      <c r="K195" s="414" t="e">
        <f>(F195*I195)</f>
        <v>#REF!</v>
      </c>
      <c r="M195" s="414">
        <v>9</v>
      </c>
      <c r="N195" s="414" t="s">
        <v>702</v>
      </c>
      <c r="O195" s="412" t="s">
        <v>552</v>
      </c>
      <c r="P195" s="414" t="e">
        <f>(C73)</f>
        <v>#REF!</v>
      </c>
      <c r="Q195" s="412" t="s">
        <v>702</v>
      </c>
      <c r="R195" s="414" t="e">
        <f>(M195*P195)</f>
        <v>#REF!</v>
      </c>
      <c r="S195" s="414">
        <v>9</v>
      </c>
      <c r="T195" s="414" t="s">
        <v>702</v>
      </c>
      <c r="U195" s="412" t="s">
        <v>1334</v>
      </c>
      <c r="V195" s="414" t="e">
        <f>(C74)</f>
        <v>#REF!</v>
      </c>
      <c r="W195" s="413" t="s">
        <v>702</v>
      </c>
      <c r="X195" s="414" t="e">
        <f>(S195*V195)</f>
        <v>#REF!</v>
      </c>
      <c r="AG195" s="412"/>
      <c r="AN195" s="414">
        <v>0.7</v>
      </c>
      <c r="AO195" s="414" t="s">
        <v>702</v>
      </c>
      <c r="AP195" s="412" t="s">
        <v>1857</v>
      </c>
      <c r="AQ195" s="414" t="e">
        <f>AQ163</f>
        <v>#REF!</v>
      </c>
      <c r="AR195" s="412" t="s">
        <v>701</v>
      </c>
      <c r="AS195" s="414" t="e">
        <f>(AN195*AQ195)</f>
        <v>#REF!</v>
      </c>
      <c r="AU195" s="414" t="e">
        <f t="shared" si="27"/>
        <v>#REF!</v>
      </c>
      <c r="AV195" s="414" t="e">
        <f t="shared" si="28"/>
        <v>#REF!</v>
      </c>
    </row>
    <row r="196" spans="1:48" ht="24" customHeight="1">
      <c r="A196" s="424">
        <f t="shared" si="29"/>
        <v>94</v>
      </c>
      <c r="B196" s="412" t="s">
        <v>2946</v>
      </c>
      <c r="C196" s="414">
        <v>147.5</v>
      </c>
      <c r="D196" s="412" t="s">
        <v>535</v>
      </c>
      <c r="F196" s="414">
        <v>4.5</v>
      </c>
      <c r="G196" s="414" t="s">
        <v>702</v>
      </c>
      <c r="H196" s="412" t="s">
        <v>1325</v>
      </c>
      <c r="I196" s="414" t="e">
        <f>(K49)</f>
        <v>#REF!</v>
      </c>
      <c r="J196" s="412" t="s">
        <v>702</v>
      </c>
      <c r="K196" s="414" t="e">
        <f>(F196*I196)</f>
        <v>#REF!</v>
      </c>
      <c r="M196" s="414">
        <v>4.5</v>
      </c>
      <c r="N196" s="414" t="s">
        <v>702</v>
      </c>
      <c r="O196" s="412" t="s">
        <v>1100</v>
      </c>
      <c r="P196" s="414" t="e">
        <f>K32</f>
        <v>#REF!</v>
      </c>
      <c r="Q196" s="412" t="s">
        <v>702</v>
      </c>
      <c r="R196" s="414" t="e">
        <f>(M196*P196)</f>
        <v>#REF!</v>
      </c>
      <c r="S196" s="414">
        <v>4.5</v>
      </c>
      <c r="T196" s="414" t="s">
        <v>702</v>
      </c>
      <c r="U196" s="412" t="s">
        <v>1100</v>
      </c>
      <c r="V196" s="414" t="e">
        <f>P196</f>
        <v>#REF!</v>
      </c>
      <c r="W196" s="413" t="s">
        <v>702</v>
      </c>
      <c r="X196" s="414" t="e">
        <f>(S196*V196)</f>
        <v>#REF!</v>
      </c>
      <c r="AG196" s="412"/>
      <c r="AN196" s="414">
        <v>1</v>
      </c>
      <c r="AO196" s="414" t="s">
        <v>619</v>
      </c>
      <c r="AP196" s="412" t="s">
        <v>1637</v>
      </c>
      <c r="AQ196" s="414" t="str">
        <f>AQ181</f>
        <v/>
      </c>
      <c r="AR196" s="412" t="s">
        <v>701</v>
      </c>
      <c r="AS196" s="414">
        <f>(AN196*AQ196)</f>
        <v>0</v>
      </c>
      <c r="AU196" s="414">
        <f t="shared" si="27"/>
        <v>0</v>
      </c>
      <c r="AV196" s="414">
        <f t="shared" si="28"/>
        <v>0</v>
      </c>
    </row>
    <row r="197" spans="1:48" ht="24" customHeight="1">
      <c r="A197" s="424">
        <f t="shared" si="29"/>
        <v>95</v>
      </c>
      <c r="B197" s="412" t="s">
        <v>677</v>
      </c>
      <c r="C197" s="414">
        <v>0.25</v>
      </c>
      <c r="D197" s="412" t="s">
        <v>701</v>
      </c>
      <c r="F197" s="414">
        <v>1.8</v>
      </c>
      <c r="G197" s="414" t="s">
        <v>701</v>
      </c>
      <c r="H197" s="412" t="s">
        <v>1392</v>
      </c>
      <c r="I197" s="414">
        <f>(C11)</f>
        <v>932</v>
      </c>
      <c r="J197" s="412" t="s">
        <v>701</v>
      </c>
      <c r="K197" s="414">
        <f>(F197*I197)</f>
        <v>1677.6</v>
      </c>
      <c r="M197" s="414">
        <v>1.8</v>
      </c>
      <c r="N197" s="414" t="s">
        <v>701</v>
      </c>
      <c r="O197" s="412" t="s">
        <v>1392</v>
      </c>
      <c r="P197" s="414">
        <f>I197</f>
        <v>932</v>
      </c>
      <c r="Q197" s="412" t="s">
        <v>701</v>
      </c>
      <c r="R197" s="414">
        <f>(M197*P197)</f>
        <v>1677.6</v>
      </c>
      <c r="S197" s="414">
        <v>1.8</v>
      </c>
      <c r="T197" s="414" t="s">
        <v>701</v>
      </c>
      <c r="U197" s="412" t="s">
        <v>1392</v>
      </c>
      <c r="V197" s="414">
        <f>P197</f>
        <v>932</v>
      </c>
      <c r="W197" s="413" t="s">
        <v>701</v>
      </c>
      <c r="X197" s="414">
        <f>(S197*V197)</f>
        <v>1677.6</v>
      </c>
      <c r="AG197" s="412"/>
      <c r="AO197" s="414" t="s">
        <v>358</v>
      </c>
      <c r="AP197" s="412" t="s">
        <v>359</v>
      </c>
      <c r="AQ197" s="412" t="s">
        <v>790</v>
      </c>
      <c r="AR197" s="412" t="s">
        <v>358</v>
      </c>
      <c r="AS197" s="414">
        <v>0</v>
      </c>
      <c r="AU197" s="414">
        <f t="shared" si="27"/>
        <v>0</v>
      </c>
      <c r="AV197" s="414">
        <f t="shared" si="28"/>
        <v>0</v>
      </c>
    </row>
    <row r="198" spans="1:48" ht="24" customHeight="1">
      <c r="A198" s="424">
        <f t="shared" si="29"/>
        <v>96</v>
      </c>
      <c r="B198" s="412" t="s">
        <v>3142</v>
      </c>
      <c r="C198" s="414">
        <v>40.65</v>
      </c>
      <c r="D198" s="412" t="s">
        <v>488</v>
      </c>
      <c r="F198" s="414">
        <v>17.7</v>
      </c>
      <c r="G198" s="414" t="s">
        <v>701</v>
      </c>
      <c r="H198" s="412" t="s">
        <v>1550</v>
      </c>
      <c r="I198" s="414">
        <f>(C12)</f>
        <v>651</v>
      </c>
      <c r="J198" s="412" t="s">
        <v>701</v>
      </c>
      <c r="K198" s="414">
        <f>(F198*I198)</f>
        <v>11522.7</v>
      </c>
      <c r="M198" s="414">
        <v>17.7</v>
      </c>
      <c r="N198" s="414" t="s">
        <v>701</v>
      </c>
      <c r="O198" s="412" t="s">
        <v>1550</v>
      </c>
      <c r="P198" s="414">
        <f>I198</f>
        <v>651</v>
      </c>
      <c r="Q198" s="412" t="s">
        <v>701</v>
      </c>
      <c r="R198" s="414">
        <f>(M198*P198)</f>
        <v>11522.7</v>
      </c>
      <c r="S198" s="414">
        <v>17.7</v>
      </c>
      <c r="T198" s="414" t="s">
        <v>701</v>
      </c>
      <c r="U198" s="412" t="s">
        <v>1550</v>
      </c>
      <c r="V198" s="414">
        <f>P198</f>
        <v>651</v>
      </c>
      <c r="W198" s="413" t="s">
        <v>701</v>
      </c>
      <c r="X198" s="414">
        <f>(S198*V198)</f>
        <v>11522.7</v>
      </c>
      <c r="AG198" s="412"/>
      <c r="AR198" s="412"/>
      <c r="AS198" s="418" t="s">
        <v>1288</v>
      </c>
      <c r="AU198" s="414">
        <f t="shared" si="27"/>
        <v>0</v>
      </c>
      <c r="AV198" s="414">
        <f t="shared" si="28"/>
        <v>0</v>
      </c>
    </row>
    <row r="199" spans="1:48" ht="24" customHeight="1">
      <c r="A199" s="424">
        <f t="shared" si="29"/>
        <v>97</v>
      </c>
      <c r="B199" s="412" t="s">
        <v>3143</v>
      </c>
      <c r="C199" s="414">
        <v>379.9</v>
      </c>
      <c r="D199" s="414">
        <v>116.55</v>
      </c>
      <c r="E199" s="412" t="s">
        <v>488</v>
      </c>
      <c r="F199" s="414">
        <v>14.1</v>
      </c>
      <c r="G199" s="414" t="s">
        <v>701</v>
      </c>
      <c r="H199" s="412" t="s">
        <v>245</v>
      </c>
      <c r="I199" s="414">
        <f>(C13)</f>
        <v>534</v>
      </c>
      <c r="J199" s="412" t="s">
        <v>701</v>
      </c>
      <c r="K199" s="414">
        <f>(F199*I199)</f>
        <v>7529.4</v>
      </c>
      <c r="M199" s="414">
        <v>14.1</v>
      </c>
      <c r="N199" s="414" t="s">
        <v>701</v>
      </c>
      <c r="O199" s="412" t="s">
        <v>245</v>
      </c>
      <c r="P199" s="414">
        <f>I199</f>
        <v>534</v>
      </c>
      <c r="Q199" s="412" t="s">
        <v>701</v>
      </c>
      <c r="R199" s="414">
        <f>(M199*P199)</f>
        <v>7529.4</v>
      </c>
      <c r="S199" s="414">
        <v>14.1</v>
      </c>
      <c r="T199" s="414" t="s">
        <v>701</v>
      </c>
      <c r="U199" s="412" t="s">
        <v>245</v>
      </c>
      <c r="V199" s="414">
        <f>P199</f>
        <v>534</v>
      </c>
      <c r="W199" s="413" t="s">
        <v>701</v>
      </c>
      <c r="X199" s="414">
        <f>(S199*V199)</f>
        <v>7529.4</v>
      </c>
      <c r="AG199" s="412"/>
      <c r="AP199" s="412" t="s">
        <v>351</v>
      </c>
      <c r="AR199" s="412"/>
      <c r="AS199" s="417" t="e">
        <f>SUM(AS195:AS197)</f>
        <v>#REF!</v>
      </c>
      <c r="AU199" s="414" t="e">
        <f t="shared" si="27"/>
        <v>#REF!</v>
      </c>
      <c r="AV199" s="414" t="e">
        <f t="shared" si="28"/>
        <v>#REF!</v>
      </c>
    </row>
    <row r="200" spans="1:48" ht="24" customHeight="1">
      <c r="A200" s="424">
        <f t="shared" si="29"/>
        <v>98</v>
      </c>
      <c r="B200" s="412" t="s">
        <v>3144</v>
      </c>
      <c r="C200" s="414">
        <v>183.8</v>
      </c>
      <c r="D200" s="412" t="s">
        <v>619</v>
      </c>
      <c r="G200" s="414" t="s">
        <v>358</v>
      </c>
      <c r="H200" s="412" t="s">
        <v>359</v>
      </c>
      <c r="J200" s="412" t="s">
        <v>358</v>
      </c>
      <c r="K200" s="414">
        <v>0</v>
      </c>
      <c r="N200" s="414" t="s">
        <v>358</v>
      </c>
      <c r="O200" s="412" t="s">
        <v>359</v>
      </c>
      <c r="Q200" s="412" t="s">
        <v>358</v>
      </c>
      <c r="R200" s="414">
        <v>0</v>
      </c>
      <c r="S200" s="414"/>
      <c r="T200" s="414" t="s">
        <v>358</v>
      </c>
      <c r="U200" s="412" t="s">
        <v>359</v>
      </c>
      <c r="W200" s="413" t="s">
        <v>358</v>
      </c>
      <c r="X200" s="414">
        <v>0</v>
      </c>
      <c r="AG200" s="412"/>
      <c r="AR200" s="412"/>
      <c r="AS200" s="418" t="s">
        <v>1288</v>
      </c>
      <c r="AU200" s="414">
        <f t="shared" si="27"/>
        <v>0</v>
      </c>
      <c r="AV200" s="414">
        <f t="shared" si="28"/>
        <v>0</v>
      </c>
    </row>
    <row r="201" spans="1:48" ht="24" customHeight="1">
      <c r="A201" s="424">
        <f t="shared" si="29"/>
        <v>99</v>
      </c>
      <c r="B201" s="412" t="s">
        <v>3145</v>
      </c>
      <c r="C201" s="414">
        <v>1201</v>
      </c>
      <c r="D201" s="412" t="s">
        <v>619</v>
      </c>
      <c r="K201" s="418" t="s">
        <v>1288</v>
      </c>
      <c r="Q201" s="412"/>
      <c r="R201" s="418" t="s">
        <v>1288</v>
      </c>
      <c r="S201" s="414"/>
      <c r="W201" s="413"/>
      <c r="X201" s="418" t="s">
        <v>1288</v>
      </c>
      <c r="AG201" s="412"/>
      <c r="AP201" s="412" t="s">
        <v>447</v>
      </c>
      <c r="AR201" s="412"/>
      <c r="AS201" s="414" t="e">
        <f>(AS199/10)</f>
        <v>#REF!</v>
      </c>
      <c r="AU201" s="414" t="e">
        <f t="shared" si="27"/>
        <v>#REF!</v>
      </c>
      <c r="AV201" s="414" t="e">
        <f t="shared" si="28"/>
        <v>#REF!</v>
      </c>
    </row>
    <row r="202" spans="1:48" ht="24" customHeight="1">
      <c r="A202" s="424">
        <f t="shared" si="29"/>
        <v>100</v>
      </c>
      <c r="B202" s="412" t="s">
        <v>936</v>
      </c>
      <c r="C202" s="414">
        <v>47.2</v>
      </c>
      <c r="D202" s="412" t="s">
        <v>619</v>
      </c>
      <c r="K202" s="414" t="e">
        <f>SUM(K195:K200)</f>
        <v>#REF!</v>
      </c>
      <c r="Q202" s="412"/>
      <c r="R202" s="414" t="e">
        <f>SUM(R195:R200)</f>
        <v>#REF!</v>
      </c>
      <c r="S202" s="414"/>
      <c r="W202" s="413"/>
      <c r="X202" s="414" t="e">
        <f>SUM(X195:X200)</f>
        <v>#REF!</v>
      </c>
      <c r="AG202" s="412"/>
      <c r="AR202" s="412"/>
      <c r="AS202" s="418" t="s">
        <v>1676</v>
      </c>
      <c r="AU202" s="414">
        <f t="shared" si="27"/>
        <v>0</v>
      </c>
      <c r="AV202" s="414">
        <f t="shared" si="28"/>
        <v>0</v>
      </c>
    </row>
    <row r="203" spans="1:48" ht="24" customHeight="1">
      <c r="A203" s="424">
        <f t="shared" si="29"/>
        <v>101</v>
      </c>
      <c r="B203" s="412" t="s">
        <v>3146</v>
      </c>
      <c r="C203" s="414">
        <v>128</v>
      </c>
      <c r="D203" s="412" t="s">
        <v>619</v>
      </c>
      <c r="E203" s="414">
        <v>166.15</v>
      </c>
      <c r="H203" s="413" t="s">
        <v>492</v>
      </c>
      <c r="K203" s="418" t="s">
        <v>1288</v>
      </c>
      <c r="O203" s="412" t="s">
        <v>492</v>
      </c>
      <c r="Q203" s="412"/>
      <c r="R203" s="418" t="s">
        <v>1288</v>
      </c>
      <c r="S203" s="414"/>
      <c r="U203" s="412" t="s">
        <v>492</v>
      </c>
      <c r="W203" s="413"/>
      <c r="X203" s="418" t="s">
        <v>1288</v>
      </c>
      <c r="AG203" s="412"/>
      <c r="AP203" s="412" t="s">
        <v>307</v>
      </c>
      <c r="AR203" s="412" t="e">
        <f>AS203-AS201</f>
        <v>#REF!</v>
      </c>
      <c r="AS203" s="417" t="e">
        <f>(AS201+C35/10*AN195)</f>
        <v>#REF!</v>
      </c>
      <c r="AU203" s="414" t="e">
        <f t="shared" si="27"/>
        <v>#REF!</v>
      </c>
      <c r="AV203" s="414" t="e">
        <f t="shared" si="28"/>
        <v>#REF!</v>
      </c>
    </row>
    <row r="204" spans="1:48" ht="24" customHeight="1">
      <c r="A204" s="424">
        <f t="shared" si="29"/>
        <v>102</v>
      </c>
      <c r="B204" s="412" t="s">
        <v>3147</v>
      </c>
      <c r="C204" s="414">
        <v>63.4</v>
      </c>
      <c r="D204" s="412" t="s">
        <v>619</v>
      </c>
      <c r="K204" s="417" t="e">
        <f>(K202/10)</f>
        <v>#REF!</v>
      </c>
      <c r="Q204" s="412"/>
      <c r="R204" s="414" t="e">
        <f>(R202/10)</f>
        <v>#REF!</v>
      </c>
      <c r="S204" s="414"/>
      <c r="W204" s="413"/>
      <c r="X204" s="414" t="e">
        <f>(X202/10)</f>
        <v>#REF!</v>
      </c>
      <c r="AP204" s="412" t="s">
        <v>309</v>
      </c>
      <c r="AR204" s="412" t="e">
        <f>AS204-AS203</f>
        <v>#REF!</v>
      </c>
      <c r="AS204" s="417" t="e">
        <f>(AS203+C36/10*AN195)</f>
        <v>#REF!</v>
      </c>
      <c r="AU204" s="414" t="e">
        <f t="shared" si="27"/>
        <v>#REF!</v>
      </c>
      <c r="AV204" s="414" t="e">
        <f t="shared" si="28"/>
        <v>#REF!</v>
      </c>
    </row>
    <row r="205" spans="1:48" ht="24" customHeight="1">
      <c r="A205" s="424">
        <f t="shared" si="29"/>
        <v>103</v>
      </c>
      <c r="B205" s="412" t="s">
        <v>495</v>
      </c>
      <c r="C205" s="414">
        <v>102</v>
      </c>
      <c r="D205" s="412" t="s">
        <v>619</v>
      </c>
      <c r="H205" s="420" t="s">
        <v>621</v>
      </c>
      <c r="K205" s="418" t="s">
        <v>1676</v>
      </c>
      <c r="O205" s="412" t="s">
        <v>621</v>
      </c>
      <c r="Q205" s="412"/>
      <c r="R205" s="418" t="s">
        <v>1676</v>
      </c>
      <c r="S205" s="414"/>
      <c r="U205" s="412" t="s">
        <v>621</v>
      </c>
      <c r="W205" s="413"/>
      <c r="X205" s="418" t="s">
        <v>1676</v>
      </c>
      <c r="AP205" s="412" t="s">
        <v>1818</v>
      </c>
      <c r="AR205" s="412" t="e">
        <f>AS205-AS204</f>
        <v>#REF!</v>
      </c>
      <c r="AS205" s="417" t="e">
        <f>(AS204+C37/10*AN195)</f>
        <v>#REF!</v>
      </c>
      <c r="AU205" s="414" t="e">
        <f t="shared" si="27"/>
        <v>#REF!</v>
      </c>
      <c r="AV205" s="414" t="e">
        <f t="shared" si="28"/>
        <v>#REF!</v>
      </c>
    </row>
    <row r="206" spans="1:48" ht="24" customHeight="1">
      <c r="A206" s="424">
        <f t="shared" si="29"/>
        <v>104</v>
      </c>
      <c r="B206" s="412" t="s">
        <v>3148</v>
      </c>
      <c r="C206" s="414">
        <v>101.6</v>
      </c>
      <c r="D206" s="412" t="s">
        <v>619</v>
      </c>
      <c r="E206" s="414">
        <v>140.65</v>
      </c>
      <c r="W206" s="413"/>
      <c r="AG206" s="412"/>
      <c r="AP206" s="412" t="s">
        <v>301</v>
      </c>
      <c r="AR206" s="412" t="e">
        <f>AS206-AS205</f>
        <v>#REF!</v>
      </c>
      <c r="AS206" s="417" t="e">
        <f>(AS205+C37/10*AN195)</f>
        <v>#REF!</v>
      </c>
      <c r="AU206" s="414" t="e">
        <f t="shared" si="27"/>
        <v>#REF!</v>
      </c>
      <c r="AV206" s="414" t="e">
        <f t="shared" si="28"/>
        <v>#REF!</v>
      </c>
    </row>
    <row r="207" spans="1:48" ht="24" customHeight="1">
      <c r="A207" s="424">
        <f t="shared" si="29"/>
        <v>105</v>
      </c>
      <c r="B207" s="412" t="s">
        <v>2947</v>
      </c>
      <c r="C207" s="414">
        <v>227.6</v>
      </c>
      <c r="D207" s="412" t="s">
        <v>548</v>
      </c>
      <c r="F207" s="413" t="s">
        <v>549</v>
      </c>
      <c r="G207" s="414" t="s">
        <v>1833</v>
      </c>
      <c r="H207" s="412" t="s">
        <v>4300</v>
      </c>
      <c r="W207" s="413"/>
      <c r="AP207" s="412" t="s">
        <v>675</v>
      </c>
      <c r="AR207" s="412" t="e">
        <f>AS207-AS206</f>
        <v>#REF!</v>
      </c>
      <c r="AS207" s="417" t="e">
        <f>(AS206+C37/10*AN195)</f>
        <v>#REF!</v>
      </c>
      <c r="AU207" s="414" t="e">
        <f t="shared" si="27"/>
        <v>#REF!</v>
      </c>
      <c r="AV207" s="414" t="e">
        <f t="shared" si="28"/>
        <v>#REF!</v>
      </c>
    </row>
    <row r="208" spans="1:48" ht="24" customHeight="1">
      <c r="A208" s="424">
        <f t="shared" si="29"/>
        <v>106</v>
      </c>
      <c r="B208" s="412" t="s">
        <v>3149</v>
      </c>
      <c r="C208" s="414">
        <v>166.15</v>
      </c>
      <c r="D208" s="412" t="s">
        <v>619</v>
      </c>
      <c r="H208" s="412" t="s">
        <v>1213</v>
      </c>
      <c r="N208" s="412" t="s">
        <v>550</v>
      </c>
      <c r="O208" s="412" t="s">
        <v>551</v>
      </c>
      <c r="W208" s="413"/>
      <c r="AU208" s="414">
        <f t="shared" si="27"/>
        <v>0</v>
      </c>
      <c r="AV208" s="414">
        <f t="shared" si="28"/>
        <v>0</v>
      </c>
    </row>
    <row r="209" spans="6:48" ht="24" customHeight="1">
      <c r="H209" s="418" t="s">
        <v>1288</v>
      </c>
      <c r="O209" s="418" t="s">
        <v>1288</v>
      </c>
      <c r="W209" s="413"/>
      <c r="AU209" s="414">
        <f t="shared" si="27"/>
        <v>0</v>
      </c>
      <c r="AV209" s="414">
        <f t="shared" si="28"/>
        <v>0</v>
      </c>
    </row>
    <row r="210" spans="6:48" ht="24" customHeight="1">
      <c r="F210" s="414">
        <v>9</v>
      </c>
      <c r="G210" s="414" t="s">
        <v>702</v>
      </c>
      <c r="H210" s="412" t="s">
        <v>552</v>
      </c>
      <c r="I210" s="414" t="e">
        <f>C73</f>
        <v>#REF!</v>
      </c>
      <c r="J210" s="412" t="s">
        <v>702</v>
      </c>
      <c r="K210" s="414" t="e">
        <f>(F210*I210)</f>
        <v>#REF!</v>
      </c>
      <c r="M210" s="439">
        <v>1.153E-2</v>
      </c>
      <c r="N210" s="412" t="s">
        <v>702</v>
      </c>
      <c r="O210" s="412" t="s">
        <v>553</v>
      </c>
      <c r="P210" s="414" t="e">
        <f>C88</f>
        <v>#REF!</v>
      </c>
      <c r="Q210" s="412" t="s">
        <v>702</v>
      </c>
      <c r="R210" s="414" t="e">
        <f t="shared" ref="R210:R219" si="30">(M210*P210)</f>
        <v>#REF!</v>
      </c>
      <c r="W210" s="413"/>
      <c r="AU210" s="414">
        <f t="shared" si="27"/>
        <v>0</v>
      </c>
      <c r="AV210" s="414">
        <f t="shared" si="28"/>
        <v>0</v>
      </c>
    </row>
    <row r="211" spans="6:48" ht="24" customHeight="1">
      <c r="F211" s="414">
        <v>4.5</v>
      </c>
      <c r="G211" s="414" t="s">
        <v>702</v>
      </c>
      <c r="H211" s="412" t="s">
        <v>94</v>
      </c>
      <c r="I211" s="414" t="e">
        <f>K23</f>
        <v>#REF!</v>
      </c>
      <c r="J211" s="412" t="s">
        <v>702</v>
      </c>
      <c r="K211" s="414" t="e">
        <f>(F211*I211)</f>
        <v>#REF!</v>
      </c>
      <c r="M211" s="439">
        <v>1.013E-2</v>
      </c>
      <c r="N211" s="412" t="s">
        <v>702</v>
      </c>
      <c r="O211" s="412" t="s">
        <v>554</v>
      </c>
      <c r="P211" s="414" t="e">
        <f>C89</f>
        <v>#REF!</v>
      </c>
      <c r="Q211" s="412" t="s">
        <v>702</v>
      </c>
      <c r="R211" s="414" t="e">
        <f t="shared" si="30"/>
        <v>#REF!</v>
      </c>
      <c r="W211" s="413"/>
      <c r="AU211" s="414">
        <f t="shared" si="27"/>
        <v>0</v>
      </c>
      <c r="AV211" s="414">
        <f t="shared" si="28"/>
        <v>0</v>
      </c>
    </row>
    <row r="212" spans="6:48" ht="24" customHeight="1">
      <c r="F212" s="414">
        <v>1.8</v>
      </c>
      <c r="G212" s="414" t="s">
        <v>701</v>
      </c>
      <c r="H212" s="412" t="s">
        <v>1392</v>
      </c>
      <c r="I212" s="414">
        <f>C11</f>
        <v>932</v>
      </c>
      <c r="J212" s="412" t="s">
        <v>701</v>
      </c>
      <c r="K212" s="414">
        <f>(F212*I212)</f>
        <v>1677.6</v>
      </c>
      <c r="M212" s="439">
        <v>0.77780000000000005</v>
      </c>
      <c r="N212" s="412" t="s">
        <v>488</v>
      </c>
      <c r="O212" s="412" t="s">
        <v>1700</v>
      </c>
      <c r="P212" s="414">
        <f>C783</f>
        <v>387.4</v>
      </c>
      <c r="Q212" s="412" t="s">
        <v>488</v>
      </c>
      <c r="R212" s="414">
        <f t="shared" si="30"/>
        <v>301.32</v>
      </c>
      <c r="W212" s="413"/>
      <c r="AU212" s="414">
        <f t="shared" si="27"/>
        <v>0</v>
      </c>
      <c r="AV212" s="414">
        <f t="shared" si="28"/>
        <v>0</v>
      </c>
    </row>
    <row r="213" spans="6:48" ht="24" customHeight="1">
      <c r="F213" s="414">
        <v>17.7</v>
      </c>
      <c r="G213" s="414" t="s">
        <v>701</v>
      </c>
      <c r="H213" s="412" t="s">
        <v>1550</v>
      </c>
      <c r="I213" s="414">
        <f>C12</f>
        <v>651</v>
      </c>
      <c r="J213" s="412" t="s">
        <v>701</v>
      </c>
      <c r="K213" s="414">
        <f>(F213*I213)</f>
        <v>11522.7</v>
      </c>
      <c r="M213" s="439">
        <v>1.23</v>
      </c>
      <c r="N213" s="412" t="s">
        <v>488</v>
      </c>
      <c r="O213" s="412" t="s">
        <v>1701</v>
      </c>
      <c r="P213" s="414">
        <f>D30</f>
        <v>1281</v>
      </c>
      <c r="Q213" s="412" t="s">
        <v>488</v>
      </c>
      <c r="R213" s="414">
        <f t="shared" si="30"/>
        <v>1575.63</v>
      </c>
      <c r="W213" s="413"/>
      <c r="AU213" s="414">
        <f t="shared" si="27"/>
        <v>0</v>
      </c>
      <c r="AV213" s="414">
        <f t="shared" si="28"/>
        <v>0</v>
      </c>
    </row>
    <row r="214" spans="6:48" ht="24" customHeight="1">
      <c r="F214" s="414">
        <v>14.1</v>
      </c>
      <c r="G214" s="414" t="s">
        <v>701</v>
      </c>
      <c r="H214" s="412" t="s">
        <v>245</v>
      </c>
      <c r="I214" s="414">
        <f>C13</f>
        <v>534</v>
      </c>
      <c r="J214" s="412" t="s">
        <v>701</v>
      </c>
      <c r="K214" s="414">
        <f>(F214*I214)</f>
        <v>7529.4</v>
      </c>
      <c r="M214" s="414">
        <v>2</v>
      </c>
      <c r="N214" s="412" t="s">
        <v>701</v>
      </c>
      <c r="O214" s="412" t="s">
        <v>1702</v>
      </c>
      <c r="P214" s="414">
        <f>C284</f>
        <v>64.8</v>
      </c>
      <c r="Q214" s="412" t="s">
        <v>701</v>
      </c>
      <c r="R214" s="414">
        <f t="shared" si="30"/>
        <v>129.6</v>
      </c>
      <c r="W214" s="413"/>
      <c r="AU214" s="414">
        <f t="shared" si="27"/>
        <v>0</v>
      </c>
      <c r="AV214" s="414">
        <f t="shared" si="28"/>
        <v>0</v>
      </c>
    </row>
    <row r="215" spans="6:48" ht="24" customHeight="1">
      <c r="G215" s="414" t="s">
        <v>358</v>
      </c>
      <c r="H215" s="412" t="s">
        <v>359</v>
      </c>
      <c r="J215" s="412" t="s">
        <v>358</v>
      </c>
      <c r="K215" s="414">
        <v>0</v>
      </c>
      <c r="M215" s="414">
        <v>3</v>
      </c>
      <c r="N215" s="412" t="s">
        <v>701</v>
      </c>
      <c r="O215" s="412" t="s">
        <v>1703</v>
      </c>
      <c r="P215" s="414">
        <f>C279</f>
        <v>89.6</v>
      </c>
      <c r="Q215" s="412" t="s">
        <v>701</v>
      </c>
      <c r="R215" s="414">
        <f t="shared" si="30"/>
        <v>268.8</v>
      </c>
      <c r="W215" s="413"/>
      <c r="AU215" s="414">
        <f t="shared" si="27"/>
        <v>0</v>
      </c>
      <c r="AV215" s="414">
        <f t="shared" si="28"/>
        <v>0</v>
      </c>
    </row>
    <row r="216" spans="6:48" ht="24" customHeight="1">
      <c r="K216" s="418" t="s">
        <v>1288</v>
      </c>
      <c r="M216" s="414">
        <v>1</v>
      </c>
      <c r="N216" s="412" t="s">
        <v>701</v>
      </c>
      <c r="O216" s="412" t="s">
        <v>1611</v>
      </c>
      <c r="P216" s="414">
        <f>C286</f>
        <v>181</v>
      </c>
      <c r="Q216" s="412" t="s">
        <v>701</v>
      </c>
      <c r="R216" s="414">
        <f t="shared" si="30"/>
        <v>181</v>
      </c>
      <c r="T216" s="414">
        <v>0</v>
      </c>
      <c r="W216" s="413"/>
      <c r="AU216" s="414">
        <f t="shared" si="27"/>
        <v>0</v>
      </c>
      <c r="AV216" s="414">
        <f t="shared" si="28"/>
        <v>0</v>
      </c>
    </row>
    <row r="217" spans="6:48" ht="24" customHeight="1">
      <c r="K217" s="414" t="e">
        <f>SUM(K210:K215)</f>
        <v>#REF!</v>
      </c>
      <c r="M217" s="414">
        <v>1</v>
      </c>
      <c r="N217" s="412" t="s">
        <v>701</v>
      </c>
      <c r="O217" s="412" t="s">
        <v>1612</v>
      </c>
      <c r="P217" s="414">
        <f>C288</f>
        <v>7.3</v>
      </c>
      <c r="Q217" s="412" t="s">
        <v>701</v>
      </c>
      <c r="R217" s="414">
        <f t="shared" si="30"/>
        <v>7.3</v>
      </c>
      <c r="W217" s="413"/>
      <c r="AU217" s="414">
        <f t="shared" si="27"/>
        <v>0</v>
      </c>
      <c r="AV217" s="414">
        <f t="shared" si="28"/>
        <v>0</v>
      </c>
    </row>
    <row r="218" spans="6:48" ht="24" customHeight="1">
      <c r="H218" s="412" t="s">
        <v>492</v>
      </c>
      <c r="K218" s="418" t="s">
        <v>1288</v>
      </c>
      <c r="M218" s="414">
        <v>1</v>
      </c>
      <c r="N218" s="412" t="s">
        <v>701</v>
      </c>
      <c r="O218" s="412" t="s">
        <v>2137</v>
      </c>
      <c r="P218" s="414">
        <f>C598</f>
        <v>57.65</v>
      </c>
      <c r="Q218" s="412" t="s">
        <v>701</v>
      </c>
      <c r="R218" s="414">
        <f t="shared" si="30"/>
        <v>57.65</v>
      </c>
      <c r="W218" s="413"/>
    </row>
    <row r="219" spans="6:48" ht="24" customHeight="1">
      <c r="K219" s="417" t="e">
        <f>(K217/10)</f>
        <v>#REF!</v>
      </c>
      <c r="M219" s="414">
        <v>1</v>
      </c>
      <c r="N219" s="412" t="s">
        <v>701</v>
      </c>
      <c r="O219" s="412" t="s">
        <v>1614</v>
      </c>
      <c r="P219" s="414">
        <f>D598</f>
        <v>49.55</v>
      </c>
      <c r="Q219" s="412" t="s">
        <v>701</v>
      </c>
      <c r="R219" s="414">
        <f t="shared" si="30"/>
        <v>49.55</v>
      </c>
      <c r="W219" s="413"/>
    </row>
    <row r="220" spans="6:48" ht="24" customHeight="1">
      <c r="H220" s="420" t="s">
        <v>621</v>
      </c>
      <c r="K220" s="418" t="s">
        <v>1676</v>
      </c>
      <c r="R220" s="418" t="s">
        <v>1288</v>
      </c>
      <c r="W220" s="413"/>
    </row>
    <row r="221" spans="6:48" ht="24" customHeight="1">
      <c r="O221" s="413" t="s">
        <v>1615</v>
      </c>
      <c r="R221" s="414" t="e">
        <f>SUM(R210:R219)</f>
        <v>#REF!</v>
      </c>
      <c r="W221" s="413"/>
    </row>
    <row r="222" spans="6:48" ht="24" customHeight="1">
      <c r="F222" s="413" t="s">
        <v>1683</v>
      </c>
      <c r="G222" s="414" t="s">
        <v>1833</v>
      </c>
      <c r="H222" s="412" t="s">
        <v>4301</v>
      </c>
      <c r="N222" s="412" t="s">
        <v>790</v>
      </c>
      <c r="R222" s="418" t="s">
        <v>1288</v>
      </c>
      <c r="W222" s="413"/>
    </row>
    <row r="223" spans="6:48" ht="24" customHeight="1">
      <c r="H223" s="412" t="s">
        <v>1684</v>
      </c>
      <c r="M223" s="412" t="s">
        <v>790</v>
      </c>
      <c r="W223" s="413"/>
    </row>
    <row r="224" spans="6:48" ht="24" customHeight="1">
      <c r="H224" s="418" t="s">
        <v>1288</v>
      </c>
      <c r="O224" s="413" t="s">
        <v>447</v>
      </c>
      <c r="R224" s="414" t="e">
        <f>R221/M213</f>
        <v>#REF!</v>
      </c>
      <c r="W224" s="413"/>
    </row>
    <row r="225" spans="6:23" ht="24" customHeight="1">
      <c r="F225" s="414">
        <v>9</v>
      </c>
      <c r="G225" s="414" t="s">
        <v>702</v>
      </c>
      <c r="H225" s="412" t="s">
        <v>1468</v>
      </c>
      <c r="I225" s="414" t="e">
        <f>AC20</f>
        <v>#REF!</v>
      </c>
      <c r="J225" s="412" t="s">
        <v>702</v>
      </c>
      <c r="K225" s="414" t="e">
        <f>(F225*I225)</f>
        <v>#REF!</v>
      </c>
      <c r="M225" s="412" t="s">
        <v>246</v>
      </c>
      <c r="W225" s="413"/>
    </row>
    <row r="226" spans="6:23" ht="24" customHeight="1">
      <c r="F226" s="414">
        <v>4.5</v>
      </c>
      <c r="G226" s="414" t="s">
        <v>702</v>
      </c>
      <c r="H226" s="412" t="s">
        <v>1330</v>
      </c>
      <c r="I226" s="414" t="e">
        <f>K77</f>
        <v>#REF!</v>
      </c>
      <c r="J226" s="412" t="s">
        <v>702</v>
      </c>
      <c r="K226" s="414" t="e">
        <f>(F226*I226)</f>
        <v>#REF!</v>
      </c>
      <c r="W226" s="413"/>
    </row>
    <row r="227" spans="6:23" ht="24" customHeight="1">
      <c r="F227" s="414">
        <v>1.8</v>
      </c>
      <c r="G227" s="414" t="s">
        <v>701</v>
      </c>
      <c r="H227" s="412" t="s">
        <v>1392</v>
      </c>
      <c r="I227" s="414">
        <f>C11</f>
        <v>932</v>
      </c>
      <c r="J227" s="412" t="s">
        <v>701</v>
      </c>
      <c r="K227" s="414">
        <f>(F227*I227)</f>
        <v>1677.6</v>
      </c>
      <c r="W227" s="413"/>
    </row>
    <row r="228" spans="6:23" ht="24" customHeight="1">
      <c r="F228" s="414">
        <v>17.7</v>
      </c>
      <c r="G228" s="414" t="s">
        <v>701</v>
      </c>
      <c r="H228" s="412" t="s">
        <v>1550</v>
      </c>
      <c r="I228" s="414">
        <f>C12</f>
        <v>651</v>
      </c>
      <c r="J228" s="412" t="s">
        <v>701</v>
      </c>
      <c r="K228" s="414">
        <f>(F228*I228)</f>
        <v>11522.7</v>
      </c>
      <c r="M228" s="413" t="s">
        <v>1683</v>
      </c>
      <c r="N228" s="414" t="s">
        <v>1833</v>
      </c>
      <c r="O228" s="412" t="s">
        <v>4302</v>
      </c>
      <c r="Q228" s="412"/>
      <c r="W228" s="413"/>
    </row>
    <row r="229" spans="6:23" ht="24" customHeight="1">
      <c r="F229" s="414">
        <v>14.1</v>
      </c>
      <c r="G229" s="414" t="s">
        <v>701</v>
      </c>
      <c r="H229" s="412" t="s">
        <v>245</v>
      </c>
      <c r="I229" s="414">
        <f>C13</f>
        <v>534</v>
      </c>
      <c r="J229" s="412" t="s">
        <v>701</v>
      </c>
      <c r="K229" s="414">
        <f>(F229*I229)</f>
        <v>7529.4</v>
      </c>
      <c r="O229" s="412" t="s">
        <v>2354</v>
      </c>
      <c r="Q229" s="412"/>
      <c r="W229" s="413"/>
    </row>
    <row r="230" spans="6:23" ht="24" customHeight="1">
      <c r="G230" s="414" t="s">
        <v>358</v>
      </c>
      <c r="H230" s="412" t="s">
        <v>359</v>
      </c>
      <c r="J230" s="412" t="s">
        <v>358</v>
      </c>
      <c r="K230" s="414">
        <v>0</v>
      </c>
      <c r="O230" s="418" t="s">
        <v>1288</v>
      </c>
      <c r="Q230" s="412"/>
      <c r="W230" s="413"/>
    </row>
    <row r="231" spans="6:23" ht="24" customHeight="1">
      <c r="K231" s="418" t="s">
        <v>1288</v>
      </c>
      <c r="M231" s="414">
        <v>9</v>
      </c>
      <c r="N231" s="414" t="s">
        <v>702</v>
      </c>
      <c r="O231" s="412" t="s">
        <v>1853</v>
      </c>
      <c r="P231" s="414" t="e">
        <f>AC15</f>
        <v>#REF!</v>
      </c>
      <c r="Q231" s="412" t="s">
        <v>702</v>
      </c>
      <c r="R231" s="414" t="e">
        <f>(M231*P231)</f>
        <v>#REF!</v>
      </c>
      <c r="W231" s="413"/>
    </row>
    <row r="232" spans="6:23" ht="24" customHeight="1">
      <c r="K232" s="414" t="e">
        <f>SUM(K225:K230)</f>
        <v>#REF!</v>
      </c>
      <c r="M232" s="414">
        <v>4.5</v>
      </c>
      <c r="N232" s="414" t="s">
        <v>702</v>
      </c>
      <c r="O232" s="412" t="s">
        <v>1063</v>
      </c>
      <c r="P232" s="414" t="e">
        <f>K40</f>
        <v>#REF!</v>
      </c>
      <c r="Q232" s="412" t="s">
        <v>702</v>
      </c>
      <c r="R232" s="414" t="e">
        <f>(M232*P232)</f>
        <v>#REF!</v>
      </c>
      <c r="W232" s="413"/>
    </row>
    <row r="233" spans="6:23" ht="24" customHeight="1">
      <c r="H233" s="412" t="s">
        <v>492</v>
      </c>
      <c r="K233" s="418" t="s">
        <v>1288</v>
      </c>
      <c r="M233" s="414">
        <v>1.8</v>
      </c>
      <c r="N233" s="414" t="s">
        <v>701</v>
      </c>
      <c r="O233" s="412" t="s">
        <v>1392</v>
      </c>
      <c r="P233" s="414">
        <f>I227</f>
        <v>932</v>
      </c>
      <c r="Q233" s="412" t="s">
        <v>701</v>
      </c>
      <c r="R233" s="414">
        <f>(M233*P233)</f>
        <v>1677.6</v>
      </c>
      <c r="W233" s="413"/>
    </row>
    <row r="234" spans="6:23" ht="24" customHeight="1">
      <c r="K234" s="417" t="e">
        <f>(K232/10)</f>
        <v>#REF!</v>
      </c>
      <c r="M234" s="414">
        <v>17.7</v>
      </c>
      <c r="N234" s="414" t="s">
        <v>701</v>
      </c>
      <c r="O234" s="412" t="s">
        <v>1550</v>
      </c>
      <c r="P234" s="414">
        <f>I228</f>
        <v>651</v>
      </c>
      <c r="Q234" s="412" t="s">
        <v>701</v>
      </c>
      <c r="R234" s="414">
        <f>(M234*P234)</f>
        <v>11522.7</v>
      </c>
      <c r="W234" s="413"/>
    </row>
    <row r="235" spans="6:23" ht="24" customHeight="1">
      <c r="H235" s="420" t="s">
        <v>621</v>
      </c>
      <c r="K235" s="418" t="s">
        <v>1676</v>
      </c>
      <c r="M235" s="414">
        <v>14.1</v>
      </c>
      <c r="N235" s="414" t="s">
        <v>701</v>
      </c>
      <c r="O235" s="412" t="s">
        <v>245</v>
      </c>
      <c r="P235" s="414">
        <f>I229</f>
        <v>534</v>
      </c>
      <c r="Q235" s="412" t="s">
        <v>701</v>
      </c>
      <c r="R235" s="414">
        <f>(M235*P235)</f>
        <v>7529.4</v>
      </c>
      <c r="W235" s="413"/>
    </row>
    <row r="236" spans="6:23" ht="24" customHeight="1">
      <c r="N236" s="414" t="s">
        <v>358</v>
      </c>
      <c r="O236" s="412" t="s">
        <v>359</v>
      </c>
      <c r="Q236" s="412" t="s">
        <v>358</v>
      </c>
      <c r="R236" s="414">
        <v>0</v>
      </c>
      <c r="W236" s="413"/>
    </row>
    <row r="237" spans="6:23" ht="24" hidden="1" customHeight="1">
      <c r="Q237" s="412"/>
      <c r="R237" s="418" t="s">
        <v>1288</v>
      </c>
      <c r="W237" s="413"/>
    </row>
    <row r="238" spans="6:23" ht="24" customHeight="1">
      <c r="F238" s="427">
        <v>3.6</v>
      </c>
      <c r="H238" s="412" t="s">
        <v>4303</v>
      </c>
      <c r="Q238" s="412"/>
      <c r="R238" s="414" t="e">
        <f>SUM(R231:R236)</f>
        <v>#REF!</v>
      </c>
      <c r="W238" s="413"/>
    </row>
    <row r="239" spans="6:23" ht="24" customHeight="1">
      <c r="H239" s="412" t="s">
        <v>512</v>
      </c>
      <c r="O239" s="412" t="s">
        <v>492</v>
      </c>
      <c r="Q239" s="412"/>
      <c r="R239" s="418" t="s">
        <v>1288</v>
      </c>
      <c r="W239" s="413"/>
    </row>
    <row r="240" spans="6:23" ht="24" customHeight="1">
      <c r="H240" s="418" t="s">
        <v>1676</v>
      </c>
      <c r="Q240" s="412"/>
      <c r="R240" s="417" t="e">
        <f>(R238/10)</f>
        <v>#REF!</v>
      </c>
      <c r="W240" s="413"/>
    </row>
    <row r="241" spans="6:23" ht="24" customHeight="1">
      <c r="F241" s="414">
        <v>1.25</v>
      </c>
      <c r="G241" s="414" t="s">
        <v>1089</v>
      </c>
      <c r="H241" s="412" t="s">
        <v>1224</v>
      </c>
      <c r="I241" s="414">
        <f>C812</f>
        <v>3.15</v>
      </c>
      <c r="J241" s="412" t="s">
        <v>1089</v>
      </c>
      <c r="K241" s="414">
        <f>(F241*I241)</f>
        <v>3.94</v>
      </c>
      <c r="O241" s="420" t="s">
        <v>621</v>
      </c>
      <c r="Q241" s="412"/>
      <c r="R241" s="418" t="s">
        <v>1676</v>
      </c>
      <c r="W241" s="413"/>
    </row>
    <row r="242" spans="6:23" ht="24" customHeight="1">
      <c r="F242" s="414">
        <v>0.75</v>
      </c>
      <c r="G242" s="414" t="s">
        <v>1089</v>
      </c>
      <c r="H242" s="412" t="s">
        <v>601</v>
      </c>
      <c r="I242" s="414" t="e">
        <f>AC37</f>
        <v>#REF!</v>
      </c>
      <c r="J242" s="412" t="s">
        <v>1089</v>
      </c>
      <c r="K242" s="414" t="e">
        <f>(F242*I242)</f>
        <v>#REF!</v>
      </c>
      <c r="W242" s="413"/>
    </row>
    <row r="243" spans="6:23" ht="24" customHeight="1">
      <c r="F243" s="414">
        <v>0.5</v>
      </c>
      <c r="G243" s="414" t="s">
        <v>1089</v>
      </c>
      <c r="H243" s="412" t="s">
        <v>1706</v>
      </c>
      <c r="I243" s="414" t="e">
        <f>AC36</f>
        <v>#REF!</v>
      </c>
      <c r="J243" s="412" t="s">
        <v>1089</v>
      </c>
      <c r="K243" s="414" t="e">
        <f>(F243*I243)</f>
        <v>#REF!</v>
      </c>
      <c r="W243" s="413"/>
    </row>
    <row r="244" spans="6:23" ht="24" customHeight="1">
      <c r="F244" s="414">
        <v>0.45</v>
      </c>
      <c r="G244" s="414" t="s">
        <v>1089</v>
      </c>
      <c r="H244" s="412" t="s">
        <v>745</v>
      </c>
      <c r="I244" s="414" t="e">
        <f>AC38</f>
        <v>#REF!</v>
      </c>
      <c r="J244" s="412" t="s">
        <v>1089</v>
      </c>
      <c r="K244" s="414" t="e">
        <f>(F244*I244)</f>
        <v>#REF!</v>
      </c>
      <c r="W244" s="413"/>
    </row>
    <row r="245" spans="6:23" ht="24" customHeight="1">
      <c r="F245" s="414">
        <v>10</v>
      </c>
      <c r="G245" s="414" t="s">
        <v>184</v>
      </c>
      <c r="H245" s="412" t="s">
        <v>1559</v>
      </c>
      <c r="I245" s="414">
        <v>17.82</v>
      </c>
      <c r="J245" s="412" t="s">
        <v>184</v>
      </c>
      <c r="K245" s="414">
        <f>(F245*I245)</f>
        <v>178.2</v>
      </c>
      <c r="W245" s="413"/>
    </row>
    <row r="246" spans="6:23" ht="24" customHeight="1">
      <c r="H246" s="412" t="s">
        <v>1560</v>
      </c>
      <c r="K246" s="418" t="s">
        <v>1288</v>
      </c>
      <c r="W246" s="413"/>
    </row>
    <row r="247" spans="6:23" ht="24" customHeight="1">
      <c r="H247" s="412" t="s">
        <v>1561</v>
      </c>
      <c r="K247" s="414" t="e">
        <f>SUM(K241:K245)</f>
        <v>#REF!</v>
      </c>
      <c r="W247" s="413"/>
    </row>
    <row r="248" spans="6:23" ht="24" customHeight="1">
      <c r="K248" s="418" t="s">
        <v>1288</v>
      </c>
      <c r="W248" s="413"/>
    </row>
    <row r="249" spans="6:23" ht="24" customHeight="1">
      <c r="H249" s="420" t="s">
        <v>1562</v>
      </c>
      <c r="K249" s="417" t="e">
        <f>K247/10</f>
        <v>#REF!</v>
      </c>
      <c r="W249" s="413"/>
    </row>
    <row r="250" spans="6:23" ht="24" customHeight="1">
      <c r="K250" s="418" t="s">
        <v>1676</v>
      </c>
      <c r="W250" s="413"/>
    </row>
    <row r="251" spans="6:23" ht="24" customHeight="1">
      <c r="W251" s="413"/>
    </row>
    <row r="252" spans="6:23" ht="24" customHeight="1">
      <c r="F252" s="427">
        <v>3.7</v>
      </c>
      <c r="H252" s="412" t="s">
        <v>4304</v>
      </c>
      <c r="W252" s="413"/>
    </row>
    <row r="253" spans="6:23" ht="24" customHeight="1">
      <c r="H253" s="418" t="s">
        <v>1288</v>
      </c>
      <c r="W253" s="413"/>
    </row>
    <row r="254" spans="6:23" ht="24" customHeight="1">
      <c r="F254" s="414">
        <v>2.7</v>
      </c>
      <c r="G254" s="414" t="s">
        <v>1089</v>
      </c>
      <c r="H254" s="412" t="s">
        <v>123</v>
      </c>
      <c r="I254" s="414" t="e">
        <f>AC35</f>
        <v>#REF!</v>
      </c>
      <c r="J254" s="412" t="s">
        <v>1089</v>
      </c>
      <c r="K254" s="414" t="e">
        <f>(F254*I254)</f>
        <v>#REF!</v>
      </c>
      <c r="W254" s="413"/>
    </row>
    <row r="255" spans="6:23" ht="24" customHeight="1">
      <c r="F255" s="440">
        <v>0.14499999999999999</v>
      </c>
      <c r="G255" s="414" t="s">
        <v>1089</v>
      </c>
      <c r="H255" s="412" t="s">
        <v>733</v>
      </c>
      <c r="I255" s="414" t="e">
        <f>AC17</f>
        <v>#REF!</v>
      </c>
      <c r="J255" s="412" t="s">
        <v>1089</v>
      </c>
      <c r="K255" s="414" t="e">
        <f>(F255*I255)</f>
        <v>#REF!</v>
      </c>
      <c r="W255" s="413"/>
    </row>
    <row r="256" spans="6:23" ht="24" customHeight="1">
      <c r="F256" s="414">
        <v>218.8</v>
      </c>
      <c r="G256" s="414" t="s">
        <v>734</v>
      </c>
      <c r="H256" s="412" t="s">
        <v>735</v>
      </c>
      <c r="I256" s="414">
        <f>C142</f>
        <v>43563.69</v>
      </c>
      <c r="J256" s="412" t="s">
        <v>427</v>
      </c>
      <c r="K256" s="414">
        <f>(F256*I256)/1000</f>
        <v>9531.74</v>
      </c>
      <c r="W256" s="413"/>
    </row>
    <row r="257" spans="1:33" ht="24" customHeight="1">
      <c r="F257" s="414">
        <v>100</v>
      </c>
      <c r="G257" s="414" t="s">
        <v>184</v>
      </c>
      <c r="H257" s="412" t="s">
        <v>736</v>
      </c>
      <c r="I257" s="414">
        <v>14.3</v>
      </c>
      <c r="J257" s="412" t="s">
        <v>184</v>
      </c>
      <c r="K257" s="414">
        <f>(F257*I257)</f>
        <v>1430</v>
      </c>
      <c r="W257" s="413"/>
    </row>
    <row r="258" spans="1:33" ht="24" customHeight="1">
      <c r="K258" s="418" t="s">
        <v>1288</v>
      </c>
      <c r="W258" s="413"/>
    </row>
    <row r="259" spans="1:33" ht="24" customHeight="1">
      <c r="H259" s="412" t="s">
        <v>737</v>
      </c>
      <c r="K259" s="414" t="e">
        <f>SUM(K254:K257)</f>
        <v>#REF!</v>
      </c>
      <c r="W259" s="413"/>
    </row>
    <row r="260" spans="1:33" ht="24" customHeight="1">
      <c r="K260" s="418" t="s">
        <v>1288</v>
      </c>
      <c r="W260" s="413"/>
    </row>
    <row r="261" spans="1:33" ht="24" customHeight="1">
      <c r="H261" s="420" t="s">
        <v>1562</v>
      </c>
      <c r="K261" s="417" t="e">
        <f>K259/100</f>
        <v>#REF!</v>
      </c>
      <c r="W261" s="413"/>
    </row>
    <row r="262" spans="1:33" ht="24" customHeight="1">
      <c r="F262" s="412" t="s">
        <v>790</v>
      </c>
      <c r="G262" s="414" t="s">
        <v>790</v>
      </c>
      <c r="K262" s="418" t="s">
        <v>1676</v>
      </c>
      <c r="W262" s="413"/>
    </row>
    <row r="263" spans="1:33" ht="24" customHeight="1">
      <c r="W263" s="413"/>
    </row>
    <row r="264" spans="1:33" ht="24" hidden="1" customHeight="1">
      <c r="W264" s="413"/>
    </row>
    <row r="265" spans="1:33" ht="24" customHeight="1">
      <c r="A265" s="424">
        <f>(A206+1)</f>
        <v>105</v>
      </c>
      <c r="B265" s="412" t="s">
        <v>2948</v>
      </c>
      <c r="C265" s="414">
        <v>140.65</v>
      </c>
      <c r="D265" s="412" t="s">
        <v>619</v>
      </c>
      <c r="F265" s="413" t="s">
        <v>543</v>
      </c>
      <c r="H265" s="412" t="s">
        <v>1308</v>
      </c>
      <c r="N265" s="412" t="s">
        <v>544</v>
      </c>
      <c r="O265" s="412" t="s">
        <v>676</v>
      </c>
      <c r="W265" s="413"/>
      <c r="AG265" s="412"/>
    </row>
    <row r="266" spans="1:33" ht="24" customHeight="1">
      <c r="A266" s="424">
        <f t="shared" ref="A266:A280" si="31">(A265+1)</f>
        <v>106</v>
      </c>
      <c r="B266" s="412" t="s">
        <v>3150</v>
      </c>
      <c r="C266" s="414">
        <v>170.35</v>
      </c>
      <c r="D266" s="412" t="s">
        <v>619</v>
      </c>
      <c r="H266" s="418" t="s">
        <v>1676</v>
      </c>
      <c r="O266" s="418" t="s">
        <v>1288</v>
      </c>
      <c r="W266" s="413"/>
      <c r="AG266" s="412"/>
    </row>
    <row r="267" spans="1:33" ht="24" customHeight="1">
      <c r="A267" s="424">
        <f t="shared" si="31"/>
        <v>107</v>
      </c>
      <c r="B267" s="412" t="s">
        <v>3151</v>
      </c>
      <c r="C267" s="414">
        <v>63</v>
      </c>
      <c r="D267" s="414">
        <v>156</v>
      </c>
      <c r="E267" s="414" t="s">
        <v>3152</v>
      </c>
      <c r="G267" s="414" t="s">
        <v>1833</v>
      </c>
      <c r="H267" s="412" t="s">
        <v>316</v>
      </c>
      <c r="M267" s="414">
        <v>1.1399999999999999</v>
      </c>
      <c r="N267" s="412" t="s">
        <v>702</v>
      </c>
      <c r="O267" s="412" t="s">
        <v>1857</v>
      </c>
      <c r="P267" s="414" t="e">
        <f>(K420)</f>
        <v>#REF!</v>
      </c>
      <c r="Q267" s="412" t="s">
        <v>701</v>
      </c>
      <c r="R267" s="414" t="e">
        <f>(M267*P267)</f>
        <v>#REF!</v>
      </c>
      <c r="W267" s="413"/>
      <c r="AG267" s="412"/>
    </row>
    <row r="268" spans="1:33" ht="39" customHeight="1">
      <c r="A268" s="424">
        <f t="shared" si="31"/>
        <v>108</v>
      </c>
      <c r="B268" s="426" t="s">
        <v>3153</v>
      </c>
      <c r="C268" s="414">
        <v>17600</v>
      </c>
      <c r="D268" s="412" t="s">
        <v>702</v>
      </c>
      <c r="H268" s="412" t="s">
        <v>1849</v>
      </c>
      <c r="M268" s="414">
        <v>1</v>
      </c>
      <c r="N268" s="412" t="s">
        <v>619</v>
      </c>
      <c r="O268" s="412" t="s">
        <v>1637</v>
      </c>
      <c r="P268" s="414">
        <f>(C10)</f>
        <v>999</v>
      </c>
      <c r="Q268" s="412" t="s">
        <v>701</v>
      </c>
      <c r="R268" s="414">
        <f>(M268*P268)</f>
        <v>999</v>
      </c>
      <c r="W268" s="413"/>
      <c r="AG268" s="412"/>
    </row>
    <row r="269" spans="1:33" ht="24" customHeight="1">
      <c r="A269" s="424">
        <f t="shared" si="31"/>
        <v>109</v>
      </c>
      <c r="B269" s="412" t="s">
        <v>3154</v>
      </c>
      <c r="C269" s="414">
        <v>15500</v>
      </c>
      <c r="D269" s="412" t="s">
        <v>702</v>
      </c>
      <c r="H269" s="418" t="s">
        <v>1288</v>
      </c>
      <c r="N269" s="412" t="s">
        <v>358</v>
      </c>
      <c r="O269" s="412" t="s">
        <v>359</v>
      </c>
      <c r="P269" s="412" t="s">
        <v>790</v>
      </c>
      <c r="Q269" s="412" t="s">
        <v>358</v>
      </c>
      <c r="R269" s="414">
        <v>0.05</v>
      </c>
      <c r="W269" s="413"/>
      <c r="AG269" s="412"/>
    </row>
    <row r="270" spans="1:33" ht="24" customHeight="1">
      <c r="A270" s="424">
        <f t="shared" si="31"/>
        <v>110</v>
      </c>
      <c r="B270" s="412" t="s">
        <v>3155</v>
      </c>
      <c r="C270" s="414">
        <v>25.2</v>
      </c>
      <c r="D270" s="412" t="s">
        <v>619</v>
      </c>
      <c r="F270" s="414">
        <v>9</v>
      </c>
      <c r="G270" s="414" t="s">
        <v>702</v>
      </c>
      <c r="H270" s="412" t="s">
        <v>349</v>
      </c>
      <c r="I270" s="414" t="e">
        <f>(C73)</f>
        <v>#REF!</v>
      </c>
      <c r="J270" s="412" t="s">
        <v>702</v>
      </c>
      <c r="K270" s="414" t="e">
        <f t="shared" ref="K270:K275" si="32">(F270*I270)</f>
        <v>#REF!</v>
      </c>
      <c r="R270" s="418" t="s">
        <v>1288</v>
      </c>
      <c r="W270" s="413"/>
      <c r="AG270" s="412"/>
    </row>
    <row r="271" spans="1:33" ht="24" customHeight="1">
      <c r="A271" s="424">
        <f t="shared" si="31"/>
        <v>111</v>
      </c>
      <c r="B271" s="412" t="s">
        <v>2949</v>
      </c>
      <c r="C271" s="414">
        <v>49.85</v>
      </c>
      <c r="D271" s="412" t="s">
        <v>1341</v>
      </c>
      <c r="E271" s="414">
        <v>158</v>
      </c>
      <c r="F271" s="416">
        <v>3.2309999999999999</v>
      </c>
      <c r="G271" s="414" t="s">
        <v>694</v>
      </c>
      <c r="H271" s="412" t="s">
        <v>695</v>
      </c>
      <c r="I271" s="414" t="e">
        <f>(C67)</f>
        <v>#REF!</v>
      </c>
      <c r="J271" s="412" t="s">
        <v>694</v>
      </c>
      <c r="K271" s="414" t="e">
        <f t="shared" si="32"/>
        <v>#REF!</v>
      </c>
      <c r="O271" s="412" t="s">
        <v>351</v>
      </c>
      <c r="R271" s="414" t="e">
        <f>SUM(R267:R269)</f>
        <v>#REF!</v>
      </c>
      <c r="W271" s="413"/>
      <c r="AG271" s="412"/>
    </row>
    <row r="272" spans="1:33" ht="24" customHeight="1">
      <c r="A272" s="424">
        <f t="shared" si="31"/>
        <v>112</v>
      </c>
      <c r="B272" s="412" t="s">
        <v>2950</v>
      </c>
      <c r="C272" s="414">
        <v>306.89999999999998</v>
      </c>
      <c r="D272" s="414">
        <v>452.09</v>
      </c>
      <c r="E272" s="414">
        <v>250</v>
      </c>
      <c r="F272" s="414">
        <v>4.5</v>
      </c>
      <c r="G272" s="414" t="s">
        <v>702</v>
      </c>
      <c r="H272" s="412" t="s">
        <v>703</v>
      </c>
      <c r="I272" s="414" t="e">
        <f>(C78)</f>
        <v>#REF!</v>
      </c>
      <c r="J272" s="412" t="s">
        <v>702</v>
      </c>
      <c r="K272" s="414" t="e">
        <f t="shared" si="32"/>
        <v>#REF!</v>
      </c>
      <c r="R272" s="418" t="s">
        <v>1288</v>
      </c>
      <c r="W272" s="413"/>
      <c r="AG272" s="412"/>
    </row>
    <row r="273" spans="1:33" ht="24" customHeight="1">
      <c r="A273" s="424">
        <f t="shared" si="31"/>
        <v>113</v>
      </c>
      <c r="B273" s="412" t="s">
        <v>2951</v>
      </c>
      <c r="C273" s="414">
        <v>144.1</v>
      </c>
      <c r="D273" s="412" t="s">
        <v>1443</v>
      </c>
      <c r="F273" s="414">
        <v>3.5</v>
      </c>
      <c r="G273" s="414" t="s">
        <v>701</v>
      </c>
      <c r="H273" s="412" t="s">
        <v>1392</v>
      </c>
      <c r="I273" s="414">
        <f>(C11)</f>
        <v>932</v>
      </c>
      <c r="J273" s="412" t="s">
        <v>701</v>
      </c>
      <c r="K273" s="414">
        <f t="shared" si="32"/>
        <v>3262</v>
      </c>
      <c r="O273" s="412" t="s">
        <v>447</v>
      </c>
      <c r="R273" s="414" t="e">
        <f>(R271/10)</f>
        <v>#REF!</v>
      </c>
      <c r="W273" s="413"/>
      <c r="AG273" s="412"/>
    </row>
    <row r="274" spans="1:33" ht="24" customHeight="1">
      <c r="A274" s="424">
        <f t="shared" si="31"/>
        <v>114</v>
      </c>
      <c r="B274" s="412" t="s">
        <v>2952</v>
      </c>
      <c r="C274" s="414">
        <v>52.3</v>
      </c>
      <c r="D274" s="412" t="s">
        <v>619</v>
      </c>
      <c r="F274" s="414">
        <v>21.2</v>
      </c>
      <c r="G274" s="414" t="s">
        <v>701</v>
      </c>
      <c r="H274" s="412" t="s">
        <v>1550</v>
      </c>
      <c r="I274" s="414">
        <f>(C12)</f>
        <v>651</v>
      </c>
      <c r="J274" s="412" t="s">
        <v>701</v>
      </c>
      <c r="K274" s="414">
        <f t="shared" si="32"/>
        <v>13801.2</v>
      </c>
      <c r="R274" s="418" t="s">
        <v>1676</v>
      </c>
      <c r="W274" s="413"/>
      <c r="Y274" s="416"/>
      <c r="Z274" s="416"/>
      <c r="AG274" s="412"/>
    </row>
    <row r="275" spans="1:33" ht="24" customHeight="1">
      <c r="A275" s="424">
        <f t="shared" si="31"/>
        <v>115</v>
      </c>
      <c r="B275" s="412" t="s">
        <v>2953</v>
      </c>
      <c r="C275" s="414">
        <v>45.7</v>
      </c>
      <c r="D275" s="412" t="s">
        <v>619</v>
      </c>
      <c r="F275" s="414">
        <v>35.299999999999997</v>
      </c>
      <c r="G275" s="414" t="s">
        <v>701</v>
      </c>
      <c r="H275" s="412" t="s">
        <v>245</v>
      </c>
      <c r="I275" s="414">
        <f>(C13)</f>
        <v>534</v>
      </c>
      <c r="J275" s="412" t="s">
        <v>701</v>
      </c>
      <c r="K275" s="414">
        <f t="shared" si="32"/>
        <v>18850.2</v>
      </c>
      <c r="N275" s="412" t="s">
        <v>923</v>
      </c>
      <c r="O275" s="412" t="s">
        <v>307</v>
      </c>
      <c r="R275" s="414" t="e">
        <f>(R273+C19/10*M267)</f>
        <v>#REF!</v>
      </c>
      <c r="W275" s="413"/>
      <c r="Y275" s="416"/>
      <c r="Z275" s="416"/>
      <c r="AG275" s="412"/>
    </row>
    <row r="276" spans="1:33" ht="24" customHeight="1">
      <c r="A276" s="424">
        <f t="shared" si="31"/>
        <v>116</v>
      </c>
      <c r="B276" s="412" t="s">
        <v>530</v>
      </c>
      <c r="C276" s="414">
        <v>16.440000000000001</v>
      </c>
      <c r="D276" s="412" t="s">
        <v>619</v>
      </c>
      <c r="G276" s="414" t="s">
        <v>358</v>
      </c>
      <c r="H276" s="412" t="s">
        <v>359</v>
      </c>
      <c r="I276" s="412" t="s">
        <v>790</v>
      </c>
      <c r="J276" s="412" t="s">
        <v>358</v>
      </c>
      <c r="K276" s="414">
        <v>0</v>
      </c>
      <c r="N276" s="412" t="s">
        <v>531</v>
      </c>
      <c r="O276" s="412" t="s">
        <v>309</v>
      </c>
      <c r="R276" s="414" t="e">
        <f>(R275+C20/10*M267)</f>
        <v>#REF!</v>
      </c>
      <c r="W276" s="413"/>
      <c r="Y276" s="416"/>
      <c r="Z276" s="416"/>
      <c r="AG276" s="412"/>
    </row>
    <row r="277" spans="1:33" ht="24" customHeight="1">
      <c r="A277" s="424">
        <f t="shared" si="31"/>
        <v>117</v>
      </c>
      <c r="B277" s="412" t="s">
        <v>2954</v>
      </c>
      <c r="C277" s="414">
        <v>32.1</v>
      </c>
      <c r="D277" s="414">
        <v>6.25</v>
      </c>
      <c r="K277" s="418" t="s">
        <v>1288</v>
      </c>
      <c r="N277" s="412" t="s">
        <v>542</v>
      </c>
      <c r="O277" s="412" t="s">
        <v>1818</v>
      </c>
      <c r="R277" s="414" t="e">
        <f>(R276+C21/10*M267)</f>
        <v>#REF!</v>
      </c>
      <c r="W277" s="413"/>
      <c r="Y277" s="416"/>
      <c r="Z277" s="416"/>
      <c r="AG277" s="412"/>
    </row>
    <row r="278" spans="1:33" ht="24" customHeight="1">
      <c r="A278" s="424">
        <f t="shared" si="31"/>
        <v>118</v>
      </c>
      <c r="B278" s="412" t="s">
        <v>2955</v>
      </c>
      <c r="C278" s="414">
        <v>364.6</v>
      </c>
      <c r="D278" s="412" t="s">
        <v>488</v>
      </c>
      <c r="H278" s="412" t="s">
        <v>1767</v>
      </c>
      <c r="K278" s="414" t="e">
        <f>SUM(K270:K276)</f>
        <v>#REF!</v>
      </c>
      <c r="N278" s="412" t="s">
        <v>1768</v>
      </c>
      <c r="O278" s="412" t="s">
        <v>301</v>
      </c>
      <c r="R278" s="414" t="e">
        <f>(R277+C21/10*M267)</f>
        <v>#REF!</v>
      </c>
      <c r="W278" s="413"/>
      <c r="Y278" s="416"/>
      <c r="Z278" s="416"/>
      <c r="AG278" s="412"/>
    </row>
    <row r="279" spans="1:33" ht="24" customHeight="1">
      <c r="A279" s="424">
        <f t="shared" si="31"/>
        <v>119</v>
      </c>
      <c r="B279" s="412" t="s">
        <v>2956</v>
      </c>
      <c r="C279" s="414">
        <v>89.6</v>
      </c>
      <c r="D279" s="412" t="s">
        <v>619</v>
      </c>
      <c r="K279" s="418" t="s">
        <v>1288</v>
      </c>
      <c r="W279" s="413"/>
      <c r="Z279" s="416"/>
      <c r="AG279" s="412"/>
    </row>
    <row r="280" spans="1:33" ht="24" customHeight="1">
      <c r="A280" s="424">
        <f t="shared" si="31"/>
        <v>120</v>
      </c>
      <c r="B280" s="412" t="s">
        <v>2957</v>
      </c>
      <c r="C280" s="414">
        <v>71.900000000000006</v>
      </c>
      <c r="D280" s="412" t="s">
        <v>619</v>
      </c>
      <c r="H280" s="420" t="s">
        <v>621</v>
      </c>
      <c r="K280" s="417" t="e">
        <f>(K278/10)</f>
        <v>#REF!</v>
      </c>
      <c r="R280" s="412" t="s">
        <v>790</v>
      </c>
      <c r="W280" s="413"/>
      <c r="AG280" s="412"/>
    </row>
    <row r="281" spans="1:33" ht="24" customHeight="1">
      <c r="F281" s="412" t="s">
        <v>790</v>
      </c>
      <c r="N281" s="412" t="s">
        <v>544</v>
      </c>
      <c r="O281" s="412" t="s">
        <v>1769</v>
      </c>
      <c r="W281" s="413"/>
    </row>
    <row r="282" spans="1:33" ht="24" hidden="1" customHeight="1">
      <c r="A282" s="424">
        <f>(A280+1)</f>
        <v>121</v>
      </c>
      <c r="B282" s="412" t="s">
        <v>2958</v>
      </c>
      <c r="C282" s="414">
        <v>49.35</v>
      </c>
      <c r="D282" s="412" t="s">
        <v>619</v>
      </c>
      <c r="O282" s="412" t="s">
        <v>1286</v>
      </c>
      <c r="W282" s="413"/>
      <c r="AG282" s="412"/>
    </row>
    <row r="283" spans="1:33" ht="24" customHeight="1">
      <c r="A283" s="424">
        <f t="shared" ref="A283:A346" si="33">(A282+1)</f>
        <v>122</v>
      </c>
      <c r="B283" s="412" t="s">
        <v>2959</v>
      </c>
      <c r="C283" s="414">
        <v>39.85</v>
      </c>
      <c r="D283" s="412" t="s">
        <v>619</v>
      </c>
      <c r="F283" s="414">
        <v>1</v>
      </c>
      <c r="G283" s="414" t="s">
        <v>702</v>
      </c>
      <c r="H283" s="412" t="s">
        <v>33</v>
      </c>
      <c r="K283" s="414">
        <f>(C25)</f>
        <v>94.2</v>
      </c>
      <c r="O283" s="418" t="s">
        <v>1288</v>
      </c>
      <c r="W283" s="413"/>
      <c r="AG283" s="412"/>
    </row>
    <row r="284" spans="1:33" ht="24" customHeight="1">
      <c r="A284" s="424">
        <f t="shared" si="33"/>
        <v>123</v>
      </c>
      <c r="B284" s="412" t="s">
        <v>2960</v>
      </c>
      <c r="C284" s="414">
        <v>64.8</v>
      </c>
      <c r="D284" s="412" t="s">
        <v>619</v>
      </c>
      <c r="K284" s="418" t="s">
        <v>1288</v>
      </c>
      <c r="M284" s="414">
        <v>10</v>
      </c>
      <c r="N284" s="412" t="s">
        <v>488</v>
      </c>
      <c r="O284" s="412" t="s">
        <v>34</v>
      </c>
      <c r="P284" s="414" t="e">
        <f>(K1241)</f>
        <v>#REF!</v>
      </c>
      <c r="Q284" s="412" t="s">
        <v>488</v>
      </c>
      <c r="R284" s="414" t="e">
        <f>(M284*P284)</f>
        <v>#REF!</v>
      </c>
      <c r="W284" s="413"/>
      <c r="AG284" s="412"/>
    </row>
    <row r="285" spans="1:33" ht="24" customHeight="1">
      <c r="A285" s="424">
        <f t="shared" si="33"/>
        <v>124</v>
      </c>
      <c r="B285" s="412" t="s">
        <v>2961</v>
      </c>
      <c r="C285" s="414">
        <v>39.700000000000003</v>
      </c>
      <c r="D285" s="412" t="s">
        <v>619</v>
      </c>
      <c r="E285" s="414">
        <v>57</v>
      </c>
      <c r="H285" s="412" t="s">
        <v>484</v>
      </c>
      <c r="K285" s="417" t="e">
        <f>SUM(K280:K283)</f>
        <v>#REF!</v>
      </c>
      <c r="M285" s="414">
        <v>1.1000000000000001</v>
      </c>
      <c r="N285" s="412" t="s">
        <v>701</v>
      </c>
      <c r="O285" s="412" t="s">
        <v>1392</v>
      </c>
      <c r="P285" s="414">
        <f>(C11)</f>
        <v>932</v>
      </c>
      <c r="Q285" s="412" t="s">
        <v>701</v>
      </c>
      <c r="R285" s="414">
        <f>(M285*P285)</f>
        <v>1025.2</v>
      </c>
      <c r="W285" s="413"/>
      <c r="AG285" s="412"/>
    </row>
    <row r="286" spans="1:33" ht="24" customHeight="1">
      <c r="A286" s="424">
        <f t="shared" si="33"/>
        <v>125</v>
      </c>
      <c r="B286" s="412" t="s">
        <v>2962</v>
      </c>
      <c r="C286" s="414">
        <v>181</v>
      </c>
      <c r="D286" s="412" t="s">
        <v>619</v>
      </c>
      <c r="K286" s="418" t="s">
        <v>1288</v>
      </c>
      <c r="M286" s="414">
        <v>1.1000000000000001</v>
      </c>
      <c r="N286" s="412" t="s">
        <v>701</v>
      </c>
      <c r="O286" s="412" t="s">
        <v>1550</v>
      </c>
      <c r="P286" s="414">
        <f>(C12)</f>
        <v>651</v>
      </c>
      <c r="Q286" s="412" t="s">
        <v>701</v>
      </c>
      <c r="R286" s="414">
        <f>(M286*P286)</f>
        <v>716.1</v>
      </c>
      <c r="W286" s="413"/>
      <c r="AG286" s="412"/>
    </row>
    <row r="287" spans="1:33" ht="24" customHeight="1">
      <c r="A287" s="424">
        <f t="shared" si="33"/>
        <v>126</v>
      </c>
      <c r="B287" s="412" t="s">
        <v>2963</v>
      </c>
      <c r="C287" s="414">
        <v>101.6</v>
      </c>
      <c r="D287" s="412" t="s">
        <v>619</v>
      </c>
      <c r="H287" s="412" t="s">
        <v>307</v>
      </c>
      <c r="K287" s="417" t="e">
        <f>(K285+C22)</f>
        <v>#REF!</v>
      </c>
      <c r="L287" s="414">
        <v>54</v>
      </c>
      <c r="M287" s="414">
        <v>1.1000000000000001</v>
      </c>
      <c r="N287" s="412" t="s">
        <v>701</v>
      </c>
      <c r="O287" s="412" t="s">
        <v>193</v>
      </c>
      <c r="P287" s="414">
        <f>(C13)</f>
        <v>534</v>
      </c>
      <c r="Q287" s="412" t="s">
        <v>701</v>
      </c>
      <c r="R287" s="414">
        <f>(M287*P287)</f>
        <v>587.4</v>
      </c>
      <c r="W287" s="413"/>
      <c r="AG287" s="412"/>
    </row>
    <row r="288" spans="1:33" ht="24" customHeight="1">
      <c r="A288" s="424">
        <f t="shared" si="33"/>
        <v>127</v>
      </c>
      <c r="B288" s="412" t="s">
        <v>2586</v>
      </c>
      <c r="C288" s="414">
        <v>7.3</v>
      </c>
      <c r="D288" s="412" t="s">
        <v>619</v>
      </c>
      <c r="H288" s="412" t="s">
        <v>309</v>
      </c>
      <c r="K288" s="417" t="e">
        <f>(K287+C23)</f>
        <v>#REF!</v>
      </c>
      <c r="L288" s="414">
        <v>107</v>
      </c>
      <c r="R288" s="418" t="s">
        <v>1288</v>
      </c>
      <c r="W288" s="413"/>
      <c r="AG288" s="412"/>
    </row>
    <row r="289" spans="1:33" ht="24" customHeight="1">
      <c r="A289" s="424">
        <f t="shared" si="33"/>
        <v>128</v>
      </c>
      <c r="B289" s="412" t="s">
        <v>937</v>
      </c>
      <c r="C289" s="414">
        <v>7.3</v>
      </c>
      <c r="D289" s="412" t="s">
        <v>619</v>
      </c>
      <c r="H289" s="412" t="s">
        <v>1818</v>
      </c>
      <c r="K289" s="417" t="e">
        <f>(K288+C24)</f>
        <v>#REF!</v>
      </c>
      <c r="O289" s="412" t="s">
        <v>351</v>
      </c>
      <c r="R289" s="414" t="e">
        <f>SUM(R284:R287)</f>
        <v>#REF!</v>
      </c>
      <c r="W289" s="413"/>
      <c r="AG289" s="412"/>
    </row>
    <row r="290" spans="1:33" ht="24" customHeight="1">
      <c r="A290" s="424">
        <f t="shared" si="33"/>
        <v>129</v>
      </c>
      <c r="B290" s="412" t="s">
        <v>938</v>
      </c>
      <c r="C290" s="414">
        <v>2.9</v>
      </c>
      <c r="D290" s="412" t="s">
        <v>939</v>
      </c>
      <c r="H290" s="412" t="s">
        <v>301</v>
      </c>
      <c r="K290" s="417" t="e">
        <f>(K289+C24)</f>
        <v>#REF!</v>
      </c>
      <c r="R290" s="418" t="s">
        <v>1288</v>
      </c>
      <c r="W290" s="413"/>
      <c r="AG290" s="412"/>
    </row>
    <row r="291" spans="1:33" ht="24" customHeight="1">
      <c r="A291" s="424">
        <f t="shared" si="33"/>
        <v>130</v>
      </c>
      <c r="B291" s="412" t="s">
        <v>940</v>
      </c>
      <c r="C291" s="414">
        <v>11.8</v>
      </c>
      <c r="D291" s="412" t="s">
        <v>939</v>
      </c>
      <c r="H291" s="412" t="s">
        <v>388</v>
      </c>
      <c r="K291" s="417" t="e">
        <f>(K290+C24)</f>
        <v>#REF!</v>
      </c>
      <c r="O291" s="412" t="s">
        <v>447</v>
      </c>
      <c r="R291" s="414" t="e">
        <f>(R289/10)</f>
        <v>#REF!</v>
      </c>
      <c r="W291" s="413"/>
      <c r="AG291" s="412"/>
    </row>
    <row r="292" spans="1:33" ht="24" customHeight="1">
      <c r="A292" s="424">
        <f t="shared" si="33"/>
        <v>131</v>
      </c>
      <c r="B292" s="412" t="s">
        <v>389</v>
      </c>
      <c r="C292" s="414">
        <v>8.9</v>
      </c>
      <c r="D292" s="412" t="s">
        <v>619</v>
      </c>
      <c r="R292" s="418" t="s">
        <v>1676</v>
      </c>
      <c r="W292" s="413"/>
      <c r="AG292" s="412"/>
    </row>
    <row r="293" spans="1:33" ht="24" customHeight="1">
      <c r="A293" s="424">
        <f t="shared" si="33"/>
        <v>132</v>
      </c>
      <c r="B293" s="412" t="s">
        <v>390</v>
      </c>
      <c r="C293" s="414">
        <v>6.1</v>
      </c>
      <c r="D293" s="412" t="s">
        <v>619</v>
      </c>
      <c r="F293" s="413" t="s">
        <v>1229</v>
      </c>
      <c r="G293" s="414" t="s">
        <v>1833</v>
      </c>
      <c r="H293" s="412" t="s">
        <v>391</v>
      </c>
      <c r="W293" s="413"/>
      <c r="AG293" s="412"/>
    </row>
    <row r="294" spans="1:33" ht="24" customHeight="1">
      <c r="A294" s="424">
        <f t="shared" si="33"/>
        <v>133</v>
      </c>
      <c r="B294" s="412" t="s">
        <v>392</v>
      </c>
      <c r="C294" s="414">
        <v>5.75</v>
      </c>
      <c r="D294" s="412" t="s">
        <v>619</v>
      </c>
      <c r="H294" s="418" t="s">
        <v>1676</v>
      </c>
      <c r="N294" s="412" t="s">
        <v>1833</v>
      </c>
      <c r="O294" s="412" t="s">
        <v>914</v>
      </c>
      <c r="W294" s="413"/>
      <c r="AG294" s="412"/>
    </row>
    <row r="295" spans="1:33" ht="24" customHeight="1">
      <c r="A295" s="424">
        <f t="shared" si="33"/>
        <v>134</v>
      </c>
      <c r="B295" s="412" t="s">
        <v>915</v>
      </c>
      <c r="C295" s="414">
        <v>8.5</v>
      </c>
      <c r="D295" s="412" t="s">
        <v>619</v>
      </c>
      <c r="F295" s="414">
        <v>10</v>
      </c>
      <c r="G295" s="414" t="s">
        <v>702</v>
      </c>
      <c r="H295" s="412" t="s">
        <v>698</v>
      </c>
      <c r="I295" s="414" t="e">
        <f>(C68)</f>
        <v>#REF!</v>
      </c>
      <c r="J295" s="412" t="s">
        <v>702</v>
      </c>
      <c r="K295" s="414" t="e">
        <f t="shared" ref="K295:K301" si="34">(F295*I295)</f>
        <v>#REF!</v>
      </c>
      <c r="O295" s="418" t="s">
        <v>1288</v>
      </c>
      <c r="W295" s="413"/>
      <c r="AG295" s="412"/>
    </row>
    <row r="296" spans="1:33" ht="24" customHeight="1">
      <c r="A296" s="424">
        <f t="shared" si="33"/>
        <v>135</v>
      </c>
      <c r="B296" s="412" t="s">
        <v>1026</v>
      </c>
      <c r="C296" s="414">
        <v>10</v>
      </c>
      <c r="D296" s="412" t="s">
        <v>619</v>
      </c>
      <c r="F296" s="414">
        <v>1</v>
      </c>
      <c r="G296" s="414" t="s">
        <v>702</v>
      </c>
      <c r="H296" s="412" t="s">
        <v>705</v>
      </c>
      <c r="I296" s="414" t="e">
        <f>(C69)</f>
        <v>#REF!</v>
      </c>
      <c r="J296" s="412" t="s">
        <v>702</v>
      </c>
      <c r="K296" s="414" t="e">
        <f t="shared" si="34"/>
        <v>#REF!</v>
      </c>
      <c r="M296" s="414">
        <v>0.14000000000000001</v>
      </c>
      <c r="N296" s="412" t="s">
        <v>702</v>
      </c>
      <c r="O296" s="412" t="s">
        <v>1100</v>
      </c>
      <c r="P296" s="414" t="e">
        <f>(K32)</f>
        <v>#REF!</v>
      </c>
      <c r="Q296" s="412" t="s">
        <v>702</v>
      </c>
      <c r="R296" s="414" t="e">
        <f>(M296*P296)</f>
        <v>#REF!</v>
      </c>
      <c r="W296" s="413"/>
      <c r="AG296" s="412"/>
    </row>
    <row r="297" spans="1:33" ht="24" customHeight="1">
      <c r="A297" s="424">
        <f t="shared" si="33"/>
        <v>136</v>
      </c>
      <c r="B297" s="412" t="s">
        <v>1027</v>
      </c>
      <c r="C297" s="414">
        <v>7</v>
      </c>
      <c r="D297" s="412" t="s">
        <v>619</v>
      </c>
      <c r="F297" s="414">
        <v>3.4</v>
      </c>
      <c r="G297" s="414" t="s">
        <v>702</v>
      </c>
      <c r="H297" s="412" t="s">
        <v>1325</v>
      </c>
      <c r="I297" s="414" t="e">
        <f>(K49)</f>
        <v>#REF!</v>
      </c>
      <c r="J297" s="412" t="s">
        <v>702</v>
      </c>
      <c r="K297" s="414" t="e">
        <f t="shared" si="34"/>
        <v>#REF!</v>
      </c>
      <c r="M297" s="414">
        <v>1.1000000000000001</v>
      </c>
      <c r="N297" s="412" t="s">
        <v>701</v>
      </c>
      <c r="O297" s="412" t="s">
        <v>1637</v>
      </c>
      <c r="P297" s="414">
        <f>(C10)</f>
        <v>999</v>
      </c>
      <c r="Q297" s="412" t="s">
        <v>701</v>
      </c>
      <c r="R297" s="414">
        <f>(M297*P297)</f>
        <v>1098.9000000000001</v>
      </c>
      <c r="W297" s="413"/>
      <c r="AG297" s="412"/>
    </row>
    <row r="298" spans="1:33" ht="24" customHeight="1">
      <c r="A298" s="424">
        <f t="shared" si="33"/>
        <v>137</v>
      </c>
      <c r="B298" s="412" t="s">
        <v>1028</v>
      </c>
      <c r="C298" s="414">
        <v>2.2000000000000002</v>
      </c>
      <c r="D298" s="412" t="s">
        <v>619</v>
      </c>
      <c r="F298" s="414">
        <v>7.1</v>
      </c>
      <c r="G298" s="414" t="s">
        <v>701</v>
      </c>
      <c r="H298" s="412" t="s">
        <v>1637</v>
      </c>
      <c r="I298" s="414">
        <f>(C10)</f>
        <v>999</v>
      </c>
      <c r="J298" s="412" t="s">
        <v>701</v>
      </c>
      <c r="K298" s="414">
        <f t="shared" si="34"/>
        <v>7092.9</v>
      </c>
      <c r="M298" s="414">
        <v>0.5</v>
      </c>
      <c r="N298" s="412" t="s">
        <v>701</v>
      </c>
      <c r="O298" s="412" t="s">
        <v>1550</v>
      </c>
      <c r="P298" s="414">
        <f>(C12)</f>
        <v>651</v>
      </c>
      <c r="Q298" s="412" t="s">
        <v>701</v>
      </c>
      <c r="R298" s="414">
        <f>(M298*P298)</f>
        <v>325.5</v>
      </c>
      <c r="W298" s="413"/>
      <c r="AG298" s="412"/>
    </row>
    <row r="299" spans="1:33" ht="24" customHeight="1">
      <c r="A299" s="424">
        <f t="shared" si="33"/>
        <v>138</v>
      </c>
      <c r="B299" s="412" t="s">
        <v>1177</v>
      </c>
      <c r="C299" s="414">
        <v>10.5</v>
      </c>
      <c r="D299" s="412" t="s">
        <v>619</v>
      </c>
      <c r="F299" s="414">
        <v>10.6</v>
      </c>
      <c r="G299" s="414" t="s">
        <v>701</v>
      </c>
      <c r="H299" s="412" t="s">
        <v>1392</v>
      </c>
      <c r="I299" s="414">
        <f>(C11)</f>
        <v>932</v>
      </c>
      <c r="J299" s="412" t="s">
        <v>701</v>
      </c>
      <c r="K299" s="414">
        <f t="shared" si="34"/>
        <v>9879.2000000000007</v>
      </c>
      <c r="M299" s="414">
        <v>1.1000000000000001</v>
      </c>
      <c r="N299" s="412" t="s">
        <v>701</v>
      </c>
      <c r="O299" s="412" t="s">
        <v>245</v>
      </c>
      <c r="P299" s="414">
        <f>(C13)</f>
        <v>534</v>
      </c>
      <c r="Q299" s="412" t="s">
        <v>701</v>
      </c>
      <c r="R299" s="414">
        <f>(M299*P299)</f>
        <v>587.4</v>
      </c>
      <c r="W299" s="413"/>
      <c r="AG299" s="412"/>
    </row>
    <row r="300" spans="1:33" ht="24" customHeight="1">
      <c r="A300" s="424">
        <f t="shared" si="33"/>
        <v>139</v>
      </c>
      <c r="B300" s="412" t="s">
        <v>1178</v>
      </c>
      <c r="C300" s="414">
        <v>5.5</v>
      </c>
      <c r="D300" s="412" t="s">
        <v>619</v>
      </c>
      <c r="F300" s="414">
        <v>14.1</v>
      </c>
      <c r="G300" s="414" t="s">
        <v>701</v>
      </c>
      <c r="H300" s="412" t="s">
        <v>1550</v>
      </c>
      <c r="I300" s="414">
        <f>(C12)</f>
        <v>651</v>
      </c>
      <c r="J300" s="412" t="s">
        <v>701</v>
      </c>
      <c r="K300" s="414">
        <f t="shared" si="34"/>
        <v>9179.1</v>
      </c>
      <c r="N300" s="412" t="s">
        <v>358</v>
      </c>
      <c r="O300" s="412" t="s">
        <v>359</v>
      </c>
      <c r="P300" s="412" t="s">
        <v>790</v>
      </c>
      <c r="Q300" s="412" t="s">
        <v>358</v>
      </c>
      <c r="R300" s="414">
        <v>0</v>
      </c>
      <c r="W300" s="413"/>
      <c r="AG300" s="412"/>
    </row>
    <row r="301" spans="1:33" ht="24" customHeight="1">
      <c r="A301" s="424">
        <f t="shared" si="33"/>
        <v>140</v>
      </c>
      <c r="B301" s="412" t="s">
        <v>394</v>
      </c>
      <c r="C301" s="414">
        <v>21</v>
      </c>
      <c r="D301" s="412" t="s">
        <v>619</v>
      </c>
      <c r="F301" s="414">
        <v>14.1</v>
      </c>
      <c r="G301" s="414" t="s">
        <v>701</v>
      </c>
      <c r="H301" s="412" t="s">
        <v>245</v>
      </c>
      <c r="I301" s="414">
        <f>(C13)</f>
        <v>534</v>
      </c>
      <c r="J301" s="412" t="s">
        <v>701</v>
      </c>
      <c r="K301" s="414">
        <f t="shared" si="34"/>
        <v>7529.4</v>
      </c>
      <c r="R301" s="418" t="s">
        <v>1288</v>
      </c>
      <c r="W301" s="413"/>
      <c r="AG301" s="412"/>
    </row>
    <row r="302" spans="1:33" ht="24" customHeight="1">
      <c r="A302" s="424">
        <f t="shared" si="33"/>
        <v>141</v>
      </c>
      <c r="B302" s="412" t="s">
        <v>395</v>
      </c>
      <c r="C302" s="414">
        <v>10</v>
      </c>
      <c r="D302" s="412" t="s">
        <v>619</v>
      </c>
      <c r="G302" s="414" t="s">
        <v>358</v>
      </c>
      <c r="H302" s="412" t="s">
        <v>359</v>
      </c>
      <c r="J302" s="412" t="s">
        <v>358</v>
      </c>
      <c r="K302" s="414">
        <v>0</v>
      </c>
      <c r="O302" s="412" t="s">
        <v>790</v>
      </c>
      <c r="R302" s="414" t="e">
        <f>SUM(R296:R300)</f>
        <v>#REF!</v>
      </c>
      <c r="W302" s="413"/>
      <c r="AG302" s="412"/>
    </row>
    <row r="303" spans="1:33" ht="24" customHeight="1">
      <c r="A303" s="424">
        <f t="shared" si="33"/>
        <v>142</v>
      </c>
      <c r="B303" s="412" t="s">
        <v>1465</v>
      </c>
      <c r="C303" s="414">
        <v>4</v>
      </c>
      <c r="D303" s="412" t="s">
        <v>619</v>
      </c>
      <c r="K303" s="418" t="s">
        <v>1288</v>
      </c>
      <c r="R303" s="418" t="s">
        <v>1288</v>
      </c>
      <c r="W303" s="413"/>
      <c r="AG303" s="412"/>
    </row>
    <row r="304" spans="1:33" ht="24" customHeight="1">
      <c r="A304" s="424">
        <f t="shared" si="33"/>
        <v>143</v>
      </c>
      <c r="B304" s="412" t="s">
        <v>937</v>
      </c>
      <c r="C304" s="414">
        <v>8</v>
      </c>
      <c r="D304" s="412" t="s">
        <v>701</v>
      </c>
      <c r="H304" s="412" t="s">
        <v>492</v>
      </c>
      <c r="K304" s="414" t="e">
        <f>SUM(K295:K302)</f>
        <v>#REF!</v>
      </c>
      <c r="O304" s="412" t="s">
        <v>447</v>
      </c>
      <c r="R304" s="414" t="e">
        <f>(R302/10)</f>
        <v>#REF!</v>
      </c>
      <c r="W304" s="413"/>
      <c r="AG304" s="412"/>
    </row>
    <row r="305" spans="1:33" ht="24" customHeight="1">
      <c r="A305" s="424">
        <f t="shared" si="33"/>
        <v>144</v>
      </c>
      <c r="B305" s="412" t="s">
        <v>938</v>
      </c>
      <c r="C305" s="414">
        <v>8.5</v>
      </c>
      <c r="D305" s="412" t="s">
        <v>619</v>
      </c>
      <c r="K305" s="418" t="s">
        <v>1288</v>
      </c>
      <c r="N305" s="412" t="s">
        <v>1833</v>
      </c>
      <c r="O305" s="412" t="s">
        <v>396</v>
      </c>
      <c r="R305" s="418" t="s">
        <v>1676</v>
      </c>
      <c r="W305" s="413"/>
      <c r="AG305" s="412"/>
    </row>
    <row r="306" spans="1:33" ht="24" customHeight="1">
      <c r="A306" s="424">
        <f t="shared" si="33"/>
        <v>145</v>
      </c>
      <c r="B306" s="412" t="s">
        <v>485</v>
      </c>
      <c r="C306" s="414">
        <v>2.8</v>
      </c>
      <c r="D306" s="412" t="s">
        <v>619</v>
      </c>
      <c r="H306" s="420" t="s">
        <v>621</v>
      </c>
      <c r="K306" s="417" t="e">
        <f>(K304/10)</f>
        <v>#REF!</v>
      </c>
      <c r="O306" s="418" t="s">
        <v>1288</v>
      </c>
      <c r="W306" s="413"/>
      <c r="AG306" s="412"/>
    </row>
    <row r="307" spans="1:33" ht="24" customHeight="1">
      <c r="A307" s="424">
        <f t="shared" si="33"/>
        <v>146</v>
      </c>
      <c r="B307" s="412" t="s">
        <v>1616</v>
      </c>
      <c r="C307" s="414">
        <v>1.8</v>
      </c>
      <c r="D307" s="412" t="s">
        <v>619</v>
      </c>
      <c r="K307" s="418" t="s">
        <v>1676</v>
      </c>
      <c r="M307" s="414">
        <v>0.14000000000000001</v>
      </c>
      <c r="N307" s="412" t="s">
        <v>702</v>
      </c>
      <c r="O307" s="412" t="s">
        <v>94</v>
      </c>
      <c r="P307" s="414" t="e">
        <f>(K23)</f>
        <v>#REF!</v>
      </c>
      <c r="Q307" s="412" t="s">
        <v>702</v>
      </c>
      <c r="R307" s="414" t="e">
        <f>(M307*P307)</f>
        <v>#REF!</v>
      </c>
      <c r="W307" s="413"/>
      <c r="AG307" s="412"/>
    </row>
    <row r="308" spans="1:33" ht="24" customHeight="1">
      <c r="A308" s="424">
        <f t="shared" si="33"/>
        <v>147</v>
      </c>
      <c r="B308" s="414" t="s">
        <v>2570</v>
      </c>
      <c r="C308" s="414">
        <v>3</v>
      </c>
      <c r="D308" s="412" t="s">
        <v>619</v>
      </c>
      <c r="F308" s="427">
        <v>6.5</v>
      </c>
      <c r="G308" s="414" t="s">
        <v>1833</v>
      </c>
      <c r="H308" s="412" t="s">
        <v>1961</v>
      </c>
      <c r="M308" s="414">
        <v>1.1000000000000001</v>
      </c>
      <c r="N308" s="412" t="s">
        <v>701</v>
      </c>
      <c r="O308" s="412" t="s">
        <v>1637</v>
      </c>
      <c r="P308" s="414">
        <f>(C10)</f>
        <v>999</v>
      </c>
      <c r="Q308" s="412" t="s">
        <v>701</v>
      </c>
      <c r="R308" s="414">
        <f>(M308*P308)</f>
        <v>1098.9000000000001</v>
      </c>
      <c r="S308" s="416">
        <v>6.1</v>
      </c>
      <c r="T308" s="414" t="s">
        <v>1833</v>
      </c>
      <c r="U308" s="414" t="s">
        <v>1822</v>
      </c>
      <c r="W308" s="413"/>
      <c r="AB308" s="425">
        <v>6</v>
      </c>
      <c r="AC308" s="414" t="s">
        <v>1833</v>
      </c>
      <c r="AD308" s="412" t="s">
        <v>2124</v>
      </c>
      <c r="AF308" s="412"/>
    </row>
    <row r="309" spans="1:33" ht="24" customHeight="1">
      <c r="A309" s="424">
        <f t="shared" si="33"/>
        <v>148</v>
      </c>
      <c r="B309" s="412" t="s">
        <v>1617</v>
      </c>
      <c r="C309" s="412" t="s">
        <v>790</v>
      </c>
      <c r="H309" s="412" t="s">
        <v>1981</v>
      </c>
      <c r="M309" s="414">
        <v>0.5</v>
      </c>
      <c r="N309" s="412" t="s">
        <v>701</v>
      </c>
      <c r="O309" s="412" t="s">
        <v>1550</v>
      </c>
      <c r="P309" s="414">
        <f>(C12)</f>
        <v>651</v>
      </c>
      <c r="Q309" s="412" t="s">
        <v>701</v>
      </c>
      <c r="R309" s="414">
        <f>(M309*P309)</f>
        <v>325.5</v>
      </c>
      <c r="U309" s="414" t="s">
        <v>338</v>
      </c>
      <c r="W309" s="413"/>
      <c r="AD309" s="412" t="s">
        <v>2125</v>
      </c>
      <c r="AF309" s="412"/>
    </row>
    <row r="310" spans="1:33" ht="24" customHeight="1">
      <c r="A310" s="424">
        <f t="shared" si="33"/>
        <v>149</v>
      </c>
      <c r="B310" s="412" t="s">
        <v>186</v>
      </c>
      <c r="C310" s="414">
        <v>66.44</v>
      </c>
      <c r="D310" s="412" t="s">
        <v>1443</v>
      </c>
      <c r="H310" s="418" t="s">
        <v>1288</v>
      </c>
      <c r="M310" s="414">
        <v>1.1000000000000001</v>
      </c>
      <c r="N310" s="412" t="s">
        <v>701</v>
      </c>
      <c r="O310" s="412" t="s">
        <v>245</v>
      </c>
      <c r="P310" s="414">
        <f>(C13)</f>
        <v>534</v>
      </c>
      <c r="Q310" s="412" t="s">
        <v>701</v>
      </c>
      <c r="R310" s="414">
        <f>(M310*P310)</f>
        <v>587.4</v>
      </c>
      <c r="U310" s="414" t="s">
        <v>1288</v>
      </c>
      <c r="W310" s="413"/>
      <c r="AD310" s="418" t="s">
        <v>1288</v>
      </c>
      <c r="AF310" s="412"/>
    </row>
    <row r="311" spans="1:33" ht="24" customHeight="1">
      <c r="A311" s="424">
        <f t="shared" si="33"/>
        <v>150</v>
      </c>
      <c r="B311" s="412" t="s">
        <v>187</v>
      </c>
      <c r="C311" s="414">
        <v>83.5</v>
      </c>
      <c r="D311" s="412" t="s">
        <v>1443</v>
      </c>
      <c r="F311" s="414">
        <v>4800</v>
      </c>
      <c r="G311" s="414" t="s">
        <v>1159</v>
      </c>
      <c r="H311" s="414" t="str">
        <f>H309</f>
        <v>Bricks of size 22x11x7 cm</v>
      </c>
      <c r="I311" s="414" t="e">
        <f>C80</f>
        <v>#REF!</v>
      </c>
      <c r="J311" s="412" t="s">
        <v>1296</v>
      </c>
      <c r="K311" s="414" t="e">
        <f>(F311*I311)/1000</f>
        <v>#REF!</v>
      </c>
      <c r="N311" s="412" t="s">
        <v>358</v>
      </c>
      <c r="O311" s="412" t="s">
        <v>359</v>
      </c>
      <c r="P311" s="412" t="s">
        <v>790</v>
      </c>
      <c r="Q311" s="412" t="s">
        <v>358</v>
      </c>
      <c r="R311" s="414">
        <v>0</v>
      </c>
      <c r="S311" s="416">
        <v>4600</v>
      </c>
      <c r="T311" s="414" t="s">
        <v>1159</v>
      </c>
      <c r="U311" s="414" t="s">
        <v>338</v>
      </c>
      <c r="V311" s="423" t="e">
        <f>AC41</f>
        <v>#REF!</v>
      </c>
      <c r="W311" s="432" t="s">
        <v>1049</v>
      </c>
      <c r="X311" s="414" t="e">
        <f>(V311*S311)/1000</f>
        <v>#REF!</v>
      </c>
      <c r="AB311" s="414">
        <v>4240</v>
      </c>
      <c r="AC311" s="414" t="s">
        <v>1159</v>
      </c>
      <c r="AD311" s="414" t="str">
        <f>AD309</f>
        <v>Bricks of size 23x11.4x7.5 cm</v>
      </c>
      <c r="AE311" s="414" t="e">
        <f>AC42</f>
        <v>#REF!</v>
      </c>
      <c r="AF311" s="412" t="s">
        <v>1296</v>
      </c>
      <c r="AG311" s="414" t="e">
        <f>(AB311*AE311)/1000</f>
        <v>#REF!</v>
      </c>
    </row>
    <row r="312" spans="1:33" ht="24" customHeight="1">
      <c r="A312" s="424">
        <f t="shared" si="33"/>
        <v>151</v>
      </c>
      <c r="B312" s="412" t="s">
        <v>188</v>
      </c>
      <c r="C312" s="414">
        <v>102.12</v>
      </c>
      <c r="D312" s="412" t="s">
        <v>1443</v>
      </c>
      <c r="F312" s="414">
        <v>2.5</v>
      </c>
      <c r="G312" s="414" t="s">
        <v>702</v>
      </c>
      <c r="H312" s="412" t="s">
        <v>1325</v>
      </c>
      <c r="I312" s="414" t="e">
        <f>K49</f>
        <v>#REF!</v>
      </c>
      <c r="J312" s="412" t="s">
        <v>702</v>
      </c>
      <c r="K312" s="414" t="e">
        <f>(F312*I312)</f>
        <v>#REF!</v>
      </c>
      <c r="R312" s="418" t="s">
        <v>1288</v>
      </c>
      <c r="S312" s="416">
        <v>2.5</v>
      </c>
      <c r="T312" s="414" t="s">
        <v>702</v>
      </c>
      <c r="U312" s="414" t="s">
        <v>1325</v>
      </c>
      <c r="V312" s="423" t="e">
        <f>K49</f>
        <v>#REF!</v>
      </c>
      <c r="W312" s="413" t="s">
        <v>702</v>
      </c>
      <c r="X312" s="414" t="e">
        <f>V312*S312</f>
        <v>#REF!</v>
      </c>
      <c r="AB312" s="414">
        <v>2</v>
      </c>
      <c r="AC312" s="414" t="s">
        <v>702</v>
      </c>
      <c r="AD312" s="412" t="s">
        <v>1325</v>
      </c>
      <c r="AE312" s="414" t="e">
        <f>K49</f>
        <v>#REF!</v>
      </c>
      <c r="AF312" s="412" t="s">
        <v>702</v>
      </c>
      <c r="AG312" s="414" t="e">
        <f>(AB312*AE312)</f>
        <v>#REF!</v>
      </c>
    </row>
    <row r="313" spans="1:33" ht="24" customHeight="1">
      <c r="A313" s="424">
        <f t="shared" si="33"/>
        <v>152</v>
      </c>
      <c r="B313" s="412" t="s">
        <v>1809</v>
      </c>
      <c r="C313" s="414">
        <v>182.52</v>
      </c>
      <c r="D313" s="412" t="s">
        <v>1443</v>
      </c>
      <c r="F313" s="414">
        <v>3.5</v>
      </c>
      <c r="G313" s="414" t="s">
        <v>701</v>
      </c>
      <c r="H313" s="412" t="s">
        <v>1637</v>
      </c>
      <c r="I313" s="414">
        <f>C10</f>
        <v>999</v>
      </c>
      <c r="J313" s="412" t="s">
        <v>701</v>
      </c>
      <c r="K313" s="414">
        <f>(F313*I313)</f>
        <v>3496.5</v>
      </c>
      <c r="O313" s="412" t="s">
        <v>351</v>
      </c>
      <c r="R313" s="414" t="e">
        <f>SUM(R307:R311)</f>
        <v>#REF!</v>
      </c>
      <c r="S313" s="416">
        <v>3.5</v>
      </c>
      <c r="T313" s="414" t="s">
        <v>701</v>
      </c>
      <c r="U313" s="414" t="s">
        <v>1637</v>
      </c>
      <c r="V313" s="423">
        <f>I313</f>
        <v>999</v>
      </c>
      <c r="W313" s="413" t="s">
        <v>701</v>
      </c>
      <c r="X313" s="414">
        <f>V313*S313</f>
        <v>3496.5</v>
      </c>
      <c r="AB313" s="414">
        <v>3.5</v>
      </c>
      <c r="AC313" s="414" t="s">
        <v>701</v>
      </c>
      <c r="AD313" s="412" t="s">
        <v>1637</v>
      </c>
      <c r="AE313" s="414">
        <f>V313</f>
        <v>999</v>
      </c>
      <c r="AF313" s="412" t="s">
        <v>701</v>
      </c>
      <c r="AG313" s="414">
        <f>(AB313*AE313)</f>
        <v>3496.5</v>
      </c>
    </row>
    <row r="314" spans="1:33" ht="24" customHeight="1">
      <c r="A314" s="424">
        <f t="shared" si="33"/>
        <v>153</v>
      </c>
      <c r="B314" s="412" t="s">
        <v>1810</v>
      </c>
      <c r="F314" s="414">
        <v>10.6</v>
      </c>
      <c r="G314" s="414" t="s">
        <v>701</v>
      </c>
      <c r="H314" s="412" t="s">
        <v>1392</v>
      </c>
      <c r="I314" s="414">
        <f>C11</f>
        <v>932</v>
      </c>
      <c r="J314" s="412" t="s">
        <v>701</v>
      </c>
      <c r="K314" s="414">
        <f>(F314*I314)</f>
        <v>9879.2000000000007</v>
      </c>
      <c r="R314" s="418" t="s">
        <v>1288</v>
      </c>
      <c r="S314" s="416">
        <v>10.6</v>
      </c>
      <c r="T314" s="414" t="s">
        <v>701</v>
      </c>
      <c r="U314" s="414" t="s">
        <v>1392</v>
      </c>
      <c r="V314" s="423">
        <f>I314</f>
        <v>932</v>
      </c>
      <c r="W314" s="413" t="s">
        <v>701</v>
      </c>
      <c r="X314" s="414">
        <f>V314*S314</f>
        <v>9879.2000000000007</v>
      </c>
      <c r="AB314" s="414">
        <v>10.6</v>
      </c>
      <c r="AC314" s="414" t="s">
        <v>701</v>
      </c>
      <c r="AD314" s="412" t="s">
        <v>1392</v>
      </c>
      <c r="AE314" s="414">
        <f>V314</f>
        <v>932</v>
      </c>
      <c r="AF314" s="412" t="s">
        <v>701</v>
      </c>
      <c r="AG314" s="414">
        <f>(AB314*AE314)</f>
        <v>9879.2000000000007</v>
      </c>
    </row>
    <row r="315" spans="1:33" ht="24" customHeight="1">
      <c r="A315" s="424">
        <f t="shared" si="33"/>
        <v>154</v>
      </c>
      <c r="B315" s="412" t="s">
        <v>186</v>
      </c>
      <c r="C315" s="414">
        <v>26.62</v>
      </c>
      <c r="D315" s="412" t="s">
        <v>619</v>
      </c>
      <c r="F315" s="414">
        <v>7.1</v>
      </c>
      <c r="G315" s="414" t="s">
        <v>701</v>
      </c>
      <c r="H315" s="412" t="s">
        <v>1550</v>
      </c>
      <c r="I315" s="414">
        <f>C12</f>
        <v>651</v>
      </c>
      <c r="J315" s="412" t="s">
        <v>701</v>
      </c>
      <c r="K315" s="414">
        <f>(F315*I315)</f>
        <v>4622.1000000000004</v>
      </c>
      <c r="O315" s="412" t="s">
        <v>447</v>
      </c>
      <c r="R315" s="414" t="e">
        <f>(R313/10)</f>
        <v>#REF!</v>
      </c>
      <c r="S315" s="416">
        <v>7.1</v>
      </c>
      <c r="T315" s="414" t="s">
        <v>701</v>
      </c>
      <c r="U315" s="414" t="s">
        <v>1550</v>
      </c>
      <c r="V315" s="423">
        <f>I315</f>
        <v>651</v>
      </c>
      <c r="W315" s="413" t="s">
        <v>701</v>
      </c>
      <c r="X315" s="414">
        <f>V315*S315</f>
        <v>4622.1000000000004</v>
      </c>
      <c r="AB315" s="414">
        <v>7.1</v>
      </c>
      <c r="AC315" s="414" t="s">
        <v>701</v>
      </c>
      <c r="AD315" s="412" t="s">
        <v>1550</v>
      </c>
      <c r="AE315" s="414">
        <f>V315</f>
        <v>651</v>
      </c>
      <c r="AF315" s="412" t="s">
        <v>701</v>
      </c>
      <c r="AG315" s="414">
        <f>(AB315*AE315)</f>
        <v>4622.1000000000004</v>
      </c>
    </row>
    <row r="316" spans="1:33" ht="24" customHeight="1">
      <c r="A316" s="424">
        <f t="shared" si="33"/>
        <v>155</v>
      </c>
      <c r="B316" s="412" t="s">
        <v>187</v>
      </c>
      <c r="C316" s="414">
        <v>34.869999999999997</v>
      </c>
      <c r="D316" s="412" t="s">
        <v>619</v>
      </c>
      <c r="F316" s="414">
        <v>21.2</v>
      </c>
      <c r="G316" s="414" t="s">
        <v>701</v>
      </c>
      <c r="H316" s="412" t="s">
        <v>245</v>
      </c>
      <c r="I316" s="414">
        <f>C13</f>
        <v>534</v>
      </c>
      <c r="J316" s="412" t="s">
        <v>701</v>
      </c>
      <c r="K316" s="414">
        <f>(F316*I316)</f>
        <v>11320.8</v>
      </c>
      <c r="R316" s="418" t="s">
        <v>1676</v>
      </c>
      <c r="S316" s="416">
        <v>21.2</v>
      </c>
      <c r="T316" s="414" t="s">
        <v>701</v>
      </c>
      <c r="U316" s="414" t="s">
        <v>245</v>
      </c>
      <c r="V316" s="423">
        <f>I316</f>
        <v>534</v>
      </c>
      <c r="W316" s="413" t="s">
        <v>701</v>
      </c>
      <c r="X316" s="414">
        <f>V316*S316</f>
        <v>11320.8</v>
      </c>
      <c r="AB316" s="414">
        <v>21.2</v>
      </c>
      <c r="AC316" s="414" t="s">
        <v>701</v>
      </c>
      <c r="AD316" s="412" t="s">
        <v>245</v>
      </c>
      <c r="AE316" s="414">
        <f>V316</f>
        <v>534</v>
      </c>
      <c r="AF316" s="412" t="s">
        <v>701</v>
      </c>
      <c r="AG316" s="414">
        <f>(AB316*AE316)</f>
        <v>11320.8</v>
      </c>
    </row>
    <row r="317" spans="1:33" ht="24" customHeight="1">
      <c r="A317" s="424">
        <f t="shared" si="33"/>
        <v>156</v>
      </c>
      <c r="B317" s="412" t="s">
        <v>188</v>
      </c>
      <c r="C317" s="414">
        <v>45</v>
      </c>
      <c r="D317" s="412" t="s">
        <v>619</v>
      </c>
      <c r="G317" s="414" t="s">
        <v>358</v>
      </c>
      <c r="H317" s="412" t="s">
        <v>359</v>
      </c>
      <c r="J317" s="412" t="s">
        <v>358</v>
      </c>
      <c r="K317" s="414">
        <v>5</v>
      </c>
      <c r="N317" s="412" t="s">
        <v>1833</v>
      </c>
      <c r="O317" s="412" t="s">
        <v>1811</v>
      </c>
      <c r="T317" s="414" t="s">
        <v>358</v>
      </c>
      <c r="U317" s="414" t="s">
        <v>359</v>
      </c>
      <c r="W317" s="413" t="s">
        <v>358</v>
      </c>
      <c r="X317" s="414">
        <v>0</v>
      </c>
      <c r="AC317" s="414" t="s">
        <v>358</v>
      </c>
      <c r="AD317" s="412" t="s">
        <v>359</v>
      </c>
      <c r="AF317" s="412" t="s">
        <v>358</v>
      </c>
      <c r="AG317" s="414">
        <v>0</v>
      </c>
    </row>
    <row r="318" spans="1:33" ht="24" customHeight="1">
      <c r="A318" s="424">
        <f t="shared" si="33"/>
        <v>157</v>
      </c>
      <c r="B318" s="412" t="s">
        <v>1809</v>
      </c>
      <c r="C318" s="414">
        <v>99.75</v>
      </c>
      <c r="D318" s="412" t="s">
        <v>619</v>
      </c>
      <c r="K318" s="418" t="s">
        <v>1288</v>
      </c>
      <c r="O318" s="418" t="s">
        <v>1288</v>
      </c>
      <c r="W318" s="413"/>
      <c r="X318" s="414" t="s">
        <v>1288</v>
      </c>
      <c r="AF318" s="412"/>
      <c r="AG318" s="418" t="s">
        <v>1288</v>
      </c>
    </row>
    <row r="319" spans="1:33" ht="24" customHeight="1">
      <c r="A319" s="424">
        <f t="shared" si="33"/>
        <v>158</v>
      </c>
      <c r="B319" s="412" t="s">
        <v>1781</v>
      </c>
      <c r="H319" s="412" t="s">
        <v>492</v>
      </c>
      <c r="K319" s="414" t="e">
        <f>SUM(K311:K317)</f>
        <v>#REF!</v>
      </c>
      <c r="M319" s="414">
        <v>0.1</v>
      </c>
      <c r="N319" s="412" t="s">
        <v>702</v>
      </c>
      <c r="O319" s="412" t="s">
        <v>94</v>
      </c>
      <c r="P319" s="414" t="e">
        <f>(K23)</f>
        <v>#REF!</v>
      </c>
      <c r="Q319" s="412" t="s">
        <v>702</v>
      </c>
      <c r="R319" s="414" t="e">
        <f>(M319*P319)</f>
        <v>#REF!</v>
      </c>
      <c r="U319" s="414" t="s">
        <v>492</v>
      </c>
      <c r="W319" s="413"/>
      <c r="X319" s="414" t="e">
        <f>SUM(X311:X318)</f>
        <v>#REF!</v>
      </c>
      <c r="AD319" s="412" t="s">
        <v>492</v>
      </c>
      <c r="AF319" s="412"/>
      <c r="AG319" s="414" t="e">
        <f>SUM(AG311:AG317)</f>
        <v>#REF!</v>
      </c>
    </row>
    <row r="320" spans="1:33" ht="24" customHeight="1">
      <c r="A320" s="424">
        <f t="shared" si="33"/>
        <v>159</v>
      </c>
      <c r="B320" s="412" t="s">
        <v>186</v>
      </c>
      <c r="C320" s="414">
        <v>43.47</v>
      </c>
      <c r="D320" s="412" t="s">
        <v>619</v>
      </c>
      <c r="K320" s="418" t="s">
        <v>1288</v>
      </c>
      <c r="M320" s="414">
        <v>1.1000000000000001</v>
      </c>
      <c r="N320" s="412" t="s">
        <v>701</v>
      </c>
      <c r="O320" s="412" t="s">
        <v>1637</v>
      </c>
      <c r="P320" s="414">
        <f>(C10)</f>
        <v>999</v>
      </c>
      <c r="Q320" s="412" t="s">
        <v>701</v>
      </c>
      <c r="R320" s="414">
        <f>(M320*P320)</f>
        <v>1098.9000000000001</v>
      </c>
      <c r="W320" s="413"/>
      <c r="X320" s="414" t="s">
        <v>1288</v>
      </c>
      <c r="AF320" s="412"/>
      <c r="AG320" s="418" t="s">
        <v>1288</v>
      </c>
    </row>
    <row r="321" spans="1:34" ht="24" customHeight="1">
      <c r="A321" s="424">
        <f t="shared" si="33"/>
        <v>160</v>
      </c>
      <c r="B321" s="412" t="s">
        <v>187</v>
      </c>
      <c r="C321" s="414">
        <v>50.34</v>
      </c>
      <c r="D321" s="412" t="s">
        <v>619</v>
      </c>
      <c r="H321" s="420" t="s">
        <v>621</v>
      </c>
      <c r="K321" s="417" t="e">
        <f>(K319/10)</f>
        <v>#REF!</v>
      </c>
      <c r="M321" s="414">
        <v>1.1000000000000001</v>
      </c>
      <c r="N321" s="412" t="s">
        <v>701</v>
      </c>
      <c r="O321" s="412" t="s">
        <v>1550</v>
      </c>
      <c r="P321" s="414">
        <f>(C12)</f>
        <v>651</v>
      </c>
      <c r="Q321" s="412" t="s">
        <v>701</v>
      </c>
      <c r="R321" s="414">
        <f>(M321*P321)</f>
        <v>716.1</v>
      </c>
      <c r="U321" s="414" t="s">
        <v>621</v>
      </c>
      <c r="W321" s="413"/>
      <c r="X321" s="417" t="e">
        <f>X319/10</f>
        <v>#REF!</v>
      </c>
      <c r="AD321" s="420" t="s">
        <v>621</v>
      </c>
      <c r="AF321" s="412"/>
      <c r="AG321" s="417" t="e">
        <f>(AG319/10)</f>
        <v>#REF!</v>
      </c>
    </row>
    <row r="322" spans="1:34" ht="24" customHeight="1">
      <c r="A322" s="424">
        <f t="shared" si="33"/>
        <v>161</v>
      </c>
      <c r="B322" s="412" t="s">
        <v>188</v>
      </c>
      <c r="C322" s="414">
        <v>65.209999999999994</v>
      </c>
      <c r="D322" s="412" t="s">
        <v>619</v>
      </c>
      <c r="K322" s="418" t="s">
        <v>1676</v>
      </c>
      <c r="M322" s="414">
        <v>1.1000000000000001</v>
      </c>
      <c r="N322" s="412" t="s">
        <v>701</v>
      </c>
      <c r="O322" s="412" t="s">
        <v>245</v>
      </c>
      <c r="P322" s="414">
        <f>(C13)</f>
        <v>534</v>
      </c>
      <c r="Q322" s="412" t="s">
        <v>701</v>
      </c>
      <c r="R322" s="414">
        <f>(M322*P322)</f>
        <v>587.4</v>
      </c>
      <c r="W322" s="413"/>
      <c r="AF322" s="412"/>
      <c r="AG322" s="418" t="s">
        <v>1676</v>
      </c>
    </row>
    <row r="323" spans="1:34" ht="24" customHeight="1">
      <c r="A323" s="424">
        <f t="shared" si="33"/>
        <v>162</v>
      </c>
      <c r="B323" s="412" t="s">
        <v>1809</v>
      </c>
      <c r="C323" s="414">
        <v>145.29</v>
      </c>
      <c r="D323" s="412" t="s">
        <v>619</v>
      </c>
      <c r="H323" s="412" t="s">
        <v>307</v>
      </c>
      <c r="K323" s="414" t="e">
        <f>(K321+C19)</f>
        <v>#REF!</v>
      </c>
      <c r="L323" s="414" t="e">
        <f>K323-K321</f>
        <v>#REF!</v>
      </c>
      <c r="N323" s="412" t="s">
        <v>358</v>
      </c>
      <c r="O323" s="412" t="s">
        <v>359</v>
      </c>
      <c r="P323" s="412" t="s">
        <v>790</v>
      </c>
      <c r="Q323" s="412" t="s">
        <v>358</v>
      </c>
      <c r="R323" s="414">
        <v>0</v>
      </c>
      <c r="U323" s="414" t="s">
        <v>307</v>
      </c>
      <c r="W323" s="413"/>
      <c r="X323" s="414" t="e">
        <f>X321+C19</f>
        <v>#REF!</v>
      </c>
      <c r="Y323" s="414" t="e">
        <f>X323-X321</f>
        <v>#REF!</v>
      </c>
      <c r="AD323" s="412" t="s">
        <v>307</v>
      </c>
      <c r="AF323" s="412"/>
      <c r="AG323" s="414" t="e">
        <f>AG321+C19</f>
        <v>#REF!</v>
      </c>
      <c r="AH323" s="414" t="e">
        <f>AG323-AG321</f>
        <v>#REF!</v>
      </c>
    </row>
    <row r="324" spans="1:34" ht="24" customHeight="1">
      <c r="A324" s="424">
        <f t="shared" si="33"/>
        <v>163</v>
      </c>
      <c r="B324" s="412" t="s">
        <v>1782</v>
      </c>
      <c r="H324" s="412" t="s">
        <v>309</v>
      </c>
      <c r="K324" s="414" t="e">
        <f>(K323+C20)</f>
        <v>#REF!</v>
      </c>
      <c r="L324" s="414" t="e">
        <f>K324-K323</f>
        <v>#REF!</v>
      </c>
      <c r="R324" s="418" t="s">
        <v>1288</v>
      </c>
      <c r="U324" s="414" t="s">
        <v>309</v>
      </c>
      <c r="W324" s="413"/>
      <c r="X324" s="414" t="e">
        <f>X323+C20</f>
        <v>#REF!</v>
      </c>
      <c r="Y324" s="414" t="e">
        <f>X324-X323</f>
        <v>#REF!</v>
      </c>
      <c r="AD324" s="412" t="s">
        <v>309</v>
      </c>
      <c r="AF324" s="412"/>
      <c r="AG324" s="414" t="e">
        <f>AG323+C20</f>
        <v>#REF!</v>
      </c>
      <c r="AH324" s="414" t="e">
        <f>AG324-AG323</f>
        <v>#REF!</v>
      </c>
    </row>
    <row r="325" spans="1:34" ht="24" customHeight="1">
      <c r="A325" s="424">
        <f t="shared" si="33"/>
        <v>164</v>
      </c>
      <c r="B325" s="412" t="s">
        <v>186</v>
      </c>
      <c r="C325" s="414">
        <v>14.91</v>
      </c>
      <c r="D325" s="412" t="s">
        <v>1443</v>
      </c>
      <c r="H325" s="412" t="s">
        <v>1818</v>
      </c>
      <c r="K325" s="414" t="e">
        <f>(K324+C21)</f>
        <v>#REF!</v>
      </c>
      <c r="M325" s="414" t="e">
        <f>(K325+K324)/2</f>
        <v>#REF!</v>
      </c>
      <c r="O325" s="412" t="s">
        <v>351</v>
      </c>
      <c r="R325" s="414" t="e">
        <f>SUM(R319:R323)</f>
        <v>#REF!</v>
      </c>
      <c r="U325" s="414" t="s">
        <v>1818</v>
      </c>
      <c r="W325" s="413"/>
      <c r="X325" s="414" t="e">
        <f>X324+C20</f>
        <v>#REF!</v>
      </c>
      <c r="AD325" s="412" t="s">
        <v>1818</v>
      </c>
      <c r="AF325" s="412"/>
      <c r="AG325" s="414" t="e">
        <f>AG324+C20</f>
        <v>#REF!</v>
      </c>
      <c r="AH325" s="414" t="e">
        <f>AG324-AG323</f>
        <v>#REF!</v>
      </c>
    </row>
    <row r="326" spans="1:34" ht="24" customHeight="1">
      <c r="A326" s="424">
        <f t="shared" si="33"/>
        <v>165</v>
      </c>
      <c r="B326" s="412" t="s">
        <v>187</v>
      </c>
      <c r="C326" s="414">
        <v>19.41</v>
      </c>
      <c r="D326" s="412" t="s">
        <v>1443</v>
      </c>
      <c r="H326" s="412" t="s">
        <v>301</v>
      </c>
      <c r="K326" s="414" t="e">
        <f>(K325+C21)</f>
        <v>#REF!</v>
      </c>
      <c r="R326" s="418" t="s">
        <v>1288</v>
      </c>
      <c r="U326" s="414" t="s">
        <v>301</v>
      </c>
      <c r="W326" s="413"/>
      <c r="X326" s="414" t="e">
        <f>X325+C20</f>
        <v>#REF!</v>
      </c>
      <c r="AD326" s="412" t="s">
        <v>301</v>
      </c>
      <c r="AF326" s="412"/>
      <c r="AG326" s="414" t="e">
        <f>AG325+C20</f>
        <v>#REF!</v>
      </c>
    </row>
    <row r="327" spans="1:34" ht="24" customHeight="1">
      <c r="A327" s="424">
        <f t="shared" si="33"/>
        <v>166</v>
      </c>
      <c r="B327" s="412" t="s">
        <v>188</v>
      </c>
      <c r="C327" s="414">
        <v>22.22</v>
      </c>
      <c r="D327" s="412" t="s">
        <v>1443</v>
      </c>
      <c r="H327" s="412" t="s">
        <v>388</v>
      </c>
      <c r="K327" s="414" t="e">
        <f>(K326+C21)</f>
        <v>#REF!</v>
      </c>
      <c r="O327" s="412" t="s">
        <v>447</v>
      </c>
      <c r="R327" s="414" t="e">
        <f>(R325/10)</f>
        <v>#REF!</v>
      </c>
      <c r="U327" s="414" t="s">
        <v>388</v>
      </c>
      <c r="W327" s="413"/>
      <c r="X327" s="414" t="e">
        <f>X326+C20</f>
        <v>#REF!</v>
      </c>
      <c r="AD327" s="412" t="s">
        <v>388</v>
      </c>
      <c r="AF327" s="412"/>
      <c r="AG327" s="414" t="e">
        <f>AG326+C20</f>
        <v>#REF!</v>
      </c>
    </row>
    <row r="328" spans="1:34" ht="24" customHeight="1">
      <c r="A328" s="424"/>
      <c r="B328" s="412"/>
      <c r="D328" s="412"/>
      <c r="H328" s="412"/>
      <c r="O328" s="412"/>
      <c r="W328" s="413"/>
      <c r="AG328" s="412"/>
    </row>
    <row r="329" spans="1:34" ht="24" customHeight="1">
      <c r="A329" s="424"/>
      <c r="B329" s="412"/>
      <c r="D329" s="412"/>
      <c r="F329" s="413" t="s">
        <v>511</v>
      </c>
      <c r="H329" s="412" t="s">
        <v>4305</v>
      </c>
      <c r="K329" s="415">
        <v>719</v>
      </c>
      <c r="L329" s="414" t="s">
        <v>898</v>
      </c>
      <c r="O329" s="412"/>
      <c r="W329" s="413"/>
      <c r="AG329" s="412"/>
    </row>
    <row r="330" spans="1:34" ht="24" customHeight="1">
      <c r="A330" s="424"/>
      <c r="B330" s="412"/>
      <c r="D330" s="412"/>
      <c r="H330" s="412" t="s">
        <v>2964</v>
      </c>
      <c r="K330" s="418" t="s">
        <v>1676</v>
      </c>
      <c r="O330" s="412"/>
      <c r="W330" s="413"/>
      <c r="AG330" s="412"/>
    </row>
    <row r="331" spans="1:34" ht="24" customHeight="1">
      <c r="A331" s="424"/>
      <c r="B331" s="412"/>
      <c r="D331" s="412"/>
      <c r="H331" s="412"/>
      <c r="O331" s="412"/>
      <c r="W331" s="413"/>
      <c r="AG331" s="412"/>
    </row>
    <row r="332" spans="1:34" ht="24" customHeight="1">
      <c r="A332" s="424">
        <f>(A327+1)</f>
        <v>167</v>
      </c>
      <c r="B332" s="412" t="s">
        <v>1809</v>
      </c>
      <c r="C332" s="414">
        <v>46.42</v>
      </c>
      <c r="D332" s="412" t="s">
        <v>1443</v>
      </c>
      <c r="F332" s="425">
        <v>9</v>
      </c>
      <c r="G332" s="414" t="s">
        <v>1833</v>
      </c>
      <c r="H332" s="412" t="s">
        <v>1962</v>
      </c>
      <c r="R332" s="418" t="s">
        <v>1676</v>
      </c>
      <c r="S332" s="416">
        <v>9</v>
      </c>
      <c r="T332" s="414" t="s">
        <v>1833</v>
      </c>
      <c r="U332" s="414" t="s">
        <v>1821</v>
      </c>
      <c r="W332" s="413"/>
      <c r="AB332" s="425">
        <v>9</v>
      </c>
      <c r="AC332" s="414" t="s">
        <v>1833</v>
      </c>
      <c r="AD332" s="412" t="s">
        <v>2126</v>
      </c>
      <c r="AF332" s="412"/>
    </row>
    <row r="333" spans="1:34" ht="24" customHeight="1">
      <c r="A333" s="424">
        <f t="shared" si="33"/>
        <v>168</v>
      </c>
      <c r="B333" s="412" t="s">
        <v>1783</v>
      </c>
      <c r="H333" s="412" t="str">
        <f>H309</f>
        <v>Bricks of size 22x11x7 cm</v>
      </c>
      <c r="U333" s="414" t="s">
        <v>338</v>
      </c>
      <c r="W333" s="413"/>
      <c r="AD333" s="412" t="str">
        <f>AD309</f>
        <v>Bricks of size 23x11.4x7.5 cm</v>
      </c>
      <c r="AF333" s="412"/>
    </row>
    <row r="334" spans="1:34" ht="24" customHeight="1">
      <c r="A334" s="424">
        <f t="shared" si="33"/>
        <v>169</v>
      </c>
      <c r="B334" s="412" t="s">
        <v>186</v>
      </c>
      <c r="C334" s="414">
        <v>8.58</v>
      </c>
      <c r="D334" s="412" t="s">
        <v>619</v>
      </c>
      <c r="H334" s="418" t="s">
        <v>1288</v>
      </c>
      <c r="N334" s="412" t="s">
        <v>1833</v>
      </c>
      <c r="O334" s="412" t="s">
        <v>1784</v>
      </c>
      <c r="U334" s="414" t="s">
        <v>1288</v>
      </c>
      <c r="W334" s="413"/>
      <c r="AD334" s="418" t="s">
        <v>1288</v>
      </c>
      <c r="AF334" s="412"/>
    </row>
    <row r="335" spans="1:34" ht="24" customHeight="1">
      <c r="A335" s="424">
        <f t="shared" si="33"/>
        <v>170</v>
      </c>
      <c r="B335" s="412" t="s">
        <v>187</v>
      </c>
      <c r="C335" s="414">
        <v>12.26</v>
      </c>
      <c r="D335" s="412" t="s">
        <v>619</v>
      </c>
      <c r="F335" s="414">
        <f>F311</f>
        <v>4800</v>
      </c>
      <c r="G335" s="414" t="s">
        <v>1159</v>
      </c>
      <c r="H335" s="414" t="str">
        <f>H309</f>
        <v>Bricks of size 22x11x7 cm</v>
      </c>
      <c r="I335" s="414" t="e">
        <f>C80</f>
        <v>#REF!</v>
      </c>
      <c r="J335" s="412" t="s">
        <v>1296</v>
      </c>
      <c r="K335" s="414" t="e">
        <f>(F335*I335)/1000</f>
        <v>#REF!</v>
      </c>
      <c r="O335" s="418" t="s">
        <v>1288</v>
      </c>
      <c r="S335" s="416">
        <v>4600</v>
      </c>
      <c r="T335" s="414" t="s">
        <v>1159</v>
      </c>
      <c r="U335" s="414" t="s">
        <v>338</v>
      </c>
      <c r="V335" s="414" t="e">
        <f>AC41</f>
        <v>#REF!</v>
      </c>
      <c r="W335" s="413" t="s">
        <v>1296</v>
      </c>
      <c r="X335" s="414" t="e">
        <f>V335*S335/1000</f>
        <v>#REF!</v>
      </c>
      <c r="AB335" s="414">
        <f>AB311</f>
        <v>4240</v>
      </c>
      <c r="AC335" s="414" t="s">
        <v>1159</v>
      </c>
      <c r="AD335" s="414" t="str">
        <f>AD309</f>
        <v>Bricks of size 23x11.4x7.5 cm</v>
      </c>
      <c r="AE335" s="414" t="e">
        <f>AC42</f>
        <v>#REF!</v>
      </c>
      <c r="AF335" s="412" t="s">
        <v>1296</v>
      </c>
      <c r="AG335" s="414" t="e">
        <f>AE335*AB335/1000</f>
        <v>#REF!</v>
      </c>
    </row>
    <row r="336" spans="1:34" ht="24" customHeight="1">
      <c r="A336" s="424">
        <f t="shared" si="33"/>
        <v>171</v>
      </c>
      <c r="B336" s="412" t="s">
        <v>188</v>
      </c>
      <c r="C336" s="414">
        <v>13.89</v>
      </c>
      <c r="D336" s="412" t="s">
        <v>619</v>
      </c>
      <c r="F336" s="414">
        <f>F312</f>
        <v>2.5</v>
      </c>
      <c r="G336" s="414" t="s">
        <v>702</v>
      </c>
      <c r="H336" s="412" t="s">
        <v>1329</v>
      </c>
      <c r="I336" s="414" t="e">
        <f>K58</f>
        <v>#REF!</v>
      </c>
      <c r="J336" s="412" t="s">
        <v>702</v>
      </c>
      <c r="K336" s="414" t="e">
        <f>(F336*I336)</f>
        <v>#REF!</v>
      </c>
      <c r="M336" s="414">
        <v>0.22</v>
      </c>
      <c r="N336" s="412" t="s">
        <v>702</v>
      </c>
      <c r="O336" s="412" t="s">
        <v>1325</v>
      </c>
      <c r="P336" s="414" t="e">
        <f>(K49)</f>
        <v>#REF!</v>
      </c>
      <c r="Q336" s="412" t="s">
        <v>702</v>
      </c>
      <c r="R336" s="414" t="e">
        <f>(M336*P336)</f>
        <v>#REF!</v>
      </c>
      <c r="S336" s="416">
        <v>2.5</v>
      </c>
      <c r="T336" s="414" t="s">
        <v>702</v>
      </c>
      <c r="U336" s="414" t="s">
        <v>1329</v>
      </c>
      <c r="V336" s="414" t="e">
        <f>I336</f>
        <v>#REF!</v>
      </c>
      <c r="W336" s="413" t="s">
        <v>702</v>
      </c>
      <c r="X336" s="414" t="e">
        <f t="shared" ref="X336:X341" si="35">V336*S336</f>
        <v>#REF!</v>
      </c>
      <c r="AB336" s="414">
        <f>AB312</f>
        <v>2</v>
      </c>
      <c r="AC336" s="414" t="s">
        <v>702</v>
      </c>
      <c r="AD336" s="412" t="s">
        <v>1329</v>
      </c>
      <c r="AE336" s="414" t="e">
        <f>V336</f>
        <v>#REF!</v>
      </c>
      <c r="AF336" s="412" t="s">
        <v>702</v>
      </c>
      <c r="AG336" s="414" t="e">
        <f>AE336*AB336</f>
        <v>#REF!</v>
      </c>
    </row>
    <row r="337" spans="1:33" ht="24" customHeight="1">
      <c r="A337" s="424">
        <f t="shared" si="33"/>
        <v>172</v>
      </c>
      <c r="B337" s="412" t="s">
        <v>1809</v>
      </c>
      <c r="C337" s="414">
        <v>36.25</v>
      </c>
      <c r="D337" s="412" t="s">
        <v>619</v>
      </c>
      <c r="F337" s="414">
        <v>3.5</v>
      </c>
      <c r="G337" s="414" t="s">
        <v>701</v>
      </c>
      <c r="H337" s="412" t="s">
        <v>1637</v>
      </c>
      <c r="I337" s="414">
        <f>C10</f>
        <v>999</v>
      </c>
      <c r="J337" s="412" t="s">
        <v>701</v>
      </c>
      <c r="K337" s="414">
        <f>(F337*I337)</f>
        <v>3496.5</v>
      </c>
      <c r="M337" s="414">
        <v>2.2000000000000002</v>
      </c>
      <c r="N337" s="412" t="s">
        <v>701</v>
      </c>
      <c r="O337" s="412" t="s">
        <v>1637</v>
      </c>
      <c r="P337" s="414">
        <f>(C10)</f>
        <v>999</v>
      </c>
      <c r="Q337" s="412" t="s">
        <v>701</v>
      </c>
      <c r="R337" s="414">
        <f>(M337*P337)</f>
        <v>2197.8000000000002</v>
      </c>
      <c r="S337" s="416">
        <v>3.5</v>
      </c>
      <c r="T337" s="414" t="s">
        <v>701</v>
      </c>
      <c r="U337" s="414" t="s">
        <v>1637</v>
      </c>
      <c r="V337" s="414">
        <f>I337</f>
        <v>999</v>
      </c>
      <c r="W337" s="413" t="s">
        <v>701</v>
      </c>
      <c r="X337" s="414">
        <f t="shared" si="35"/>
        <v>3496.5</v>
      </c>
      <c r="AB337" s="414">
        <v>3.5</v>
      </c>
      <c r="AC337" s="414" t="s">
        <v>701</v>
      </c>
      <c r="AD337" s="412" t="s">
        <v>1637</v>
      </c>
      <c r="AE337" s="414">
        <f>V337</f>
        <v>999</v>
      </c>
      <c r="AF337" s="412" t="s">
        <v>701</v>
      </c>
      <c r="AG337" s="414">
        <f>AE337*AB337</f>
        <v>3496.5</v>
      </c>
    </row>
    <row r="338" spans="1:33" ht="24" customHeight="1">
      <c r="A338" s="424">
        <f t="shared" si="33"/>
        <v>173</v>
      </c>
      <c r="B338" s="412" t="s">
        <v>1785</v>
      </c>
      <c r="F338" s="414">
        <v>10.6</v>
      </c>
      <c r="G338" s="414" t="s">
        <v>701</v>
      </c>
      <c r="H338" s="412" t="s">
        <v>1392</v>
      </c>
      <c r="I338" s="414">
        <f>C11</f>
        <v>932</v>
      </c>
      <c r="J338" s="412" t="s">
        <v>701</v>
      </c>
      <c r="K338" s="414">
        <f>(F338*I338)</f>
        <v>9879.2000000000007</v>
      </c>
      <c r="M338" s="414">
        <v>0.5</v>
      </c>
      <c r="N338" s="412" t="s">
        <v>701</v>
      </c>
      <c r="O338" s="412" t="s">
        <v>1550</v>
      </c>
      <c r="P338" s="414">
        <f>(C12)</f>
        <v>651</v>
      </c>
      <c r="Q338" s="412" t="s">
        <v>701</v>
      </c>
      <c r="R338" s="414">
        <f>(M338*P338)</f>
        <v>325.5</v>
      </c>
      <c r="S338" s="416">
        <v>10.6</v>
      </c>
      <c r="T338" s="414" t="s">
        <v>701</v>
      </c>
      <c r="U338" s="414" t="s">
        <v>1392</v>
      </c>
      <c r="V338" s="414">
        <f>I338</f>
        <v>932</v>
      </c>
      <c r="W338" s="413" t="s">
        <v>701</v>
      </c>
      <c r="X338" s="414">
        <f t="shared" si="35"/>
        <v>9879.2000000000007</v>
      </c>
      <c r="AB338" s="414">
        <v>10.6</v>
      </c>
      <c r="AC338" s="414" t="s">
        <v>701</v>
      </c>
      <c r="AD338" s="412" t="s">
        <v>1392</v>
      </c>
      <c r="AE338" s="414">
        <f>V338</f>
        <v>932</v>
      </c>
      <c r="AF338" s="412" t="s">
        <v>701</v>
      </c>
      <c r="AG338" s="414">
        <f>AE338*AB338</f>
        <v>9879.2000000000007</v>
      </c>
    </row>
    <row r="339" spans="1:33" ht="24" customHeight="1">
      <c r="A339" s="424">
        <f t="shared" si="33"/>
        <v>174</v>
      </c>
      <c r="B339" s="412" t="s">
        <v>186</v>
      </c>
      <c r="C339" s="414">
        <v>15.7</v>
      </c>
      <c r="D339" s="412" t="s">
        <v>619</v>
      </c>
      <c r="F339" s="414">
        <v>7.1</v>
      </c>
      <c r="G339" s="414" t="s">
        <v>701</v>
      </c>
      <c r="H339" s="412" t="s">
        <v>1550</v>
      </c>
      <c r="I339" s="414">
        <f>C12</f>
        <v>651</v>
      </c>
      <c r="J339" s="412" t="s">
        <v>701</v>
      </c>
      <c r="K339" s="414">
        <f>(F339*I339)</f>
        <v>4622.1000000000004</v>
      </c>
      <c r="M339" s="414">
        <v>3.2</v>
      </c>
      <c r="N339" s="412" t="s">
        <v>701</v>
      </c>
      <c r="O339" s="412" t="s">
        <v>245</v>
      </c>
      <c r="P339" s="414">
        <f>(C13)</f>
        <v>534</v>
      </c>
      <c r="Q339" s="412" t="s">
        <v>701</v>
      </c>
      <c r="R339" s="414">
        <f>(M339*P339)</f>
        <v>1708.8</v>
      </c>
      <c r="S339" s="416">
        <v>7.1</v>
      </c>
      <c r="T339" s="414" t="s">
        <v>701</v>
      </c>
      <c r="U339" s="414" t="s">
        <v>1550</v>
      </c>
      <c r="V339" s="414">
        <f>I339</f>
        <v>651</v>
      </c>
      <c r="W339" s="413" t="s">
        <v>701</v>
      </c>
      <c r="X339" s="414">
        <f t="shared" si="35"/>
        <v>4622.1000000000004</v>
      </c>
      <c r="AB339" s="414">
        <v>7.1</v>
      </c>
      <c r="AC339" s="414" t="s">
        <v>701</v>
      </c>
      <c r="AD339" s="412" t="s">
        <v>1550</v>
      </c>
      <c r="AE339" s="414">
        <f>V339</f>
        <v>651</v>
      </c>
      <c r="AF339" s="412" t="s">
        <v>701</v>
      </c>
      <c r="AG339" s="414">
        <f>AE339*AB339</f>
        <v>4622.1000000000004</v>
      </c>
    </row>
    <row r="340" spans="1:33" ht="24" customHeight="1">
      <c r="A340" s="424">
        <f t="shared" si="33"/>
        <v>175</v>
      </c>
      <c r="B340" s="412" t="s">
        <v>187</v>
      </c>
      <c r="C340" s="414">
        <v>22.31</v>
      </c>
      <c r="D340" s="412" t="s">
        <v>619</v>
      </c>
      <c r="F340" s="414">
        <v>21.2</v>
      </c>
      <c r="G340" s="414" t="s">
        <v>701</v>
      </c>
      <c r="H340" s="412" t="s">
        <v>245</v>
      </c>
      <c r="I340" s="414">
        <f>C13</f>
        <v>534</v>
      </c>
      <c r="J340" s="412" t="s">
        <v>701</v>
      </c>
      <c r="K340" s="414">
        <f>(F340*I340)</f>
        <v>11320.8</v>
      </c>
      <c r="N340" s="412" t="s">
        <v>358</v>
      </c>
      <c r="O340" s="412" t="s">
        <v>359</v>
      </c>
      <c r="P340" s="412" t="s">
        <v>790</v>
      </c>
      <c r="Q340" s="412" t="s">
        <v>358</v>
      </c>
      <c r="R340" s="414">
        <v>0</v>
      </c>
      <c r="S340" s="416">
        <v>21.2</v>
      </c>
      <c r="T340" s="414" t="s">
        <v>701</v>
      </c>
      <c r="U340" s="414" t="s">
        <v>245</v>
      </c>
      <c r="V340" s="414">
        <f>I340</f>
        <v>534</v>
      </c>
      <c r="W340" s="413" t="s">
        <v>701</v>
      </c>
      <c r="X340" s="414">
        <f t="shared" si="35"/>
        <v>11320.8</v>
      </c>
      <c r="AB340" s="414">
        <v>21.2</v>
      </c>
      <c r="AC340" s="414" t="s">
        <v>701</v>
      </c>
      <c r="AD340" s="412" t="s">
        <v>245</v>
      </c>
      <c r="AE340" s="414">
        <f>V340</f>
        <v>534</v>
      </c>
      <c r="AF340" s="412" t="s">
        <v>701</v>
      </c>
      <c r="AG340" s="414">
        <f>AE340*AB340</f>
        <v>11320.8</v>
      </c>
    </row>
    <row r="341" spans="1:33" ht="24" customHeight="1">
      <c r="A341" s="424">
        <f t="shared" si="33"/>
        <v>176</v>
      </c>
      <c r="B341" s="412" t="s">
        <v>188</v>
      </c>
      <c r="C341" s="414">
        <v>25.24</v>
      </c>
      <c r="D341" s="412" t="s">
        <v>619</v>
      </c>
      <c r="G341" s="414" t="s">
        <v>358</v>
      </c>
      <c r="H341" s="412" t="s">
        <v>359</v>
      </c>
      <c r="J341" s="412" t="s">
        <v>358</v>
      </c>
      <c r="K341" s="414">
        <v>0</v>
      </c>
      <c r="R341" s="418" t="s">
        <v>1288</v>
      </c>
      <c r="T341" s="414" t="s">
        <v>358</v>
      </c>
      <c r="U341" s="414" t="s">
        <v>359</v>
      </c>
      <c r="W341" s="413" t="s">
        <v>358</v>
      </c>
      <c r="X341" s="414">
        <f t="shared" si="35"/>
        <v>0</v>
      </c>
      <c r="AC341" s="414" t="s">
        <v>358</v>
      </c>
      <c r="AD341" s="412" t="s">
        <v>359</v>
      </c>
      <c r="AF341" s="412" t="s">
        <v>358</v>
      </c>
      <c r="AG341" s="414">
        <v>0</v>
      </c>
    </row>
    <row r="342" spans="1:33" ht="24" customHeight="1">
      <c r="A342" s="424">
        <f t="shared" si="33"/>
        <v>177</v>
      </c>
      <c r="B342" s="412" t="s">
        <v>1809</v>
      </c>
      <c r="C342" s="414">
        <v>52.34</v>
      </c>
      <c r="D342" s="412" t="s">
        <v>619</v>
      </c>
      <c r="K342" s="418" t="s">
        <v>1288</v>
      </c>
      <c r="O342" s="412" t="s">
        <v>351</v>
      </c>
      <c r="R342" s="414" t="e">
        <f>SUM(R336:R340)</f>
        <v>#REF!</v>
      </c>
      <c r="W342" s="413"/>
      <c r="X342" s="418" t="s">
        <v>1288</v>
      </c>
      <c r="AF342" s="412"/>
      <c r="AG342" s="418" t="s">
        <v>1288</v>
      </c>
    </row>
    <row r="343" spans="1:33" ht="24" customHeight="1">
      <c r="A343" s="424">
        <f t="shared" si="33"/>
        <v>178</v>
      </c>
      <c r="B343" s="412" t="s">
        <v>845</v>
      </c>
      <c r="H343" s="412" t="s">
        <v>492</v>
      </c>
      <c r="K343" s="414" t="e">
        <f>SUM(K335:K341)</f>
        <v>#REF!</v>
      </c>
      <c r="R343" s="418" t="s">
        <v>1288</v>
      </c>
      <c r="U343" s="414" t="s">
        <v>492</v>
      </c>
      <c r="W343" s="413"/>
      <c r="X343" s="414" t="e">
        <f>SUM(X335:X342)</f>
        <v>#REF!</v>
      </c>
      <c r="AD343" s="412" t="s">
        <v>492</v>
      </c>
      <c r="AF343" s="412"/>
      <c r="AG343" s="414" t="e">
        <f>SUM(AG335:AG341)</f>
        <v>#REF!</v>
      </c>
    </row>
    <row r="344" spans="1:33" ht="24" customHeight="1">
      <c r="A344" s="424">
        <f t="shared" si="33"/>
        <v>179</v>
      </c>
      <c r="B344" s="412" t="s">
        <v>186</v>
      </c>
      <c r="C344" s="414">
        <v>13.73</v>
      </c>
      <c r="D344" s="412" t="s">
        <v>619</v>
      </c>
      <c r="K344" s="418" t="s">
        <v>1288</v>
      </c>
      <c r="O344" s="412" t="s">
        <v>447</v>
      </c>
      <c r="R344" s="414" t="e">
        <f>(R342/10)</f>
        <v>#REF!</v>
      </c>
      <c r="W344" s="413"/>
      <c r="X344" s="418" t="s">
        <v>1288</v>
      </c>
      <c r="AF344" s="412"/>
      <c r="AG344" s="418" t="s">
        <v>1288</v>
      </c>
    </row>
    <row r="345" spans="1:33" ht="24" customHeight="1">
      <c r="A345" s="424">
        <f t="shared" si="33"/>
        <v>180</v>
      </c>
      <c r="B345" s="412" t="s">
        <v>187</v>
      </c>
      <c r="C345" s="414">
        <v>20.16</v>
      </c>
      <c r="D345" s="412" t="s">
        <v>619</v>
      </c>
      <c r="H345" s="413" t="s">
        <v>621</v>
      </c>
      <c r="K345" s="414" t="e">
        <f>(K343/10)</f>
        <v>#REF!</v>
      </c>
      <c r="R345" s="418" t="s">
        <v>1676</v>
      </c>
      <c r="U345" s="414" t="s">
        <v>621</v>
      </c>
      <c r="W345" s="413"/>
      <c r="X345" s="414" t="e">
        <f>X343/10</f>
        <v>#REF!</v>
      </c>
      <c r="AD345" s="413" t="s">
        <v>621</v>
      </c>
      <c r="AF345" s="412"/>
      <c r="AG345" s="414" t="e">
        <f>(AG343/10)</f>
        <v>#REF!</v>
      </c>
    </row>
    <row r="346" spans="1:33" ht="24" customHeight="1">
      <c r="A346" s="424">
        <f t="shared" si="33"/>
        <v>181</v>
      </c>
      <c r="B346" s="412" t="s">
        <v>188</v>
      </c>
      <c r="C346" s="414">
        <v>22.73</v>
      </c>
      <c r="D346" s="412" t="s">
        <v>619</v>
      </c>
      <c r="K346" s="418" t="s">
        <v>1676</v>
      </c>
      <c r="N346" s="412" t="s">
        <v>1833</v>
      </c>
      <c r="O346" s="412" t="s">
        <v>846</v>
      </c>
      <c r="W346" s="413"/>
      <c r="X346" s="429" t="s">
        <v>994</v>
      </c>
      <c r="AF346" s="412"/>
      <c r="AG346" s="418" t="s">
        <v>1676</v>
      </c>
    </row>
    <row r="347" spans="1:33" ht="24" customHeight="1">
      <c r="A347" s="424">
        <f t="shared" ref="A347:A410" si="36">(A346+1)</f>
        <v>182</v>
      </c>
      <c r="B347" s="412" t="s">
        <v>1809</v>
      </c>
      <c r="C347" s="414">
        <v>46.98</v>
      </c>
      <c r="D347" s="412" t="s">
        <v>790</v>
      </c>
      <c r="H347" s="412" t="s">
        <v>307</v>
      </c>
      <c r="K347" s="417" t="e">
        <f>(K345+C19)</f>
        <v>#REF!</v>
      </c>
      <c r="L347" s="414" t="e">
        <f>K347-K345</f>
        <v>#REF!</v>
      </c>
      <c r="O347" s="418" t="s">
        <v>1288</v>
      </c>
      <c r="U347" s="417" t="s">
        <v>307</v>
      </c>
      <c r="W347" s="413"/>
      <c r="X347" s="417" t="e">
        <f>X345+C19</f>
        <v>#REF!</v>
      </c>
      <c r="AD347" s="412" t="s">
        <v>307</v>
      </c>
      <c r="AF347" s="412"/>
      <c r="AG347" s="417" t="e">
        <f>(AG345+C19)</f>
        <v>#REF!</v>
      </c>
    </row>
    <row r="348" spans="1:33" ht="24" customHeight="1">
      <c r="A348" s="424">
        <f t="shared" si="36"/>
        <v>183</v>
      </c>
      <c r="B348" s="412" t="s">
        <v>847</v>
      </c>
      <c r="H348" s="412" t="s">
        <v>309</v>
      </c>
      <c r="K348" s="417" t="e">
        <f>(K347+C20)</f>
        <v>#REF!</v>
      </c>
      <c r="L348" s="414" t="e">
        <f>K348-K347</f>
        <v>#REF!</v>
      </c>
      <c r="M348" s="414">
        <v>0.22</v>
      </c>
      <c r="N348" s="412" t="s">
        <v>702</v>
      </c>
      <c r="O348" s="412" t="s">
        <v>1100</v>
      </c>
      <c r="P348" s="414" t="e">
        <f>(K32)</f>
        <v>#REF!</v>
      </c>
      <c r="Q348" s="412" t="s">
        <v>702</v>
      </c>
      <c r="R348" s="414" t="e">
        <f>(M348*P348)</f>
        <v>#REF!</v>
      </c>
      <c r="U348" s="417" t="s">
        <v>309</v>
      </c>
      <c r="W348" s="413"/>
      <c r="X348" s="417" t="e">
        <f>X347+C20</f>
        <v>#REF!</v>
      </c>
      <c r="AD348" s="412" t="s">
        <v>309</v>
      </c>
      <c r="AF348" s="412"/>
      <c r="AG348" s="417" t="e">
        <f>(AG347+C20)</f>
        <v>#REF!</v>
      </c>
    </row>
    <row r="349" spans="1:33" ht="24" customHeight="1">
      <c r="A349" s="424">
        <f t="shared" si="36"/>
        <v>184</v>
      </c>
      <c r="B349" s="412" t="s">
        <v>186</v>
      </c>
      <c r="C349" s="414">
        <v>19.3</v>
      </c>
      <c r="D349" s="412" t="s">
        <v>619</v>
      </c>
      <c r="H349" s="412" t="s">
        <v>1818</v>
      </c>
      <c r="K349" s="417" t="e">
        <f>(K348+C20)</f>
        <v>#REF!</v>
      </c>
      <c r="L349" s="414" t="e">
        <f>K349-K348</f>
        <v>#REF!</v>
      </c>
      <c r="M349" s="414">
        <v>2.2000000000000002</v>
      </c>
      <c r="N349" s="412" t="s">
        <v>701</v>
      </c>
      <c r="O349" s="412" t="s">
        <v>1637</v>
      </c>
      <c r="P349" s="414">
        <f>(C10)</f>
        <v>999</v>
      </c>
      <c r="Q349" s="412" t="s">
        <v>701</v>
      </c>
      <c r="R349" s="414">
        <f>(M349*P349)</f>
        <v>2197.8000000000002</v>
      </c>
      <c r="U349" s="417" t="s">
        <v>1818</v>
      </c>
      <c r="W349" s="413"/>
      <c r="X349" s="417" t="e">
        <f>X348+C20</f>
        <v>#REF!</v>
      </c>
      <c r="AD349" s="412" t="s">
        <v>1818</v>
      </c>
      <c r="AF349" s="412"/>
      <c r="AG349" s="417" t="e">
        <f>(AG348+C20)</f>
        <v>#REF!</v>
      </c>
    </row>
    <row r="350" spans="1:33" ht="24" customHeight="1">
      <c r="A350" s="424">
        <f t="shared" si="36"/>
        <v>185</v>
      </c>
      <c r="B350" s="412" t="s">
        <v>188</v>
      </c>
      <c r="C350" s="414">
        <v>33.46</v>
      </c>
      <c r="D350" s="412" t="s">
        <v>619</v>
      </c>
      <c r="H350" s="412" t="s">
        <v>301</v>
      </c>
      <c r="K350" s="417" t="e">
        <f>(K349+C21)</f>
        <v>#REF!</v>
      </c>
      <c r="M350" s="414">
        <v>0.5</v>
      </c>
      <c r="N350" s="412" t="s">
        <v>701</v>
      </c>
      <c r="O350" s="412" t="s">
        <v>1550</v>
      </c>
      <c r="P350" s="414">
        <f>(C12)</f>
        <v>651</v>
      </c>
      <c r="Q350" s="412" t="s">
        <v>701</v>
      </c>
      <c r="R350" s="414">
        <f>(M350*P350)</f>
        <v>325.5</v>
      </c>
      <c r="U350" s="417" t="s">
        <v>301</v>
      </c>
      <c r="W350" s="413"/>
      <c r="X350" s="417" t="e">
        <f>X349+C20</f>
        <v>#REF!</v>
      </c>
      <c r="AD350" s="412" t="s">
        <v>301</v>
      </c>
      <c r="AF350" s="412"/>
      <c r="AG350" s="417" t="e">
        <f>(AG349+C20)</f>
        <v>#REF!</v>
      </c>
    </row>
    <row r="351" spans="1:33" ht="24" customHeight="1">
      <c r="A351" s="424">
        <f t="shared" si="36"/>
        <v>186</v>
      </c>
      <c r="B351" s="412" t="s">
        <v>1809</v>
      </c>
      <c r="C351" s="414">
        <v>53.62</v>
      </c>
      <c r="D351" s="412" t="s">
        <v>619</v>
      </c>
      <c r="F351" s="412" t="s">
        <v>790</v>
      </c>
      <c r="H351" s="412" t="s">
        <v>388</v>
      </c>
      <c r="K351" s="417" t="e">
        <f>(K350+C21)</f>
        <v>#REF!</v>
      </c>
      <c r="L351" s="414" t="e">
        <f>K351-K350</f>
        <v>#REF!</v>
      </c>
      <c r="M351" s="414">
        <v>3.2</v>
      </c>
      <c r="N351" s="412" t="s">
        <v>701</v>
      </c>
      <c r="O351" s="412" t="s">
        <v>245</v>
      </c>
      <c r="P351" s="414">
        <f>(C13)</f>
        <v>534</v>
      </c>
      <c r="Q351" s="412" t="s">
        <v>701</v>
      </c>
      <c r="R351" s="414">
        <f>(M351*P351)</f>
        <v>1708.8</v>
      </c>
      <c r="S351" s="416" t="s">
        <v>790</v>
      </c>
      <c r="U351" s="417" t="s">
        <v>388</v>
      </c>
      <c r="W351" s="413"/>
      <c r="X351" s="417" t="e">
        <f>X350+C20</f>
        <v>#REF!</v>
      </c>
      <c r="AB351" s="412" t="s">
        <v>790</v>
      </c>
      <c r="AD351" s="412" t="s">
        <v>388</v>
      </c>
      <c r="AF351" s="412"/>
      <c r="AG351" s="417" t="e">
        <f>(AG350+C20)</f>
        <v>#REF!</v>
      </c>
    </row>
    <row r="352" spans="1:33" ht="24" customHeight="1">
      <c r="A352" s="424">
        <f t="shared" si="36"/>
        <v>187</v>
      </c>
      <c r="B352" s="412" t="s">
        <v>101</v>
      </c>
      <c r="F352" s="425">
        <v>27</v>
      </c>
      <c r="G352" s="414" t="s">
        <v>1833</v>
      </c>
      <c r="H352" s="412" t="s">
        <v>1963</v>
      </c>
      <c r="L352" s="414" t="e">
        <f>K351+L351</f>
        <v>#REF!</v>
      </c>
      <c r="N352" s="412" t="s">
        <v>358</v>
      </c>
      <c r="O352" s="412" t="s">
        <v>359</v>
      </c>
      <c r="P352" s="412" t="s">
        <v>790</v>
      </c>
      <c r="Q352" s="412" t="s">
        <v>358</v>
      </c>
      <c r="R352" s="414">
        <v>0</v>
      </c>
      <c r="S352" s="416">
        <v>27</v>
      </c>
      <c r="T352" s="414" t="s">
        <v>1833</v>
      </c>
      <c r="U352" s="414" t="s">
        <v>82</v>
      </c>
      <c r="W352" s="413"/>
      <c r="AB352" s="412"/>
      <c r="AD352" s="412">
        <v>5</v>
      </c>
      <c r="AF352" s="412"/>
      <c r="AG352" s="417" t="e">
        <f>(AG351+C20)</f>
        <v>#REF!</v>
      </c>
    </row>
    <row r="353" spans="1:34" ht="24" customHeight="1">
      <c r="A353" s="424">
        <f t="shared" si="36"/>
        <v>188</v>
      </c>
      <c r="B353" s="412" t="s">
        <v>186</v>
      </c>
      <c r="C353" s="414">
        <v>13.73</v>
      </c>
      <c r="D353" s="412" t="s">
        <v>619</v>
      </c>
      <c r="H353" s="412" t="str">
        <f>H333</f>
        <v>Bricks of size 22x11x7 cm</v>
      </c>
      <c r="L353" s="414" t="e">
        <f>L352+L351</f>
        <v>#REF!</v>
      </c>
      <c r="R353" s="418" t="s">
        <v>1288</v>
      </c>
      <c r="U353" s="414" t="s">
        <v>338</v>
      </c>
      <c r="W353" s="413"/>
      <c r="AB353" s="412"/>
      <c r="AD353" s="412">
        <v>6</v>
      </c>
      <c r="AF353" s="412"/>
      <c r="AG353" s="417" t="e">
        <f>(AG352+C20)</f>
        <v>#REF!</v>
      </c>
    </row>
    <row r="354" spans="1:34" ht="24" customHeight="1">
      <c r="A354" s="424">
        <f t="shared" si="36"/>
        <v>189</v>
      </c>
      <c r="B354" s="412" t="s">
        <v>187</v>
      </c>
      <c r="C354" s="414">
        <v>20.16</v>
      </c>
      <c r="D354" s="412" t="s">
        <v>619</v>
      </c>
      <c r="H354" s="418" t="s">
        <v>1288</v>
      </c>
      <c r="O354" s="412" t="s">
        <v>351</v>
      </c>
      <c r="R354" s="414" t="e">
        <f>SUM(R348:R352)</f>
        <v>#REF!</v>
      </c>
      <c r="U354" s="414" t="s">
        <v>1288</v>
      </c>
      <c r="W354" s="413"/>
      <c r="AB354" s="412"/>
      <c r="AD354" s="412">
        <v>7</v>
      </c>
      <c r="AF354" s="412"/>
      <c r="AG354" s="417" t="e">
        <f>(AG353+C20)</f>
        <v>#REF!</v>
      </c>
    </row>
    <row r="355" spans="1:34" ht="24" customHeight="1">
      <c r="A355" s="424">
        <f t="shared" si="36"/>
        <v>190</v>
      </c>
      <c r="B355" s="412" t="s">
        <v>188</v>
      </c>
      <c r="C355" s="414">
        <v>22.73</v>
      </c>
      <c r="D355" s="412" t="s">
        <v>619</v>
      </c>
      <c r="F355" s="414">
        <v>4800</v>
      </c>
      <c r="G355" s="414" t="s">
        <v>1159</v>
      </c>
      <c r="H355" s="414" t="str">
        <f>H309</f>
        <v>Bricks of size 22x11x7 cm</v>
      </c>
      <c r="I355" s="414" t="e">
        <f>C80</f>
        <v>#REF!</v>
      </c>
      <c r="J355" s="412" t="s">
        <v>1296</v>
      </c>
      <c r="K355" s="414" t="e">
        <f>(F355*I355)/1000</f>
        <v>#REF!</v>
      </c>
      <c r="R355" s="418" t="s">
        <v>1288</v>
      </c>
      <c r="S355" s="416">
        <v>4600</v>
      </c>
      <c r="T355" s="414" t="s">
        <v>1159</v>
      </c>
      <c r="U355" s="414" t="s">
        <v>338</v>
      </c>
      <c r="V355" s="414" t="e">
        <f>AC41</f>
        <v>#REF!</v>
      </c>
      <c r="W355" s="413" t="s">
        <v>1296</v>
      </c>
      <c r="X355" s="414" t="e">
        <f>V355*S355/1000</f>
        <v>#REF!</v>
      </c>
      <c r="AB355" s="412"/>
      <c r="AD355" s="412">
        <v>8</v>
      </c>
      <c r="AF355" s="412"/>
      <c r="AG355" s="417" t="e">
        <f>(AG354+C20)</f>
        <v>#REF!</v>
      </c>
    </row>
    <row r="356" spans="1:34" ht="24" customHeight="1">
      <c r="A356" s="424">
        <f t="shared" si="36"/>
        <v>191</v>
      </c>
      <c r="B356" s="412" t="s">
        <v>1809</v>
      </c>
      <c r="C356" s="414">
        <v>46.98</v>
      </c>
      <c r="D356" s="412" t="s">
        <v>619</v>
      </c>
      <c r="F356" s="414">
        <v>2.5</v>
      </c>
      <c r="G356" s="414" t="s">
        <v>702</v>
      </c>
      <c r="H356" s="412" t="s">
        <v>1063</v>
      </c>
      <c r="I356" s="414" t="e">
        <f>K40</f>
        <v>#REF!</v>
      </c>
      <c r="J356" s="412" t="s">
        <v>702</v>
      </c>
      <c r="K356" s="414" t="e">
        <f>(F356*I356)</f>
        <v>#REF!</v>
      </c>
      <c r="O356" s="412" t="s">
        <v>447</v>
      </c>
      <c r="R356" s="414" t="e">
        <f>(R354/10)</f>
        <v>#REF!</v>
      </c>
      <c r="S356" s="416">
        <v>2.5</v>
      </c>
      <c r="T356" s="414" t="s">
        <v>702</v>
      </c>
      <c r="U356" s="414" t="s">
        <v>1063</v>
      </c>
      <c r="V356" s="414" t="e">
        <f>I356</f>
        <v>#REF!</v>
      </c>
      <c r="W356" s="413" t="s">
        <v>702</v>
      </c>
      <c r="X356" s="414" t="e">
        <f>V356*S356</f>
        <v>#REF!</v>
      </c>
      <c r="AB356" s="412"/>
      <c r="AD356" s="412">
        <v>9</v>
      </c>
      <c r="AF356" s="412"/>
      <c r="AG356" s="417" t="e">
        <f>(AG355+C20)</f>
        <v>#REF!</v>
      </c>
    </row>
    <row r="357" spans="1:34" ht="24" customHeight="1">
      <c r="A357" s="424">
        <f t="shared" si="36"/>
        <v>192</v>
      </c>
      <c r="B357" s="412" t="s">
        <v>655</v>
      </c>
      <c r="F357" s="414">
        <v>3.5</v>
      </c>
      <c r="G357" s="414" t="s">
        <v>701</v>
      </c>
      <c r="H357" s="412" t="s">
        <v>1637</v>
      </c>
      <c r="I357" s="414">
        <f>(C10)</f>
        <v>999</v>
      </c>
      <c r="J357" s="412" t="s">
        <v>701</v>
      </c>
      <c r="K357" s="414">
        <f>(F357*I357)</f>
        <v>3496.5</v>
      </c>
      <c r="R357" s="418" t="s">
        <v>1676</v>
      </c>
      <c r="S357" s="416">
        <v>3.5</v>
      </c>
      <c r="T357" s="414" t="s">
        <v>701</v>
      </c>
      <c r="U357" s="414" t="s">
        <v>1637</v>
      </c>
      <c r="V357" s="414">
        <f>I357</f>
        <v>999</v>
      </c>
      <c r="W357" s="413" t="s">
        <v>701</v>
      </c>
      <c r="X357" s="414">
        <f>V357*S357</f>
        <v>3496.5</v>
      </c>
      <c r="AB357" s="412"/>
      <c r="AD357" s="412">
        <v>10</v>
      </c>
      <c r="AF357" s="412"/>
      <c r="AG357" s="417" t="e">
        <f>(AG356+C20)</f>
        <v>#REF!</v>
      </c>
    </row>
    <row r="358" spans="1:34" ht="24" customHeight="1">
      <c r="A358" s="424">
        <f t="shared" si="36"/>
        <v>193</v>
      </c>
      <c r="B358" s="412" t="s">
        <v>186</v>
      </c>
      <c r="C358" s="414">
        <v>19.3</v>
      </c>
      <c r="D358" s="412" t="s">
        <v>619</v>
      </c>
      <c r="F358" s="414">
        <v>10.6</v>
      </c>
      <c r="G358" s="414" t="s">
        <v>701</v>
      </c>
      <c r="H358" s="412" t="s">
        <v>1392</v>
      </c>
      <c r="I358" s="414">
        <f>(C11)</f>
        <v>932</v>
      </c>
      <c r="J358" s="412" t="s">
        <v>701</v>
      </c>
      <c r="K358" s="414">
        <f>(F358*I358)</f>
        <v>9879.2000000000007</v>
      </c>
      <c r="N358" s="412" t="s">
        <v>1833</v>
      </c>
      <c r="O358" s="412" t="s">
        <v>656</v>
      </c>
      <c r="S358" s="416">
        <v>10.6</v>
      </c>
      <c r="T358" s="414" t="s">
        <v>701</v>
      </c>
      <c r="U358" s="414" t="s">
        <v>1392</v>
      </c>
      <c r="V358" s="414">
        <f>I358</f>
        <v>932</v>
      </c>
      <c r="W358" s="413" t="s">
        <v>701</v>
      </c>
      <c r="X358" s="414">
        <f>V358*S358</f>
        <v>9879.2000000000007</v>
      </c>
      <c r="AB358" s="412"/>
      <c r="AD358" s="412">
        <v>11</v>
      </c>
      <c r="AF358" s="412"/>
      <c r="AG358" s="417" t="e">
        <f>(AG357+C20)</f>
        <v>#REF!</v>
      </c>
    </row>
    <row r="359" spans="1:34" ht="24" customHeight="1">
      <c r="A359" s="424">
        <f t="shared" si="36"/>
        <v>194</v>
      </c>
      <c r="B359" s="412" t="s">
        <v>187</v>
      </c>
      <c r="C359" s="414">
        <v>25.74</v>
      </c>
      <c r="D359" s="412" t="s">
        <v>619</v>
      </c>
      <c r="F359" s="414">
        <v>7.1</v>
      </c>
      <c r="G359" s="414" t="s">
        <v>701</v>
      </c>
      <c r="H359" s="412" t="s">
        <v>1550</v>
      </c>
      <c r="I359" s="414">
        <f>(C12)</f>
        <v>651</v>
      </c>
      <c r="J359" s="412" t="s">
        <v>701</v>
      </c>
      <c r="K359" s="414">
        <f>(F359*I359)</f>
        <v>4622.1000000000004</v>
      </c>
      <c r="O359" s="412" t="s">
        <v>657</v>
      </c>
      <c r="S359" s="416">
        <v>7.1</v>
      </c>
      <c r="T359" s="414" t="s">
        <v>701</v>
      </c>
      <c r="U359" s="414" t="s">
        <v>1550</v>
      </c>
      <c r="V359" s="414">
        <f>I359</f>
        <v>651</v>
      </c>
      <c r="W359" s="413" t="s">
        <v>701</v>
      </c>
      <c r="X359" s="414">
        <f>V359*S359</f>
        <v>4622.1000000000004</v>
      </c>
      <c r="AB359" s="412"/>
      <c r="AD359" s="412">
        <v>12</v>
      </c>
      <c r="AF359" s="412"/>
      <c r="AG359" s="417" t="e">
        <f>(AG358+C20)</f>
        <v>#REF!</v>
      </c>
    </row>
    <row r="360" spans="1:34" ht="24" customHeight="1">
      <c r="A360" s="424">
        <f t="shared" si="36"/>
        <v>195</v>
      </c>
      <c r="B360" s="412" t="s">
        <v>188</v>
      </c>
      <c r="C360" s="414">
        <v>33.46</v>
      </c>
      <c r="D360" s="412" t="s">
        <v>619</v>
      </c>
      <c r="F360" s="414">
        <v>21.2</v>
      </c>
      <c r="G360" s="414" t="s">
        <v>701</v>
      </c>
      <c r="H360" s="412" t="s">
        <v>245</v>
      </c>
      <c r="I360" s="414">
        <f>(C13)</f>
        <v>534</v>
      </c>
      <c r="J360" s="412" t="s">
        <v>701</v>
      </c>
      <c r="K360" s="414">
        <f>(F360*I360)</f>
        <v>11320.8</v>
      </c>
      <c r="O360" s="412" t="s">
        <v>658</v>
      </c>
      <c r="S360" s="416">
        <v>21.2</v>
      </c>
      <c r="T360" s="414" t="s">
        <v>701</v>
      </c>
      <c r="U360" s="414" t="s">
        <v>245</v>
      </c>
      <c r="V360" s="414">
        <f>I360</f>
        <v>534</v>
      </c>
      <c r="W360" s="413" t="s">
        <v>701</v>
      </c>
      <c r="X360" s="414">
        <f>V360*S360</f>
        <v>11320.8</v>
      </c>
      <c r="AB360" s="412"/>
      <c r="AD360" s="412">
        <v>13</v>
      </c>
      <c r="AF360" s="412"/>
      <c r="AG360" s="417" t="e">
        <f>(AG359+C20)</f>
        <v>#REF!</v>
      </c>
    </row>
    <row r="361" spans="1:34" ht="24" customHeight="1">
      <c r="A361" s="424">
        <f t="shared" si="36"/>
        <v>196</v>
      </c>
      <c r="B361" s="412" t="s">
        <v>1809</v>
      </c>
      <c r="C361" s="414">
        <v>53.62</v>
      </c>
      <c r="D361" s="412" t="s">
        <v>790</v>
      </c>
      <c r="G361" s="414" t="s">
        <v>358</v>
      </c>
      <c r="H361" s="412" t="s">
        <v>359</v>
      </c>
      <c r="J361" s="412" t="s">
        <v>358</v>
      </c>
      <c r="K361" s="414">
        <v>0</v>
      </c>
      <c r="O361" s="418" t="s">
        <v>1288</v>
      </c>
      <c r="T361" s="414" t="s">
        <v>358</v>
      </c>
      <c r="U361" s="414" t="s">
        <v>359</v>
      </c>
      <c r="W361" s="413" t="s">
        <v>358</v>
      </c>
      <c r="X361" s="414">
        <v>0</v>
      </c>
      <c r="AB361" s="425">
        <v>27</v>
      </c>
      <c r="AC361" s="414" t="s">
        <v>1833</v>
      </c>
      <c r="AD361" s="412" t="s">
        <v>2127</v>
      </c>
      <c r="AF361" s="412"/>
    </row>
    <row r="362" spans="1:34" ht="24" customHeight="1">
      <c r="A362" s="424">
        <f t="shared" si="36"/>
        <v>197</v>
      </c>
      <c r="B362" s="412" t="s">
        <v>784</v>
      </c>
      <c r="K362" s="418" t="s">
        <v>1288</v>
      </c>
      <c r="M362" s="414">
        <v>0.22</v>
      </c>
      <c r="N362" s="412" t="s">
        <v>702</v>
      </c>
      <c r="O362" s="412" t="s">
        <v>1063</v>
      </c>
      <c r="P362" s="414" t="e">
        <f>(K40)</f>
        <v>#REF!</v>
      </c>
      <c r="Q362" s="412" t="s">
        <v>702</v>
      </c>
      <c r="R362" s="414" t="e">
        <f t="shared" ref="R362:R367" si="37">(M362*P362)</f>
        <v>#REF!</v>
      </c>
      <c r="W362" s="413"/>
      <c r="X362" s="418" t="s">
        <v>1288</v>
      </c>
      <c r="AD362" s="412" t="str">
        <f>AD333</f>
        <v>Bricks of size 23x11.4x7.5 cm</v>
      </c>
      <c r="AF362" s="412"/>
    </row>
    <row r="363" spans="1:34" ht="24" customHeight="1">
      <c r="A363" s="424">
        <f t="shared" si="36"/>
        <v>198</v>
      </c>
      <c r="B363" s="412" t="s">
        <v>186</v>
      </c>
      <c r="C363" s="414">
        <v>26.16</v>
      </c>
      <c r="D363" s="412" t="s">
        <v>619</v>
      </c>
      <c r="H363" s="412" t="s">
        <v>492</v>
      </c>
      <c r="K363" s="414" t="e">
        <f>SUM(K355:K361)</f>
        <v>#REF!</v>
      </c>
      <c r="M363" s="414">
        <v>2.2000000000000002</v>
      </c>
      <c r="N363" s="412" t="s">
        <v>701</v>
      </c>
      <c r="O363" s="412" t="s">
        <v>1637</v>
      </c>
      <c r="P363" s="414">
        <f>(C10)</f>
        <v>999</v>
      </c>
      <c r="Q363" s="412" t="s">
        <v>701</v>
      </c>
      <c r="R363" s="414">
        <f t="shared" si="37"/>
        <v>2197.8000000000002</v>
      </c>
      <c r="U363" s="414" t="s">
        <v>492</v>
      </c>
      <c r="W363" s="413"/>
      <c r="X363" s="414" t="e">
        <f>SUM(X355:X361)</f>
        <v>#REF!</v>
      </c>
      <c r="AD363" s="418" t="s">
        <v>1288</v>
      </c>
      <c r="AF363" s="412"/>
    </row>
    <row r="364" spans="1:34" ht="24" customHeight="1">
      <c r="A364" s="424">
        <f t="shared" si="36"/>
        <v>199</v>
      </c>
      <c r="B364" s="412" t="s">
        <v>187</v>
      </c>
      <c r="C364" s="414">
        <v>34.32</v>
      </c>
      <c r="D364" s="412" t="s">
        <v>619</v>
      </c>
      <c r="K364" s="418" t="s">
        <v>1288</v>
      </c>
      <c r="M364" s="414">
        <v>0.5</v>
      </c>
      <c r="N364" s="412" t="s">
        <v>701</v>
      </c>
      <c r="O364" s="412" t="s">
        <v>1550</v>
      </c>
      <c r="P364" s="414">
        <f>(C12)</f>
        <v>651</v>
      </c>
      <c r="Q364" s="412" t="s">
        <v>701</v>
      </c>
      <c r="R364" s="414">
        <f t="shared" si="37"/>
        <v>325.5</v>
      </c>
      <c r="W364" s="413"/>
      <c r="X364" s="418" t="s">
        <v>1288</v>
      </c>
      <c r="AB364" s="414">
        <v>4240</v>
      </c>
      <c r="AC364" s="414" t="s">
        <v>1159</v>
      </c>
      <c r="AD364" s="414" t="str">
        <f>AD309</f>
        <v>Bricks of size 23x11.4x7.5 cm</v>
      </c>
      <c r="AE364" s="414" t="e">
        <f>AC42</f>
        <v>#REF!</v>
      </c>
      <c r="AF364" s="412" t="s">
        <v>1296</v>
      </c>
      <c r="AG364" s="414" t="e">
        <f>(AB364*AE364)/1000</f>
        <v>#REF!</v>
      </c>
    </row>
    <row r="365" spans="1:34" ht="24" customHeight="1">
      <c r="A365" s="424">
        <f t="shared" si="36"/>
        <v>200</v>
      </c>
      <c r="B365" s="412" t="s">
        <v>188</v>
      </c>
      <c r="C365" s="414">
        <v>40.33</v>
      </c>
      <c r="D365" s="412" t="s">
        <v>619</v>
      </c>
      <c r="H365" s="412" t="s">
        <v>621</v>
      </c>
      <c r="K365" s="414" t="e">
        <f>(K363/10)</f>
        <v>#REF!</v>
      </c>
      <c r="M365" s="414">
        <v>1.1000000000000001</v>
      </c>
      <c r="N365" s="412" t="s">
        <v>785</v>
      </c>
      <c r="O365" s="412" t="s">
        <v>786</v>
      </c>
      <c r="P365" s="414">
        <f>(C10)</f>
        <v>999</v>
      </c>
      <c r="Q365" s="412" t="s">
        <v>701</v>
      </c>
      <c r="R365" s="414">
        <f t="shared" si="37"/>
        <v>1098.9000000000001</v>
      </c>
      <c r="U365" s="414" t="s">
        <v>621</v>
      </c>
      <c r="W365" s="413"/>
      <c r="X365" s="414" t="e">
        <f>X363/10</f>
        <v>#REF!</v>
      </c>
      <c r="AB365" s="414">
        <v>2</v>
      </c>
      <c r="AC365" s="414" t="s">
        <v>702</v>
      </c>
      <c r="AD365" s="412" t="s">
        <v>1063</v>
      </c>
      <c r="AE365" s="414" t="e">
        <f>V356</f>
        <v>#REF!</v>
      </c>
      <c r="AF365" s="412" t="s">
        <v>702</v>
      </c>
      <c r="AG365" s="414" t="e">
        <f>(AB365*AE365)</f>
        <v>#REF!</v>
      </c>
    </row>
    <row r="366" spans="1:34" ht="24" customHeight="1">
      <c r="A366" s="424">
        <f t="shared" si="36"/>
        <v>201</v>
      </c>
      <c r="B366" s="412" t="s">
        <v>787</v>
      </c>
      <c r="D366" s="412" t="s">
        <v>790</v>
      </c>
      <c r="K366" s="418" t="s">
        <v>1676</v>
      </c>
      <c r="M366" s="414">
        <v>3.2</v>
      </c>
      <c r="N366" s="412" t="s">
        <v>701</v>
      </c>
      <c r="O366" s="412" t="s">
        <v>245</v>
      </c>
      <c r="P366" s="414">
        <f>(C13)</f>
        <v>534</v>
      </c>
      <c r="Q366" s="412" t="s">
        <v>701</v>
      </c>
      <c r="R366" s="414">
        <f t="shared" si="37"/>
        <v>1708.8</v>
      </c>
      <c r="W366" s="413"/>
      <c r="X366" s="429" t="s">
        <v>994</v>
      </c>
      <c r="AB366" s="414">
        <v>3.5</v>
      </c>
      <c r="AC366" s="414" t="s">
        <v>701</v>
      </c>
      <c r="AD366" s="412" t="s">
        <v>1637</v>
      </c>
      <c r="AE366" s="414">
        <f>V357</f>
        <v>999</v>
      </c>
      <c r="AF366" s="412" t="s">
        <v>701</v>
      </c>
      <c r="AG366" s="414">
        <f>(AB366*AE366)</f>
        <v>3496.5</v>
      </c>
    </row>
    <row r="367" spans="1:34" ht="24" customHeight="1">
      <c r="A367" s="424">
        <f t="shared" si="36"/>
        <v>202</v>
      </c>
      <c r="B367" s="412" t="s">
        <v>186</v>
      </c>
      <c r="C367" s="414">
        <v>20.329999999999998</v>
      </c>
      <c r="D367" s="412" t="s">
        <v>619</v>
      </c>
      <c r="H367" s="412" t="s">
        <v>307</v>
      </c>
      <c r="J367" s="412" t="e">
        <f>K367-K365</f>
        <v>#REF!</v>
      </c>
      <c r="K367" s="414" t="e">
        <f>(K365+C19)</f>
        <v>#REF!</v>
      </c>
      <c r="M367" s="414">
        <v>9.8000000000000007</v>
      </c>
      <c r="N367" s="412" t="s">
        <v>1341</v>
      </c>
      <c r="O367" s="412" t="s">
        <v>1342</v>
      </c>
      <c r="P367" s="414">
        <f>(C148)</f>
        <v>145.19999999999999</v>
      </c>
      <c r="Q367" s="412" t="s">
        <v>1341</v>
      </c>
      <c r="R367" s="414">
        <f t="shared" si="37"/>
        <v>1422.96</v>
      </c>
      <c r="U367" s="414" t="s">
        <v>307</v>
      </c>
      <c r="W367" s="413"/>
      <c r="X367" s="414" t="e">
        <f>X365+C19</f>
        <v>#REF!</v>
      </c>
      <c r="Y367" s="414" t="e">
        <f>X365+X367+X368+X369+X370+X371</f>
        <v>#REF!</v>
      </c>
      <c r="Z367" s="414" t="e">
        <f>Y367/6</f>
        <v>#REF!</v>
      </c>
      <c r="AB367" s="414">
        <v>10.6</v>
      </c>
      <c r="AC367" s="414" t="s">
        <v>701</v>
      </c>
      <c r="AD367" s="412" t="s">
        <v>1392</v>
      </c>
      <c r="AE367" s="414">
        <f>V358</f>
        <v>932</v>
      </c>
      <c r="AF367" s="412" t="s">
        <v>701</v>
      </c>
      <c r="AG367" s="414">
        <f>(AB367*AE367)</f>
        <v>9879.2000000000007</v>
      </c>
    </row>
    <row r="368" spans="1:34" ht="24" customHeight="1">
      <c r="A368" s="424">
        <f t="shared" si="36"/>
        <v>203</v>
      </c>
      <c r="B368" s="412" t="s">
        <v>187</v>
      </c>
      <c r="C368" s="414">
        <v>26.6</v>
      </c>
      <c r="D368" s="412" t="s">
        <v>619</v>
      </c>
      <c r="H368" s="412" t="s">
        <v>309</v>
      </c>
      <c r="J368" s="412" t="e">
        <f>K368-K367</f>
        <v>#REF!</v>
      </c>
      <c r="K368" s="414" t="e">
        <f>(K367+C20)</f>
        <v>#REF!</v>
      </c>
      <c r="L368" s="414" t="e">
        <f>(K367+K368)/2</f>
        <v>#REF!</v>
      </c>
      <c r="N368" s="412" t="s">
        <v>358</v>
      </c>
      <c r="O368" s="412" t="s">
        <v>359</v>
      </c>
      <c r="P368" s="412" t="s">
        <v>790</v>
      </c>
      <c r="Q368" s="412" t="s">
        <v>358</v>
      </c>
      <c r="R368" s="414">
        <v>0</v>
      </c>
      <c r="U368" s="414" t="s">
        <v>309</v>
      </c>
      <c r="W368" s="413"/>
      <c r="X368" s="414" t="e">
        <f>X367+C20</f>
        <v>#REF!</v>
      </c>
      <c r="Y368" s="414" t="e">
        <f>SUM(X367:X368)/2</f>
        <v>#REF!</v>
      </c>
      <c r="AB368" s="414">
        <v>7.1</v>
      </c>
      <c r="AC368" s="414" t="s">
        <v>701</v>
      </c>
      <c r="AD368" s="412" t="s">
        <v>1550</v>
      </c>
      <c r="AE368" s="414">
        <f>V359</f>
        <v>651</v>
      </c>
      <c r="AF368" s="412" t="s">
        <v>701</v>
      </c>
      <c r="AG368" s="414">
        <f>(AB368*AE368)</f>
        <v>4622.1000000000004</v>
      </c>
      <c r="AH368" s="414" t="e">
        <f>(AG377+AG376)/2</f>
        <v>#REF!</v>
      </c>
    </row>
    <row r="369" spans="1:34" ht="24" customHeight="1">
      <c r="A369" s="424">
        <f t="shared" si="36"/>
        <v>204</v>
      </c>
      <c r="B369" s="412" t="s">
        <v>188</v>
      </c>
      <c r="C369" s="414">
        <v>33.89</v>
      </c>
      <c r="D369" s="412" t="s">
        <v>619</v>
      </c>
      <c r="H369" s="412" t="s">
        <v>1818</v>
      </c>
      <c r="J369" s="412" t="e">
        <f>K369-K368</f>
        <v>#REF!</v>
      </c>
      <c r="K369" s="414" t="e">
        <f>(K368+C21)</f>
        <v>#REF!</v>
      </c>
      <c r="L369" s="414" t="e">
        <f>SUM(K367:K369)/3</f>
        <v>#REF!</v>
      </c>
      <c r="R369" s="418" t="s">
        <v>1288</v>
      </c>
      <c r="U369" s="414" t="s">
        <v>1818</v>
      </c>
      <c r="W369" s="413"/>
      <c r="X369" s="414" t="e">
        <f>X368+C20</f>
        <v>#REF!</v>
      </c>
      <c r="Y369" s="414" t="e">
        <f>SUM(X367:X369)/3</f>
        <v>#REF!</v>
      </c>
      <c r="AB369" s="414">
        <v>21.2</v>
      </c>
      <c r="AC369" s="414" t="s">
        <v>701</v>
      </c>
      <c r="AD369" s="412" t="s">
        <v>245</v>
      </c>
      <c r="AE369" s="414">
        <f>V360</f>
        <v>534</v>
      </c>
      <c r="AF369" s="412" t="s">
        <v>701</v>
      </c>
      <c r="AG369" s="414">
        <f>(AB369*AE369)</f>
        <v>11320.8</v>
      </c>
      <c r="AH369" s="414" t="e">
        <f>SUM(AG376:AG378)/3</f>
        <v>#REF!</v>
      </c>
    </row>
    <row r="370" spans="1:34" ht="24" customHeight="1">
      <c r="A370" s="424">
        <f t="shared" si="36"/>
        <v>205</v>
      </c>
      <c r="B370" s="412" t="s">
        <v>788</v>
      </c>
      <c r="H370" s="412" t="s">
        <v>301</v>
      </c>
      <c r="J370" s="412" t="e">
        <f>K370-K369</f>
        <v>#REF!</v>
      </c>
      <c r="K370" s="414" t="e">
        <f>K369+C21</f>
        <v>#REF!</v>
      </c>
      <c r="O370" s="412" t="s">
        <v>351</v>
      </c>
      <c r="R370" s="414" t="e">
        <f>SUM(R362:R368)</f>
        <v>#REF!</v>
      </c>
      <c r="U370" s="414" t="s">
        <v>301</v>
      </c>
      <c r="W370" s="413"/>
      <c r="X370" s="414" t="e">
        <f>X369+C20</f>
        <v>#REF!</v>
      </c>
      <c r="AC370" s="414" t="s">
        <v>358</v>
      </c>
      <c r="AD370" s="412" t="s">
        <v>359</v>
      </c>
      <c r="AF370" s="412" t="s">
        <v>358</v>
      </c>
      <c r="AG370" s="414">
        <v>0</v>
      </c>
    </row>
    <row r="371" spans="1:34" ht="24" customHeight="1">
      <c r="A371" s="424">
        <f t="shared" si="36"/>
        <v>206</v>
      </c>
      <c r="B371" s="412" t="s">
        <v>186</v>
      </c>
      <c r="C371" s="414">
        <v>13.29</v>
      </c>
      <c r="D371" s="412" t="s">
        <v>619</v>
      </c>
      <c r="H371" s="412" t="s">
        <v>388</v>
      </c>
      <c r="J371" s="412" t="e">
        <f>K371-K370</f>
        <v>#REF!</v>
      </c>
      <c r="K371" s="414" t="e">
        <f>K370+C21</f>
        <v>#REF!</v>
      </c>
      <c r="R371" s="418" t="s">
        <v>1288</v>
      </c>
      <c r="U371" s="414" t="s">
        <v>388</v>
      </c>
      <c r="W371" s="413"/>
      <c r="X371" s="414" t="e">
        <f>X370+C20</f>
        <v>#REF!</v>
      </c>
      <c r="AF371" s="412"/>
      <c r="AG371" s="418" t="s">
        <v>1288</v>
      </c>
    </row>
    <row r="372" spans="1:34" ht="24" customHeight="1">
      <c r="A372" s="424">
        <f t="shared" si="36"/>
        <v>207</v>
      </c>
      <c r="B372" s="412" t="s">
        <v>187</v>
      </c>
      <c r="C372" s="414">
        <v>18.02</v>
      </c>
      <c r="D372" s="412" t="s">
        <v>619</v>
      </c>
      <c r="H372" s="412" t="s">
        <v>1486</v>
      </c>
      <c r="J372" s="412" t="e">
        <f>SUM(K367+K368+K369)/3</f>
        <v>#REF!</v>
      </c>
      <c r="K372" s="414" t="e">
        <f>(K367+K368+K369+K370)/4</f>
        <v>#REF!</v>
      </c>
      <c r="O372" s="412" t="s">
        <v>447</v>
      </c>
      <c r="R372" s="414" t="e">
        <f>(R370/10)</f>
        <v>#REF!</v>
      </c>
      <c r="U372" s="414" t="s">
        <v>1486</v>
      </c>
      <c r="W372" s="413">
        <v>2171.31</v>
      </c>
      <c r="X372" s="414" t="e">
        <f>SUM(X367:X370)/4</f>
        <v>#REF!</v>
      </c>
      <c r="AD372" s="412" t="s">
        <v>492</v>
      </c>
      <c r="AF372" s="412"/>
      <c r="AG372" s="414" t="e">
        <f>SUM(AG364:AG370)</f>
        <v>#REF!</v>
      </c>
    </row>
    <row r="373" spans="1:34" ht="24" customHeight="1">
      <c r="A373" s="424">
        <f t="shared" si="36"/>
        <v>208</v>
      </c>
      <c r="B373" s="412" t="s">
        <v>188</v>
      </c>
      <c r="C373" s="414">
        <v>23.17</v>
      </c>
      <c r="D373" s="412" t="s">
        <v>619</v>
      </c>
      <c r="R373" s="418" t="s">
        <v>1676</v>
      </c>
      <c r="W373" s="413"/>
      <c r="AF373" s="412"/>
      <c r="AG373" s="418" t="s">
        <v>1288</v>
      </c>
    </row>
    <row r="374" spans="1:34" ht="24" customHeight="1">
      <c r="A374" s="424">
        <f t="shared" si="36"/>
        <v>209</v>
      </c>
      <c r="B374" s="412" t="s">
        <v>1487</v>
      </c>
      <c r="D374" s="412" t="s">
        <v>790</v>
      </c>
      <c r="H374" s="413" t="s">
        <v>1488</v>
      </c>
      <c r="N374" s="412" t="s">
        <v>1833</v>
      </c>
      <c r="O374" s="412" t="s">
        <v>1489</v>
      </c>
      <c r="U374" s="414" t="s">
        <v>1488</v>
      </c>
      <c r="W374" s="413"/>
      <c r="AD374" s="412" t="s">
        <v>621</v>
      </c>
      <c r="AF374" s="412"/>
      <c r="AG374" s="414" t="e">
        <f>(AG372/10)</f>
        <v>#REF!</v>
      </c>
    </row>
    <row r="375" spans="1:34" ht="24" customHeight="1">
      <c r="A375" s="424">
        <f t="shared" si="36"/>
        <v>210</v>
      </c>
      <c r="B375" s="412" t="s">
        <v>186</v>
      </c>
      <c r="C375" s="414">
        <v>9</v>
      </c>
      <c r="D375" s="412" t="s">
        <v>619</v>
      </c>
      <c r="H375" s="418" t="s">
        <v>1288</v>
      </c>
      <c r="O375" s="418" t="s">
        <v>1288</v>
      </c>
      <c r="U375" s="414" t="s">
        <v>1288</v>
      </c>
      <c r="W375" s="413"/>
      <c r="AF375" s="412"/>
      <c r="AG375" s="418" t="s">
        <v>1676</v>
      </c>
    </row>
    <row r="376" spans="1:34" ht="24" customHeight="1">
      <c r="A376" s="424">
        <f t="shared" si="36"/>
        <v>211</v>
      </c>
      <c r="B376" s="412" t="s">
        <v>187</v>
      </c>
      <c r="C376" s="414">
        <v>11.58</v>
      </c>
      <c r="D376" s="412" t="s">
        <v>619</v>
      </c>
      <c r="F376" s="425">
        <v>10</v>
      </c>
      <c r="G376" s="414" t="s">
        <v>1833</v>
      </c>
      <c r="H376" s="412" t="s">
        <v>1944</v>
      </c>
      <c r="M376" s="414">
        <v>0.05</v>
      </c>
      <c r="N376" s="412" t="s">
        <v>702</v>
      </c>
      <c r="O376" s="412" t="s">
        <v>1632</v>
      </c>
      <c r="P376" s="414">
        <f>(C84)</f>
        <v>1348</v>
      </c>
      <c r="Q376" s="412" t="s">
        <v>702</v>
      </c>
      <c r="R376" s="414">
        <f>(M376*P376)</f>
        <v>67.400000000000006</v>
      </c>
      <c r="S376" s="416">
        <v>10</v>
      </c>
      <c r="T376" s="414" t="s">
        <v>1833</v>
      </c>
      <c r="U376" s="414" t="s">
        <v>1151</v>
      </c>
      <c r="W376" s="413"/>
      <c r="AD376" s="412" t="s">
        <v>307</v>
      </c>
      <c r="AF376" s="412"/>
      <c r="AG376" s="414" t="e">
        <f>(AG374+C19)</f>
        <v>#REF!</v>
      </c>
    </row>
    <row r="377" spans="1:34" ht="24" customHeight="1">
      <c r="A377" s="424">
        <f t="shared" si="36"/>
        <v>212</v>
      </c>
      <c r="B377" s="412" t="s">
        <v>188</v>
      </c>
      <c r="C377" s="414">
        <v>14.15</v>
      </c>
      <c r="D377" s="412" t="s">
        <v>619</v>
      </c>
      <c r="H377" s="414" t="str">
        <f>H309</f>
        <v>Bricks of size 22x11x7 cm</v>
      </c>
      <c r="M377" s="414">
        <v>1.1000000000000001</v>
      </c>
      <c r="N377" s="412" t="s">
        <v>701</v>
      </c>
      <c r="O377" s="412" t="s">
        <v>1392</v>
      </c>
      <c r="P377" s="414">
        <f>(C11)</f>
        <v>932</v>
      </c>
      <c r="Q377" s="412" t="s">
        <v>701</v>
      </c>
      <c r="R377" s="414">
        <f>(M377*P377)</f>
        <v>1025.2</v>
      </c>
      <c r="U377" s="414" t="s">
        <v>338</v>
      </c>
      <c r="W377" s="413"/>
      <c r="AD377" s="412" t="s">
        <v>309</v>
      </c>
      <c r="AF377" s="412"/>
      <c r="AG377" s="414" t="e">
        <f>(AG376+C20)</f>
        <v>#REF!</v>
      </c>
    </row>
    <row r="378" spans="1:34" ht="24" customHeight="1">
      <c r="A378" s="424">
        <f t="shared" si="36"/>
        <v>213</v>
      </c>
      <c r="B378" s="412" t="s">
        <v>1490</v>
      </c>
      <c r="H378" s="418" t="s">
        <v>1288</v>
      </c>
      <c r="M378" s="414">
        <v>0.3</v>
      </c>
      <c r="N378" s="412" t="s">
        <v>701</v>
      </c>
      <c r="O378" s="412" t="s">
        <v>1550</v>
      </c>
      <c r="P378" s="414">
        <f>(C12)</f>
        <v>651</v>
      </c>
      <c r="Q378" s="412" t="s">
        <v>701</v>
      </c>
      <c r="R378" s="414">
        <f>(M378*P378)</f>
        <v>195.3</v>
      </c>
      <c r="U378" s="414" t="s">
        <v>1288</v>
      </c>
      <c r="W378" s="413"/>
      <c r="AD378" s="412" t="s">
        <v>1818</v>
      </c>
      <c r="AF378" s="412"/>
      <c r="AG378" s="414" t="e">
        <f>(AG377+C20)</f>
        <v>#REF!</v>
      </c>
    </row>
    <row r="379" spans="1:34" ht="24" customHeight="1">
      <c r="A379" s="424">
        <f t="shared" si="36"/>
        <v>214</v>
      </c>
      <c r="B379" s="412" t="s">
        <v>186</v>
      </c>
      <c r="C379" s="414">
        <v>4.29</v>
      </c>
      <c r="D379" s="412" t="s">
        <v>619</v>
      </c>
      <c r="F379" s="414">
        <f>F311</f>
        <v>4800</v>
      </c>
      <c r="G379" s="414" t="s">
        <v>1159</v>
      </c>
      <c r="H379" s="414" t="str">
        <f>H309</f>
        <v>Bricks of size 22x11x7 cm</v>
      </c>
      <c r="I379" s="414" t="e">
        <f>(C80)</f>
        <v>#REF!</v>
      </c>
      <c r="J379" s="412" t="s">
        <v>1296</v>
      </c>
      <c r="K379" s="414" t="e">
        <f>(F379*I379)/1000</f>
        <v>#REF!</v>
      </c>
      <c r="M379" s="414">
        <v>1.9</v>
      </c>
      <c r="N379" s="412" t="s">
        <v>701</v>
      </c>
      <c r="O379" s="412" t="s">
        <v>245</v>
      </c>
      <c r="P379" s="414">
        <f>(C13)</f>
        <v>534</v>
      </c>
      <c r="Q379" s="412" t="s">
        <v>701</v>
      </c>
      <c r="R379" s="414">
        <f>(M379*P379)</f>
        <v>1014.6</v>
      </c>
      <c r="S379" s="416">
        <v>4600</v>
      </c>
      <c r="T379" s="414" t="s">
        <v>1159</v>
      </c>
      <c r="U379" s="414" t="s">
        <v>338</v>
      </c>
      <c r="V379" s="414" t="e">
        <f>AC41</f>
        <v>#REF!</v>
      </c>
      <c r="W379" s="413" t="s">
        <v>1296</v>
      </c>
      <c r="X379" s="414" t="e">
        <f>S379*V379/1000</f>
        <v>#REF!</v>
      </c>
      <c r="AD379" s="412" t="s">
        <v>301</v>
      </c>
      <c r="AF379" s="412"/>
      <c r="AG379" s="414" t="e">
        <f>AG378+C20</f>
        <v>#REF!</v>
      </c>
    </row>
    <row r="380" spans="1:34" ht="24" customHeight="1">
      <c r="A380" s="424">
        <f t="shared" si="36"/>
        <v>215</v>
      </c>
      <c r="B380" s="412" t="s">
        <v>187</v>
      </c>
      <c r="C380" s="414">
        <v>6.01</v>
      </c>
      <c r="D380" s="412" t="s">
        <v>619</v>
      </c>
      <c r="F380" s="414">
        <v>1.59</v>
      </c>
      <c r="G380" s="414" t="s">
        <v>702</v>
      </c>
      <c r="H380" s="412" t="s">
        <v>1063</v>
      </c>
      <c r="I380" s="414" t="e">
        <f>(K40)</f>
        <v>#REF!</v>
      </c>
      <c r="J380" s="412" t="s">
        <v>702</v>
      </c>
      <c r="K380" s="414" t="e">
        <f>(F380*I380)</f>
        <v>#REF!</v>
      </c>
      <c r="N380" s="412" t="s">
        <v>358</v>
      </c>
      <c r="O380" s="412" t="s">
        <v>1491</v>
      </c>
      <c r="P380" s="412" t="s">
        <v>790</v>
      </c>
      <c r="Q380" s="412" t="s">
        <v>358</v>
      </c>
      <c r="R380" s="414">
        <v>1.46</v>
      </c>
      <c r="S380" s="416">
        <v>1.59</v>
      </c>
      <c r="T380" s="414" t="s">
        <v>702</v>
      </c>
      <c r="U380" s="414" t="s">
        <v>1063</v>
      </c>
      <c r="V380" s="414" t="e">
        <f>I380</f>
        <v>#REF!</v>
      </c>
      <c r="W380" s="413" t="s">
        <v>702</v>
      </c>
      <c r="X380" s="414" t="e">
        <f>V380*S380</f>
        <v>#REF!</v>
      </c>
      <c r="AD380" s="412" t="s">
        <v>388</v>
      </c>
      <c r="AF380" s="412"/>
      <c r="AG380" s="414" t="e">
        <f>AG379+C20</f>
        <v>#REF!</v>
      </c>
    </row>
    <row r="381" spans="1:34" ht="24" customHeight="1">
      <c r="A381" s="424">
        <f t="shared" si="36"/>
        <v>216</v>
      </c>
      <c r="B381" s="412" t="s">
        <v>188</v>
      </c>
      <c r="C381" s="414">
        <v>6.86</v>
      </c>
      <c r="D381" s="412" t="s">
        <v>619</v>
      </c>
      <c r="F381" s="414">
        <v>7</v>
      </c>
      <c r="G381" s="414" t="s">
        <v>701</v>
      </c>
      <c r="H381" s="412" t="s">
        <v>1637</v>
      </c>
      <c r="I381" s="414">
        <f>(C10)</f>
        <v>999</v>
      </c>
      <c r="J381" s="412" t="s">
        <v>701</v>
      </c>
      <c r="K381" s="414">
        <f>(F381*I381)</f>
        <v>6993</v>
      </c>
      <c r="R381" s="418" t="s">
        <v>1288</v>
      </c>
      <c r="S381" s="416">
        <v>7</v>
      </c>
      <c r="T381" s="414" t="s">
        <v>701</v>
      </c>
      <c r="U381" s="414" t="s">
        <v>1637</v>
      </c>
      <c r="V381" s="414">
        <f>I381</f>
        <v>999</v>
      </c>
      <c r="W381" s="413" t="s">
        <v>701</v>
      </c>
      <c r="X381" s="414">
        <f>V381*S381</f>
        <v>6993</v>
      </c>
      <c r="AD381" s="412" t="s">
        <v>1486</v>
      </c>
      <c r="AF381" s="412"/>
      <c r="AG381" s="414" t="e">
        <f>(AG376+AG377+AG378+AG379)/4</f>
        <v>#REF!</v>
      </c>
    </row>
    <row r="382" spans="1:34" ht="24" customHeight="1">
      <c r="A382" s="424">
        <f t="shared" si="36"/>
        <v>217</v>
      </c>
      <c r="B382" s="412" t="s">
        <v>1492</v>
      </c>
      <c r="D382" s="412" t="s">
        <v>790</v>
      </c>
      <c r="F382" s="414">
        <v>7.1</v>
      </c>
      <c r="G382" s="414" t="s">
        <v>701</v>
      </c>
      <c r="H382" s="412" t="s">
        <v>1392</v>
      </c>
      <c r="I382" s="414">
        <f>(C11)</f>
        <v>932</v>
      </c>
      <c r="J382" s="412" t="s">
        <v>701</v>
      </c>
      <c r="K382" s="414">
        <f>(F382*I382)</f>
        <v>6617.2</v>
      </c>
      <c r="O382" s="412" t="s">
        <v>1493</v>
      </c>
      <c r="R382" s="414">
        <f>SUM(R375:R380)</f>
        <v>2303.96</v>
      </c>
      <c r="S382" s="416">
        <v>7.1</v>
      </c>
      <c r="T382" s="414" t="s">
        <v>701</v>
      </c>
      <c r="U382" s="414" t="s">
        <v>1392</v>
      </c>
      <c r="V382" s="414">
        <f>I382</f>
        <v>932</v>
      </c>
      <c r="W382" s="413" t="s">
        <v>701</v>
      </c>
      <c r="X382" s="414">
        <f>V382*S382</f>
        <v>6617.2</v>
      </c>
      <c r="AF382" s="412"/>
    </row>
    <row r="383" spans="1:34" ht="24" customHeight="1">
      <c r="A383" s="424">
        <f t="shared" si="36"/>
        <v>218</v>
      </c>
      <c r="B383" s="412" t="s">
        <v>186</v>
      </c>
      <c r="C383" s="414">
        <v>14.91</v>
      </c>
      <c r="D383" s="412" t="s">
        <v>619</v>
      </c>
      <c r="F383" s="414">
        <v>7.1</v>
      </c>
      <c r="G383" s="414" t="s">
        <v>701</v>
      </c>
      <c r="H383" s="412" t="s">
        <v>1550</v>
      </c>
      <c r="I383" s="414">
        <f>(C12)</f>
        <v>651</v>
      </c>
      <c r="J383" s="412" t="s">
        <v>701</v>
      </c>
      <c r="K383" s="414">
        <f>(F383*I383)</f>
        <v>4622.1000000000004</v>
      </c>
      <c r="R383" s="418" t="s">
        <v>1288</v>
      </c>
      <c r="S383" s="416">
        <v>7.1</v>
      </c>
      <c r="T383" s="414" t="s">
        <v>701</v>
      </c>
      <c r="U383" s="414" t="s">
        <v>1550</v>
      </c>
      <c r="V383" s="414">
        <f>I383</f>
        <v>651</v>
      </c>
      <c r="W383" s="413" t="s">
        <v>701</v>
      </c>
      <c r="X383" s="414">
        <f>V383*S383</f>
        <v>4622.1000000000004</v>
      </c>
      <c r="AD383" s="413" t="s">
        <v>1488</v>
      </c>
      <c r="AF383" s="412"/>
    </row>
    <row r="384" spans="1:34" ht="24" customHeight="1">
      <c r="A384" s="424">
        <f t="shared" si="36"/>
        <v>219</v>
      </c>
      <c r="B384" s="412" t="s">
        <v>187</v>
      </c>
      <c r="C384" s="414">
        <v>17.579999999999998</v>
      </c>
      <c r="D384" s="412" t="s">
        <v>619</v>
      </c>
      <c r="F384" s="414">
        <v>21.2</v>
      </c>
      <c r="G384" s="414" t="s">
        <v>701</v>
      </c>
      <c r="H384" s="412" t="s">
        <v>245</v>
      </c>
      <c r="I384" s="414">
        <f>(C13)</f>
        <v>534</v>
      </c>
      <c r="J384" s="412" t="s">
        <v>701</v>
      </c>
      <c r="K384" s="414">
        <f>(F384*I384)</f>
        <v>11320.8</v>
      </c>
      <c r="O384" s="412" t="s">
        <v>447</v>
      </c>
      <c r="R384" s="414">
        <f>(R382/100)</f>
        <v>23.04</v>
      </c>
      <c r="S384" s="416">
        <v>21.2</v>
      </c>
      <c r="T384" s="414" t="s">
        <v>701</v>
      </c>
      <c r="U384" s="414" t="s">
        <v>245</v>
      </c>
      <c r="V384" s="414">
        <f>I384</f>
        <v>534</v>
      </c>
      <c r="W384" s="413" t="s">
        <v>701</v>
      </c>
      <c r="X384" s="414">
        <f>V384*S384</f>
        <v>11320.8</v>
      </c>
      <c r="AD384" s="418" t="s">
        <v>1288</v>
      </c>
      <c r="AF384" s="412"/>
    </row>
    <row r="385" spans="1:45" ht="24" customHeight="1">
      <c r="A385" s="424">
        <f t="shared" si="36"/>
        <v>220</v>
      </c>
      <c r="B385" s="412" t="s">
        <v>188</v>
      </c>
      <c r="C385" s="414">
        <v>19.3</v>
      </c>
      <c r="D385" s="412" t="s">
        <v>619</v>
      </c>
      <c r="G385" s="414" t="s">
        <v>358</v>
      </c>
      <c r="H385" s="412" t="s">
        <v>359</v>
      </c>
      <c r="I385" s="412" t="s">
        <v>790</v>
      </c>
      <c r="J385" s="412" t="s">
        <v>358</v>
      </c>
      <c r="K385" s="414">
        <v>0</v>
      </c>
      <c r="R385" s="418" t="s">
        <v>1676</v>
      </c>
      <c r="T385" s="414" t="s">
        <v>358</v>
      </c>
      <c r="U385" s="414" t="s">
        <v>359</v>
      </c>
      <c r="V385" s="414" t="s">
        <v>790</v>
      </c>
      <c r="W385" s="413" t="s">
        <v>358</v>
      </c>
      <c r="X385" s="414">
        <v>0</v>
      </c>
      <c r="AB385" s="425">
        <v>10</v>
      </c>
      <c r="AC385" s="414" t="s">
        <v>1833</v>
      </c>
      <c r="AD385" s="412" t="s">
        <v>659</v>
      </c>
      <c r="AF385" s="412"/>
      <c r="AN385" s="425"/>
      <c r="AO385" s="414" t="s">
        <v>1833</v>
      </c>
      <c r="AP385" s="412" t="s">
        <v>2891</v>
      </c>
      <c r="AR385" s="412"/>
    </row>
    <row r="386" spans="1:45" ht="24" customHeight="1">
      <c r="A386" s="424">
        <f t="shared" si="36"/>
        <v>221</v>
      </c>
      <c r="B386" s="412" t="s">
        <v>902</v>
      </c>
      <c r="K386" s="418" t="s">
        <v>1288</v>
      </c>
      <c r="W386" s="413"/>
      <c r="X386" s="429" t="s">
        <v>340</v>
      </c>
      <c r="AD386" s="414" t="str">
        <f>AD309</f>
        <v>Bricks of size 23x11.4x7.5 cm</v>
      </c>
      <c r="AF386" s="412"/>
      <c r="AR386" s="412"/>
    </row>
    <row r="387" spans="1:45" ht="24" customHeight="1">
      <c r="A387" s="424">
        <f t="shared" si="36"/>
        <v>222</v>
      </c>
      <c r="B387" s="412" t="s">
        <v>186</v>
      </c>
      <c r="C387" s="414">
        <v>15.87</v>
      </c>
      <c r="D387" s="412" t="s">
        <v>619</v>
      </c>
      <c r="H387" s="412" t="s">
        <v>492</v>
      </c>
      <c r="K387" s="414" t="e">
        <f>SUM(K379:K385)</f>
        <v>#REF!</v>
      </c>
      <c r="U387" s="414" t="s">
        <v>492</v>
      </c>
      <c r="W387" s="413"/>
      <c r="X387" s="414" t="e">
        <f>SUM(X379:X386)</f>
        <v>#REF!</v>
      </c>
      <c r="AD387" s="418" t="s">
        <v>1288</v>
      </c>
      <c r="AF387" s="412"/>
      <c r="AP387" s="418" t="s">
        <v>1288</v>
      </c>
      <c r="AR387" s="412"/>
    </row>
    <row r="388" spans="1:45" ht="35.25" customHeight="1">
      <c r="A388" s="424">
        <f t="shared" si="36"/>
        <v>223</v>
      </c>
      <c r="B388" s="412" t="s">
        <v>187</v>
      </c>
      <c r="C388" s="414">
        <v>20.16</v>
      </c>
      <c r="D388" s="412" t="s">
        <v>619</v>
      </c>
      <c r="K388" s="418" t="s">
        <v>1288</v>
      </c>
      <c r="N388" s="412" t="s">
        <v>544</v>
      </c>
      <c r="O388" s="412" t="s">
        <v>903</v>
      </c>
      <c r="W388" s="413"/>
      <c r="X388" s="429" t="s">
        <v>340</v>
      </c>
      <c r="AB388" s="414">
        <f>AB311</f>
        <v>4240</v>
      </c>
      <c r="AC388" s="414" t="s">
        <v>1159</v>
      </c>
      <c r="AD388" s="414" t="str">
        <f>AD309</f>
        <v>Bricks of size 23x11.4x7.5 cm</v>
      </c>
      <c r="AE388" s="414" t="e">
        <f>AC42</f>
        <v>#REF!</v>
      </c>
      <c r="AF388" s="412" t="s">
        <v>1296</v>
      </c>
      <c r="AG388" s="414" t="e">
        <f>(AB388*AE388)/1000</f>
        <v>#REF!</v>
      </c>
      <c r="AN388" s="414">
        <v>91</v>
      </c>
      <c r="AO388" s="414" t="s">
        <v>1159</v>
      </c>
      <c r="AP388" s="431" t="s">
        <v>2892</v>
      </c>
      <c r="AQ388" s="414">
        <v>45.35</v>
      </c>
      <c r="AR388" s="412" t="s">
        <v>1134</v>
      </c>
      <c r="AS388" s="414">
        <f>(AN388*AQ388)</f>
        <v>4126.8500000000004</v>
      </c>
    </row>
    <row r="389" spans="1:45" ht="24" customHeight="1">
      <c r="A389" s="424">
        <f t="shared" si="36"/>
        <v>224</v>
      </c>
      <c r="B389" s="412" t="s">
        <v>188</v>
      </c>
      <c r="C389" s="414">
        <v>22.31</v>
      </c>
      <c r="D389" s="412" t="s">
        <v>619</v>
      </c>
      <c r="H389" s="412" t="s">
        <v>621</v>
      </c>
      <c r="K389" s="414" t="e">
        <f>(K387/10)</f>
        <v>#REF!</v>
      </c>
      <c r="O389" s="418" t="s">
        <v>1288</v>
      </c>
      <c r="U389" s="414" t="s">
        <v>621</v>
      </c>
      <c r="W389" s="413"/>
      <c r="X389" s="414" t="e">
        <f>X387/10</f>
        <v>#REF!</v>
      </c>
      <c r="AB389" s="414">
        <v>1.27</v>
      </c>
      <c r="AC389" s="414" t="s">
        <v>702</v>
      </c>
      <c r="AD389" s="412" t="s">
        <v>1063</v>
      </c>
      <c r="AE389" s="414" t="e">
        <f>V380</f>
        <v>#REF!</v>
      </c>
      <c r="AF389" s="412" t="s">
        <v>702</v>
      </c>
      <c r="AG389" s="414" t="e">
        <f>(AB389*AE389)</f>
        <v>#REF!</v>
      </c>
      <c r="AN389" s="414">
        <v>0.11</v>
      </c>
      <c r="AO389" s="414" t="s">
        <v>702</v>
      </c>
      <c r="AP389" s="412" t="s">
        <v>1063</v>
      </c>
      <c r="AQ389" s="414" t="e">
        <f>AE389</f>
        <v>#REF!</v>
      </c>
      <c r="AR389" s="412" t="s">
        <v>702</v>
      </c>
      <c r="AS389" s="414" t="e">
        <f>(AN389*AQ389)</f>
        <v>#REF!</v>
      </c>
    </row>
    <row r="390" spans="1:45" ht="24" customHeight="1">
      <c r="A390" s="424">
        <f t="shared" si="36"/>
        <v>225</v>
      </c>
      <c r="B390" s="412" t="s">
        <v>1814</v>
      </c>
      <c r="D390" s="412" t="s">
        <v>790</v>
      </c>
      <c r="K390" s="418" t="s">
        <v>1676</v>
      </c>
      <c r="M390" s="414">
        <v>7.0000000000000007E-2</v>
      </c>
      <c r="N390" s="412" t="s">
        <v>702</v>
      </c>
      <c r="O390" s="412" t="s">
        <v>1632</v>
      </c>
      <c r="P390" s="414">
        <f>(C84)</f>
        <v>1348</v>
      </c>
      <c r="Q390" s="412" t="s">
        <v>702</v>
      </c>
      <c r="R390" s="414">
        <f>(M390*P390)</f>
        <v>94.36</v>
      </c>
      <c r="W390" s="413"/>
      <c r="X390" s="429" t="s">
        <v>26</v>
      </c>
      <c r="AB390" s="414">
        <v>7</v>
      </c>
      <c r="AC390" s="414" t="s">
        <v>701</v>
      </c>
      <c r="AD390" s="412" t="s">
        <v>1637</v>
      </c>
      <c r="AE390" s="414">
        <f>V381</f>
        <v>999</v>
      </c>
      <c r="AF390" s="412" t="s">
        <v>701</v>
      </c>
      <c r="AG390" s="414">
        <f>(AB390*AE390)</f>
        <v>6993</v>
      </c>
      <c r="AN390" s="414">
        <v>1.25</v>
      </c>
      <c r="AO390" s="414" t="s">
        <v>701</v>
      </c>
      <c r="AP390" s="412" t="s">
        <v>1637</v>
      </c>
      <c r="AQ390" s="414">
        <f>AE390</f>
        <v>999</v>
      </c>
      <c r="AR390" s="412" t="s">
        <v>701</v>
      </c>
      <c r="AS390" s="414">
        <f>(AN390*AQ390)</f>
        <v>1248.75</v>
      </c>
    </row>
    <row r="391" spans="1:45" ht="24" customHeight="1">
      <c r="A391" s="424">
        <f t="shared" si="36"/>
        <v>226</v>
      </c>
      <c r="B391" s="412" t="s">
        <v>2965</v>
      </c>
      <c r="C391" s="414">
        <v>69.8</v>
      </c>
      <c r="D391" s="412" t="s">
        <v>1443</v>
      </c>
      <c r="M391" s="414">
        <v>1.6</v>
      </c>
      <c r="N391" s="412" t="s">
        <v>701</v>
      </c>
      <c r="O391" s="412" t="s">
        <v>1392</v>
      </c>
      <c r="P391" s="414">
        <f>(C11)</f>
        <v>932</v>
      </c>
      <c r="Q391" s="412" t="s">
        <v>701</v>
      </c>
      <c r="R391" s="414">
        <f>(M391*P391)</f>
        <v>1491.2</v>
      </c>
      <c r="W391" s="413"/>
      <c r="AB391" s="414">
        <v>7.1</v>
      </c>
      <c r="AC391" s="414" t="s">
        <v>701</v>
      </c>
      <c r="AD391" s="412" t="s">
        <v>1392</v>
      </c>
      <c r="AE391" s="414">
        <f>V382</f>
        <v>932</v>
      </c>
      <c r="AF391" s="412" t="s">
        <v>701</v>
      </c>
      <c r="AG391" s="414">
        <f>(AB391*AE391)</f>
        <v>6617.2</v>
      </c>
      <c r="AP391" s="412"/>
      <c r="AR391" s="412"/>
    </row>
    <row r="392" spans="1:45" ht="24" customHeight="1">
      <c r="A392" s="424">
        <f t="shared" si="36"/>
        <v>227</v>
      </c>
      <c r="B392" s="412" t="s">
        <v>905</v>
      </c>
      <c r="C392" s="414">
        <v>98.6</v>
      </c>
      <c r="D392" s="412" t="s">
        <v>1443</v>
      </c>
      <c r="G392" s="414" t="s">
        <v>544</v>
      </c>
      <c r="H392" s="412" t="s">
        <v>1983</v>
      </c>
      <c r="M392" s="414">
        <v>0.5</v>
      </c>
      <c r="N392" s="412" t="s">
        <v>701</v>
      </c>
      <c r="O392" s="412" t="s">
        <v>1550</v>
      </c>
      <c r="P392" s="414">
        <f>(C12)</f>
        <v>651</v>
      </c>
      <c r="Q392" s="412" t="s">
        <v>701</v>
      </c>
      <c r="R392" s="414">
        <f>(M392*P392)</f>
        <v>325.5</v>
      </c>
      <c r="T392" s="414" t="s">
        <v>544</v>
      </c>
      <c r="U392" s="414" t="s">
        <v>341</v>
      </c>
      <c r="W392" s="413"/>
      <c r="AB392" s="414">
        <v>7.1</v>
      </c>
      <c r="AC392" s="414" t="s">
        <v>701</v>
      </c>
      <c r="AD392" s="412" t="s">
        <v>1550</v>
      </c>
      <c r="AE392" s="414">
        <f>V383</f>
        <v>651</v>
      </c>
      <c r="AF392" s="412" t="s">
        <v>701</v>
      </c>
      <c r="AG392" s="414">
        <f>(AB392*AE392)</f>
        <v>4622.1000000000004</v>
      </c>
      <c r="AN392" s="414">
        <v>0.88</v>
      </c>
      <c r="AO392" s="414" t="s">
        <v>701</v>
      </c>
      <c r="AP392" s="412" t="s">
        <v>1550</v>
      </c>
      <c r="AQ392" s="414">
        <f>AE392</f>
        <v>651</v>
      </c>
      <c r="AR392" s="412" t="s">
        <v>701</v>
      </c>
      <c r="AS392" s="414">
        <f>(AN392*AQ392)</f>
        <v>572.88</v>
      </c>
    </row>
    <row r="393" spans="1:45" ht="24" customHeight="1">
      <c r="A393" s="424">
        <f t="shared" si="36"/>
        <v>228</v>
      </c>
      <c r="B393" s="412" t="s">
        <v>906</v>
      </c>
      <c r="C393" s="414">
        <v>128</v>
      </c>
      <c r="D393" s="412" t="s">
        <v>1443</v>
      </c>
      <c r="H393" s="418" t="s">
        <v>1288</v>
      </c>
      <c r="M393" s="414">
        <v>2.7</v>
      </c>
      <c r="N393" s="412" t="s">
        <v>701</v>
      </c>
      <c r="O393" s="412" t="s">
        <v>245</v>
      </c>
      <c r="P393" s="414">
        <f>(C13)</f>
        <v>534</v>
      </c>
      <c r="Q393" s="412" t="s">
        <v>701</v>
      </c>
      <c r="R393" s="414">
        <f>(M393*P393)</f>
        <v>1441.8</v>
      </c>
      <c r="U393" s="414" t="s">
        <v>1288</v>
      </c>
      <c r="W393" s="413"/>
      <c r="AB393" s="414">
        <v>21.2</v>
      </c>
      <c r="AC393" s="414" t="s">
        <v>701</v>
      </c>
      <c r="AD393" s="412" t="s">
        <v>245</v>
      </c>
      <c r="AE393" s="414">
        <f>V384</f>
        <v>534</v>
      </c>
      <c r="AF393" s="412" t="s">
        <v>701</v>
      </c>
      <c r="AG393" s="414">
        <f>(AB393*AE393)</f>
        <v>11320.8</v>
      </c>
      <c r="AN393" s="414">
        <v>0.88</v>
      </c>
      <c r="AO393" s="414" t="s">
        <v>701</v>
      </c>
      <c r="AP393" s="412" t="s">
        <v>245</v>
      </c>
      <c r="AQ393" s="414">
        <f>AE393</f>
        <v>534</v>
      </c>
      <c r="AR393" s="412" t="s">
        <v>701</v>
      </c>
      <c r="AS393" s="414">
        <f>(AN393*AQ393)</f>
        <v>469.92</v>
      </c>
    </row>
    <row r="394" spans="1:45" ht="24" customHeight="1">
      <c r="A394" s="424">
        <f t="shared" si="36"/>
        <v>229</v>
      </c>
      <c r="B394" s="412" t="s">
        <v>907</v>
      </c>
      <c r="C394" s="414">
        <v>151.4</v>
      </c>
      <c r="D394" s="412" t="s">
        <v>1443</v>
      </c>
      <c r="F394" s="414">
        <v>1.1000000000000001</v>
      </c>
      <c r="G394" s="414" t="s">
        <v>702</v>
      </c>
      <c r="H394" s="412" t="s">
        <v>908</v>
      </c>
      <c r="I394" s="414" t="e">
        <f>(K389)</f>
        <v>#REF!</v>
      </c>
      <c r="J394" s="412" t="s">
        <v>702</v>
      </c>
      <c r="K394" s="414" t="e">
        <f>(F394*I394)</f>
        <v>#REF!</v>
      </c>
      <c r="N394" s="412" t="s">
        <v>358</v>
      </c>
      <c r="O394" s="412" t="s">
        <v>1491</v>
      </c>
      <c r="P394" s="412" t="s">
        <v>790</v>
      </c>
      <c r="Q394" s="412" t="s">
        <v>358</v>
      </c>
      <c r="R394" s="414">
        <v>2.09</v>
      </c>
      <c r="S394" s="416">
        <v>1.1200000000000001</v>
      </c>
      <c r="T394" s="414" t="s">
        <v>702</v>
      </c>
      <c r="U394" s="414" t="s">
        <v>908</v>
      </c>
      <c r="V394" s="414" t="e">
        <f>X389</f>
        <v>#REF!</v>
      </c>
      <c r="W394" s="413" t="s">
        <v>702</v>
      </c>
      <c r="X394" s="414" t="e">
        <f>V394*S394</f>
        <v>#REF!</v>
      </c>
      <c r="AC394" s="414" t="s">
        <v>358</v>
      </c>
      <c r="AD394" s="412" t="s">
        <v>359</v>
      </c>
      <c r="AE394" s="412" t="s">
        <v>790</v>
      </c>
      <c r="AF394" s="412" t="s">
        <v>358</v>
      </c>
      <c r="AG394" s="414">
        <v>0</v>
      </c>
      <c r="AO394" s="414" t="s">
        <v>358</v>
      </c>
      <c r="AP394" s="412" t="s">
        <v>359</v>
      </c>
      <c r="AQ394" s="412" t="s">
        <v>790</v>
      </c>
      <c r="AR394" s="412" t="s">
        <v>358</v>
      </c>
      <c r="AS394" s="414">
        <v>0</v>
      </c>
    </row>
    <row r="395" spans="1:45" ht="24" customHeight="1">
      <c r="A395" s="424">
        <f t="shared" si="36"/>
        <v>230</v>
      </c>
      <c r="B395" s="412" t="s">
        <v>909</v>
      </c>
      <c r="C395" s="414">
        <v>163</v>
      </c>
      <c r="D395" s="412" t="s">
        <v>1443</v>
      </c>
      <c r="F395" s="414">
        <v>1</v>
      </c>
      <c r="G395" s="414" t="s">
        <v>619</v>
      </c>
      <c r="H395" s="412" t="s">
        <v>1637</v>
      </c>
      <c r="I395" s="414">
        <f>(C10)</f>
        <v>999</v>
      </c>
      <c r="J395" s="412" t="s">
        <v>701</v>
      </c>
      <c r="K395" s="414">
        <f>(F395*I395)</f>
        <v>999</v>
      </c>
      <c r="R395" s="418" t="s">
        <v>1288</v>
      </c>
      <c r="S395" s="416">
        <v>1</v>
      </c>
      <c r="T395" s="414" t="s">
        <v>619</v>
      </c>
      <c r="U395" s="414" t="s">
        <v>1637</v>
      </c>
      <c r="V395" s="414">
        <f>I395</f>
        <v>999</v>
      </c>
      <c r="W395" s="413" t="s">
        <v>701</v>
      </c>
      <c r="X395" s="414">
        <f>V395*S395</f>
        <v>999</v>
      </c>
      <c r="AF395" s="412"/>
      <c r="AG395" s="418" t="s">
        <v>1288</v>
      </c>
      <c r="AR395" s="412"/>
      <c r="AS395" s="418" t="s">
        <v>1288</v>
      </c>
    </row>
    <row r="396" spans="1:45" ht="24" customHeight="1">
      <c r="A396" s="424">
        <f t="shared" si="36"/>
        <v>231</v>
      </c>
      <c r="B396" s="412" t="s">
        <v>186</v>
      </c>
      <c r="C396" s="414">
        <v>209</v>
      </c>
      <c r="D396" s="412" t="s">
        <v>1443</v>
      </c>
      <c r="G396" s="414" t="s">
        <v>358</v>
      </c>
      <c r="H396" s="412" t="s">
        <v>359</v>
      </c>
      <c r="I396" s="412" t="s">
        <v>790</v>
      </c>
      <c r="J396" s="412" t="s">
        <v>358</v>
      </c>
      <c r="K396" s="414">
        <v>0</v>
      </c>
      <c r="O396" s="412" t="s">
        <v>1493</v>
      </c>
      <c r="R396" s="414">
        <f>SUM(R389:R394)</f>
        <v>3354.95</v>
      </c>
      <c r="T396" s="414" t="s">
        <v>358</v>
      </c>
      <c r="U396" s="414" t="s">
        <v>359</v>
      </c>
      <c r="V396" s="414" t="s">
        <v>790</v>
      </c>
      <c r="W396" s="413" t="s">
        <v>358</v>
      </c>
      <c r="X396" s="414">
        <v>0</v>
      </c>
      <c r="AD396" s="412" t="s">
        <v>492</v>
      </c>
      <c r="AF396" s="412"/>
      <c r="AG396" s="414" t="e">
        <f>SUM(AG388:AG394)</f>
        <v>#REF!</v>
      </c>
      <c r="AP396" s="412" t="s">
        <v>2893</v>
      </c>
      <c r="AR396" s="412"/>
      <c r="AS396" s="414" t="e">
        <f>SUM(AS388:AS394)</f>
        <v>#REF!</v>
      </c>
    </row>
    <row r="397" spans="1:45" ht="24" customHeight="1">
      <c r="A397" s="424">
        <f t="shared" si="36"/>
        <v>232</v>
      </c>
      <c r="B397" s="412" t="s">
        <v>2436</v>
      </c>
      <c r="C397" s="414">
        <v>244.4</v>
      </c>
      <c r="D397" s="412" t="s">
        <v>1443</v>
      </c>
      <c r="K397" s="418" t="s">
        <v>1288</v>
      </c>
      <c r="R397" s="418" t="s">
        <v>1288</v>
      </c>
      <c r="W397" s="413"/>
      <c r="X397" s="429" t="s">
        <v>340</v>
      </c>
      <c r="AF397" s="412"/>
      <c r="AG397" s="418" t="s">
        <v>1288</v>
      </c>
      <c r="AR397" s="412"/>
      <c r="AS397" s="418" t="s">
        <v>1288</v>
      </c>
    </row>
    <row r="398" spans="1:45" ht="24" customHeight="1">
      <c r="A398" s="424">
        <f t="shared" si="36"/>
        <v>233</v>
      </c>
      <c r="B398" s="412" t="s">
        <v>2966</v>
      </c>
      <c r="H398" s="412" t="s">
        <v>351</v>
      </c>
      <c r="K398" s="414" t="e">
        <f>SUM(K394:K396)</f>
        <v>#REF!</v>
      </c>
      <c r="O398" s="412" t="s">
        <v>447</v>
      </c>
      <c r="R398" s="414">
        <f>(R396/100)</f>
        <v>33.549999999999997</v>
      </c>
      <c r="U398" s="414" t="s">
        <v>351</v>
      </c>
      <c r="W398" s="413"/>
      <c r="X398" s="414" t="e">
        <f>SUM(X394:X396)</f>
        <v>#REF!</v>
      </c>
      <c r="AD398" s="412" t="s">
        <v>621</v>
      </c>
      <c r="AF398" s="412"/>
      <c r="AG398" s="414" t="e">
        <f>(AG396/10)</f>
        <v>#REF!</v>
      </c>
      <c r="AP398" s="412" t="s">
        <v>447</v>
      </c>
      <c r="AR398" s="412"/>
      <c r="AS398" s="414" t="e">
        <f>(AS396/10.71)</f>
        <v>#REF!</v>
      </c>
    </row>
    <row r="399" spans="1:45" ht="24" customHeight="1">
      <c r="A399" s="424">
        <f t="shared" si="36"/>
        <v>234</v>
      </c>
      <c r="B399" s="412" t="s">
        <v>904</v>
      </c>
      <c r="C399" s="414">
        <v>13.6</v>
      </c>
      <c r="D399" s="412" t="s">
        <v>701</v>
      </c>
      <c r="K399" s="418" t="s">
        <v>1288</v>
      </c>
      <c r="R399" s="418" t="s">
        <v>1676</v>
      </c>
      <c r="W399" s="413"/>
      <c r="X399" s="429" t="s">
        <v>340</v>
      </c>
      <c r="AF399" s="412"/>
      <c r="AG399" s="418" t="s">
        <v>1676</v>
      </c>
      <c r="AR399" s="412"/>
      <c r="AS399" s="418" t="s">
        <v>1676</v>
      </c>
    </row>
    <row r="400" spans="1:45" ht="24" customHeight="1">
      <c r="A400" s="424">
        <f t="shared" si="36"/>
        <v>235</v>
      </c>
      <c r="B400" s="412" t="s">
        <v>905</v>
      </c>
      <c r="C400" s="414">
        <v>23.2</v>
      </c>
      <c r="D400" s="412" t="s">
        <v>701</v>
      </c>
      <c r="H400" s="412" t="s">
        <v>447</v>
      </c>
      <c r="K400" s="417" t="e">
        <f>(K398/10)</f>
        <v>#REF!</v>
      </c>
      <c r="N400" s="412" t="s">
        <v>544</v>
      </c>
      <c r="O400" s="412" t="s">
        <v>273</v>
      </c>
      <c r="U400" s="414" t="s">
        <v>447</v>
      </c>
      <c r="W400" s="413"/>
      <c r="X400" s="414" t="e">
        <f>X398/10</f>
        <v>#REF!</v>
      </c>
      <c r="AF400" s="412"/>
      <c r="AP400" s="412" t="s">
        <v>307</v>
      </c>
      <c r="AR400" s="412">
        <f>AF411</f>
        <v>8.99</v>
      </c>
      <c r="AS400" s="417" t="e">
        <f>AS398+AR400</f>
        <v>#REF!</v>
      </c>
    </row>
    <row r="401" spans="1:45" ht="24" customHeight="1">
      <c r="A401" s="424">
        <f t="shared" si="36"/>
        <v>236</v>
      </c>
      <c r="B401" s="412" t="s">
        <v>906</v>
      </c>
      <c r="C401" s="414">
        <v>52</v>
      </c>
      <c r="D401" s="412" t="s">
        <v>701</v>
      </c>
      <c r="K401" s="418" t="s">
        <v>1676</v>
      </c>
      <c r="O401" s="418" t="s">
        <v>1288</v>
      </c>
      <c r="W401" s="413"/>
      <c r="X401" s="429" t="s">
        <v>26</v>
      </c>
      <c r="AC401" s="414" t="s">
        <v>544</v>
      </c>
      <c r="AD401" s="412" t="s">
        <v>2015</v>
      </c>
      <c r="AF401" s="412"/>
      <c r="AP401" s="412" t="s">
        <v>309</v>
      </c>
      <c r="AR401" s="412">
        <f>AF412</f>
        <v>18.149999999999999</v>
      </c>
      <c r="AS401" s="417" t="e">
        <f t="shared" ref="AS401:AS406" si="38">AS400+AR401</f>
        <v>#REF!</v>
      </c>
    </row>
    <row r="402" spans="1:45" ht="24" customHeight="1">
      <c r="A402" s="424">
        <f t="shared" si="36"/>
        <v>237</v>
      </c>
      <c r="B402" s="412" t="s">
        <v>907</v>
      </c>
      <c r="C402" s="414">
        <v>69.8</v>
      </c>
      <c r="D402" s="412" t="s">
        <v>701</v>
      </c>
      <c r="H402" s="412" t="s">
        <v>307</v>
      </c>
      <c r="J402" s="412" t="e">
        <f>K402-K400</f>
        <v>#REF!</v>
      </c>
      <c r="K402" s="417" t="e">
        <f>(K400+C19/10*F394)</f>
        <v>#REF!</v>
      </c>
      <c r="M402" s="414">
        <v>10</v>
      </c>
      <c r="N402" s="412" t="s">
        <v>488</v>
      </c>
      <c r="O402" s="412" t="s">
        <v>903</v>
      </c>
      <c r="P402" s="414">
        <f>(R398)</f>
        <v>33.549999999999997</v>
      </c>
      <c r="Q402" s="412" t="s">
        <v>488</v>
      </c>
      <c r="R402" s="414">
        <f>(M402*P402)</f>
        <v>335.5</v>
      </c>
      <c r="U402" s="417" t="s">
        <v>307</v>
      </c>
      <c r="W402" s="413">
        <f>0.112*C19</f>
        <v>8.84</v>
      </c>
      <c r="X402" s="417" t="e">
        <f>X400+W402</f>
        <v>#REF!</v>
      </c>
      <c r="AD402" s="418" t="s">
        <v>1288</v>
      </c>
      <c r="AF402" s="412"/>
      <c r="AP402" s="412" t="s">
        <v>1818</v>
      </c>
      <c r="AR402" s="412">
        <f>AR401</f>
        <v>18.149999999999999</v>
      </c>
      <c r="AS402" s="417" t="e">
        <f t="shared" si="38"/>
        <v>#REF!</v>
      </c>
    </row>
    <row r="403" spans="1:45" ht="24" customHeight="1">
      <c r="A403" s="424">
        <f t="shared" si="36"/>
        <v>238</v>
      </c>
      <c r="B403" s="412" t="s">
        <v>909</v>
      </c>
      <c r="C403" s="414">
        <v>87</v>
      </c>
      <c r="D403" s="412" t="s">
        <v>701</v>
      </c>
      <c r="H403" s="412" t="s">
        <v>309</v>
      </c>
      <c r="J403" s="412" t="e">
        <f>K403-K402</f>
        <v>#REF!</v>
      </c>
      <c r="K403" s="417" t="e">
        <f>(K402+C20/10*F394)</f>
        <v>#REF!</v>
      </c>
      <c r="M403" s="414">
        <v>10</v>
      </c>
      <c r="N403" s="412" t="s">
        <v>488</v>
      </c>
      <c r="O403" s="412" t="s">
        <v>1242</v>
      </c>
      <c r="P403" s="414">
        <f>(R398/2)</f>
        <v>16.78</v>
      </c>
      <c r="Q403" s="412" t="s">
        <v>488</v>
      </c>
      <c r="R403" s="414">
        <f>(M403*P403)</f>
        <v>167.8</v>
      </c>
      <c r="U403" s="417" t="s">
        <v>309</v>
      </c>
      <c r="W403" s="413">
        <f>0.112*C20</f>
        <v>17.829999999999998</v>
      </c>
      <c r="X403" s="417" t="e">
        <f>X402+W403</f>
        <v>#REF!</v>
      </c>
      <c r="AB403" s="414">
        <v>1.1399999999999999</v>
      </c>
      <c r="AC403" s="414" t="s">
        <v>702</v>
      </c>
      <c r="AD403" s="412" t="s">
        <v>908</v>
      </c>
      <c r="AE403" s="414" t="e">
        <f>(AG398)</f>
        <v>#REF!</v>
      </c>
      <c r="AF403" s="412" t="s">
        <v>702</v>
      </c>
      <c r="AG403" s="414" t="e">
        <f>(AB403*AE403)</f>
        <v>#REF!</v>
      </c>
      <c r="AP403" s="412" t="s">
        <v>301</v>
      </c>
      <c r="AR403" s="412">
        <f>AR402</f>
        <v>18.149999999999999</v>
      </c>
      <c r="AS403" s="417" t="e">
        <f t="shared" si="38"/>
        <v>#REF!</v>
      </c>
    </row>
    <row r="404" spans="1:45" ht="24" customHeight="1">
      <c r="A404" s="424">
        <f t="shared" si="36"/>
        <v>239</v>
      </c>
      <c r="B404" s="412" t="s">
        <v>186</v>
      </c>
      <c r="C404" s="414">
        <v>116.3</v>
      </c>
      <c r="D404" s="412" t="s">
        <v>701</v>
      </c>
      <c r="H404" s="412" t="s">
        <v>1818</v>
      </c>
      <c r="K404" s="417" t="e">
        <f>(K403+C21/10*F394)</f>
        <v>#REF!</v>
      </c>
      <c r="O404" s="412" t="s">
        <v>1243</v>
      </c>
      <c r="R404" s="418" t="s">
        <v>1288</v>
      </c>
      <c r="U404" s="417" t="s">
        <v>1818</v>
      </c>
      <c r="W404" s="413">
        <f>W403</f>
        <v>17.829999999999998</v>
      </c>
      <c r="X404" s="417" t="e">
        <f>X403+W404</f>
        <v>#REF!</v>
      </c>
      <c r="AB404" s="414">
        <v>1</v>
      </c>
      <c r="AC404" s="414" t="s">
        <v>619</v>
      </c>
      <c r="AD404" s="412" t="s">
        <v>1637</v>
      </c>
      <c r="AE404" s="414">
        <f>AE390</f>
        <v>999</v>
      </c>
      <c r="AF404" s="412" t="s">
        <v>701</v>
      </c>
      <c r="AG404" s="414">
        <f>(AB404*AE404)</f>
        <v>999</v>
      </c>
      <c r="AP404" s="412" t="s">
        <v>1244</v>
      </c>
      <c r="AR404" s="412">
        <f>AR403</f>
        <v>18.149999999999999</v>
      </c>
      <c r="AS404" s="417" t="e">
        <f t="shared" si="38"/>
        <v>#REF!</v>
      </c>
    </row>
    <row r="405" spans="1:45" ht="24" customHeight="1">
      <c r="A405" s="424">
        <f t="shared" si="36"/>
        <v>240</v>
      </c>
      <c r="B405" s="412" t="s">
        <v>3228</v>
      </c>
      <c r="C405" s="414">
        <v>278.3</v>
      </c>
      <c r="D405" s="412" t="s">
        <v>701</v>
      </c>
      <c r="H405" s="412" t="s">
        <v>301</v>
      </c>
      <c r="K405" s="417" t="e">
        <f>(K404+C21/10*F394)</f>
        <v>#REF!</v>
      </c>
      <c r="R405" s="414">
        <f>SUM(R402:R403)</f>
        <v>503.3</v>
      </c>
      <c r="U405" s="417" t="s">
        <v>301</v>
      </c>
      <c r="W405" s="413">
        <f>W403</f>
        <v>17.829999999999998</v>
      </c>
      <c r="X405" s="417" t="e">
        <f>X404+W405</f>
        <v>#REF!</v>
      </c>
      <c r="AC405" s="414" t="s">
        <v>358</v>
      </c>
      <c r="AD405" s="412" t="s">
        <v>359</v>
      </c>
      <c r="AE405" s="412" t="s">
        <v>790</v>
      </c>
      <c r="AF405" s="412" t="s">
        <v>358</v>
      </c>
      <c r="AG405" s="414">
        <v>0</v>
      </c>
      <c r="AP405" s="412" t="s">
        <v>2159</v>
      </c>
      <c r="AR405" s="412">
        <f>AR404</f>
        <v>18.149999999999999</v>
      </c>
      <c r="AS405" s="417" t="e">
        <f t="shared" si="38"/>
        <v>#REF!</v>
      </c>
    </row>
    <row r="406" spans="1:45" ht="24" customHeight="1">
      <c r="A406" s="424">
        <f t="shared" si="36"/>
        <v>241</v>
      </c>
      <c r="B406" s="412" t="s">
        <v>2967</v>
      </c>
      <c r="D406" s="412" t="s">
        <v>790</v>
      </c>
      <c r="H406" s="412" t="s">
        <v>1244</v>
      </c>
      <c r="K406" s="417" t="e">
        <f>(K405+C21/10*F394)</f>
        <v>#REF!</v>
      </c>
      <c r="L406" s="414" t="e">
        <f>K406-K405</f>
        <v>#REF!</v>
      </c>
      <c r="O406" s="412" t="s">
        <v>351</v>
      </c>
      <c r="R406" s="418" t="s">
        <v>1288</v>
      </c>
      <c r="U406" s="417" t="s">
        <v>1244</v>
      </c>
      <c r="W406" s="413">
        <f>W405</f>
        <v>17.829999999999998</v>
      </c>
      <c r="X406" s="417" t="e">
        <f>X405+W406</f>
        <v>#REF!</v>
      </c>
      <c r="AF406" s="412"/>
      <c r="AG406" s="418" t="s">
        <v>1288</v>
      </c>
      <c r="AP406" s="412" t="s">
        <v>2160</v>
      </c>
      <c r="AR406" s="412">
        <f>AR405</f>
        <v>18.149999999999999</v>
      </c>
      <c r="AS406" s="417" t="e">
        <f t="shared" si="38"/>
        <v>#REF!</v>
      </c>
    </row>
    <row r="407" spans="1:45" ht="24" customHeight="1">
      <c r="A407" s="424">
        <f t="shared" si="36"/>
        <v>242</v>
      </c>
      <c r="B407" s="412" t="s">
        <v>904</v>
      </c>
      <c r="C407" s="414">
        <v>13.6</v>
      </c>
      <c r="D407" s="412" t="s">
        <v>701</v>
      </c>
      <c r="F407" s="425">
        <v>11</v>
      </c>
      <c r="G407" s="414" t="s">
        <v>1833</v>
      </c>
      <c r="H407" s="412" t="s">
        <v>654</v>
      </c>
      <c r="L407" s="414" t="e">
        <f>K406+L406</f>
        <v>#REF!</v>
      </c>
      <c r="R407" s="414">
        <f>(R405/10)</f>
        <v>50.33</v>
      </c>
      <c r="S407" s="416">
        <v>11</v>
      </c>
      <c r="T407" s="414" t="s">
        <v>1833</v>
      </c>
      <c r="U407" s="414" t="s">
        <v>654</v>
      </c>
      <c r="W407" s="413"/>
      <c r="AD407" s="412" t="s">
        <v>351</v>
      </c>
      <c r="AF407" s="412"/>
      <c r="AG407" s="414" t="e">
        <f>SUM(AG403:AG405)</f>
        <v>#REF!</v>
      </c>
    </row>
    <row r="408" spans="1:45" ht="24" customHeight="1">
      <c r="A408" s="424">
        <f t="shared" si="36"/>
        <v>243</v>
      </c>
      <c r="B408" s="412" t="s">
        <v>905</v>
      </c>
      <c r="C408" s="414">
        <v>15.9</v>
      </c>
      <c r="D408" s="412" t="s">
        <v>701</v>
      </c>
      <c r="H408" s="414" t="str">
        <f>H309</f>
        <v>Bricks of size 22x11x7 cm</v>
      </c>
      <c r="O408" s="412" t="s">
        <v>447</v>
      </c>
      <c r="R408" s="418" t="s">
        <v>1676</v>
      </c>
      <c r="U408" s="414" t="s">
        <v>338</v>
      </c>
      <c r="W408" s="413"/>
      <c r="AF408" s="412"/>
      <c r="AG408" s="418" t="s">
        <v>1288</v>
      </c>
    </row>
    <row r="409" spans="1:45" ht="24" customHeight="1">
      <c r="A409" s="424">
        <f t="shared" si="36"/>
        <v>244</v>
      </c>
      <c r="B409" s="412" t="s">
        <v>906</v>
      </c>
      <c r="C409" s="414">
        <v>28.6</v>
      </c>
      <c r="D409" s="412" t="s">
        <v>701</v>
      </c>
      <c r="H409" s="418" t="s">
        <v>1288</v>
      </c>
      <c r="U409" s="414" t="s">
        <v>1288</v>
      </c>
      <c r="W409" s="413"/>
      <c r="AD409" s="412" t="s">
        <v>447</v>
      </c>
      <c r="AF409" s="412"/>
      <c r="AG409" s="417" t="e">
        <f>(AG407/10)</f>
        <v>#REF!</v>
      </c>
    </row>
    <row r="410" spans="1:45" ht="24" customHeight="1">
      <c r="A410" s="424">
        <f t="shared" si="36"/>
        <v>245</v>
      </c>
      <c r="B410" s="412" t="s">
        <v>907</v>
      </c>
      <c r="C410" s="414">
        <v>46.5</v>
      </c>
      <c r="D410" s="412" t="s">
        <v>701</v>
      </c>
      <c r="F410" s="414">
        <f>F311</f>
        <v>4800</v>
      </c>
      <c r="G410" s="414" t="s">
        <v>1159</v>
      </c>
      <c r="H410" s="414" t="str">
        <f>H309</f>
        <v>Bricks of size 22x11x7 cm</v>
      </c>
      <c r="I410" s="414" t="e">
        <f>(C80)</f>
        <v>#REF!</v>
      </c>
      <c r="J410" s="412" t="s">
        <v>1245</v>
      </c>
      <c r="K410" s="414" t="e">
        <f>(F410*I410)/1000</f>
        <v>#REF!</v>
      </c>
      <c r="N410" s="412" t="s">
        <v>1833</v>
      </c>
      <c r="O410" s="412" t="s">
        <v>1246</v>
      </c>
      <c r="S410" s="416">
        <v>4600</v>
      </c>
      <c r="T410" s="414" t="s">
        <v>1159</v>
      </c>
      <c r="U410" s="414" t="s">
        <v>338</v>
      </c>
      <c r="V410" s="414" t="e">
        <f t="shared" ref="V410:V415" si="39">V379</f>
        <v>#REF!</v>
      </c>
      <c r="W410" s="413" t="s">
        <v>1245</v>
      </c>
      <c r="X410" s="414" t="e">
        <f>V410*S410/1000</f>
        <v>#REF!</v>
      </c>
      <c r="AF410" s="412"/>
      <c r="AG410" s="418" t="s">
        <v>1676</v>
      </c>
    </row>
    <row r="411" spans="1:45" ht="24" customHeight="1">
      <c r="A411" s="424">
        <f t="shared" ref="A411:A421" si="40">(A410+1)</f>
        <v>246</v>
      </c>
      <c r="B411" s="412" t="s">
        <v>909</v>
      </c>
      <c r="C411" s="414">
        <v>58.1</v>
      </c>
      <c r="D411" s="412" t="s">
        <v>701</v>
      </c>
      <c r="F411" s="414">
        <f>F380</f>
        <v>1.59</v>
      </c>
      <c r="G411" s="414" t="s">
        <v>702</v>
      </c>
      <c r="H411" s="412" t="s">
        <v>1063</v>
      </c>
      <c r="I411" s="414" t="e">
        <f>(K40)</f>
        <v>#REF!</v>
      </c>
      <c r="J411" s="412" t="s">
        <v>702</v>
      </c>
      <c r="K411" s="414" t="e">
        <f>(F411*I411)</f>
        <v>#REF!</v>
      </c>
      <c r="O411" s="412" t="s">
        <v>1247</v>
      </c>
      <c r="S411" s="416">
        <v>1.59</v>
      </c>
      <c r="T411" s="414" t="s">
        <v>702</v>
      </c>
      <c r="U411" s="414" t="s">
        <v>1063</v>
      </c>
      <c r="V411" s="414" t="e">
        <f t="shared" si="39"/>
        <v>#REF!</v>
      </c>
      <c r="W411" s="413" t="s">
        <v>702</v>
      </c>
      <c r="X411" s="414" t="e">
        <f t="shared" ref="X411:X416" si="41">V411*S411</f>
        <v>#REF!</v>
      </c>
      <c r="AD411" s="412" t="s">
        <v>307</v>
      </c>
      <c r="AF411" s="412">
        <f>C19*0.114</f>
        <v>8.99</v>
      </c>
      <c r="AG411" s="417" t="e">
        <f>AG409+AF411</f>
        <v>#REF!</v>
      </c>
    </row>
    <row r="412" spans="1:45" ht="24" customHeight="1">
      <c r="A412" s="424">
        <f t="shared" si="40"/>
        <v>247</v>
      </c>
      <c r="B412" s="412" t="s">
        <v>186</v>
      </c>
      <c r="C412" s="414">
        <v>69.8</v>
      </c>
      <c r="D412" s="412" t="s">
        <v>701</v>
      </c>
      <c r="F412" s="414">
        <v>7</v>
      </c>
      <c r="G412" s="414" t="s">
        <v>701</v>
      </c>
      <c r="H412" s="412" t="s">
        <v>1637</v>
      </c>
      <c r="I412" s="414">
        <f>(C10)</f>
        <v>999</v>
      </c>
      <c r="J412" s="412" t="s">
        <v>701</v>
      </c>
      <c r="K412" s="414">
        <f>(F412*I412)</f>
        <v>6993</v>
      </c>
      <c r="O412" s="418" t="s">
        <v>1288</v>
      </c>
      <c r="S412" s="416">
        <v>7</v>
      </c>
      <c r="T412" s="414" t="s">
        <v>701</v>
      </c>
      <c r="U412" s="414" t="s">
        <v>1637</v>
      </c>
      <c r="V412" s="414">
        <f t="shared" si="39"/>
        <v>999</v>
      </c>
      <c r="W412" s="413" t="s">
        <v>701</v>
      </c>
      <c r="X412" s="414">
        <f t="shared" si="41"/>
        <v>6993</v>
      </c>
      <c r="AD412" s="412" t="s">
        <v>309</v>
      </c>
      <c r="AF412" s="412">
        <f>C20*0.114</f>
        <v>18.149999999999999</v>
      </c>
      <c r="AG412" s="417" t="e">
        <f t="shared" ref="AG412:AG420" si="42">AG411+AF412</f>
        <v>#REF!</v>
      </c>
    </row>
    <row r="413" spans="1:45" ht="24" customHeight="1">
      <c r="A413" s="424">
        <f t="shared" si="40"/>
        <v>248</v>
      </c>
      <c r="B413" s="412" t="s">
        <v>2968</v>
      </c>
      <c r="C413" s="414">
        <v>239</v>
      </c>
      <c r="D413" s="412" t="s">
        <v>701</v>
      </c>
      <c r="F413" s="414">
        <v>7.1</v>
      </c>
      <c r="G413" s="414" t="s">
        <v>701</v>
      </c>
      <c r="H413" s="412" t="s">
        <v>1392</v>
      </c>
      <c r="I413" s="414">
        <f>(C11)</f>
        <v>932</v>
      </c>
      <c r="J413" s="412" t="s">
        <v>701</v>
      </c>
      <c r="K413" s="414">
        <f>(F413*I413)</f>
        <v>6617.2</v>
      </c>
      <c r="M413" s="414">
        <v>10</v>
      </c>
      <c r="N413" s="412" t="s">
        <v>488</v>
      </c>
      <c r="O413" s="412" t="s">
        <v>1489</v>
      </c>
      <c r="P413" s="414">
        <f>(R384)</f>
        <v>23.04</v>
      </c>
      <c r="Q413" s="412" t="s">
        <v>488</v>
      </c>
      <c r="R413" s="414">
        <f>(M413*P413)</f>
        <v>230.4</v>
      </c>
      <c r="S413" s="416">
        <v>7.1</v>
      </c>
      <c r="T413" s="414" t="s">
        <v>701</v>
      </c>
      <c r="U413" s="414" t="s">
        <v>1392</v>
      </c>
      <c r="V413" s="414">
        <f t="shared" si="39"/>
        <v>932</v>
      </c>
      <c r="W413" s="413" t="s">
        <v>701</v>
      </c>
      <c r="X413" s="414">
        <f t="shared" si="41"/>
        <v>6617.2</v>
      </c>
      <c r="AD413" s="412" t="s">
        <v>1818</v>
      </c>
      <c r="AF413" s="412">
        <f t="shared" ref="AF413:AF422" si="43">AF412</f>
        <v>18.149999999999999</v>
      </c>
      <c r="AG413" s="417" t="e">
        <f t="shared" si="42"/>
        <v>#REF!</v>
      </c>
    </row>
    <row r="414" spans="1:45" ht="24" customHeight="1">
      <c r="A414" s="424">
        <f t="shared" si="40"/>
        <v>249</v>
      </c>
      <c r="B414" s="415" t="s">
        <v>2827</v>
      </c>
      <c r="D414" s="412" t="s">
        <v>790</v>
      </c>
      <c r="F414" s="414">
        <v>7.1</v>
      </c>
      <c r="G414" s="414" t="s">
        <v>701</v>
      </c>
      <c r="H414" s="412" t="s">
        <v>1550</v>
      </c>
      <c r="I414" s="414">
        <f>(C12)</f>
        <v>651</v>
      </c>
      <c r="J414" s="412" t="s">
        <v>701</v>
      </c>
      <c r="K414" s="414">
        <f>(F414*I414)</f>
        <v>4622.1000000000004</v>
      </c>
      <c r="M414" s="414">
        <v>10</v>
      </c>
      <c r="N414" s="412" t="s">
        <v>488</v>
      </c>
      <c r="O414" s="412" t="s">
        <v>273</v>
      </c>
      <c r="P414" s="414">
        <f>(R407)</f>
        <v>50.33</v>
      </c>
      <c r="Q414" s="412" t="s">
        <v>488</v>
      </c>
      <c r="R414" s="414">
        <f>(M414*P414)</f>
        <v>503.3</v>
      </c>
      <c r="S414" s="416">
        <v>7.1</v>
      </c>
      <c r="T414" s="414" t="s">
        <v>701</v>
      </c>
      <c r="U414" s="414" t="s">
        <v>1550</v>
      </c>
      <c r="V414" s="414">
        <f t="shared" si="39"/>
        <v>651</v>
      </c>
      <c r="W414" s="413" t="s">
        <v>701</v>
      </c>
      <c r="X414" s="414">
        <f t="shared" si="41"/>
        <v>4622.1000000000004</v>
      </c>
      <c r="AD414" s="412" t="s">
        <v>301</v>
      </c>
      <c r="AF414" s="412">
        <f t="shared" si="43"/>
        <v>18.149999999999999</v>
      </c>
      <c r="AG414" s="417" t="e">
        <f t="shared" si="42"/>
        <v>#REF!</v>
      </c>
    </row>
    <row r="415" spans="1:45" ht="24" customHeight="1">
      <c r="A415" s="424">
        <f t="shared" si="40"/>
        <v>250</v>
      </c>
      <c r="B415" s="412" t="s">
        <v>904</v>
      </c>
      <c r="C415" s="414">
        <v>15.9</v>
      </c>
      <c r="D415" s="412" t="s">
        <v>701</v>
      </c>
      <c r="F415" s="414">
        <v>21.2</v>
      </c>
      <c r="G415" s="414" t="s">
        <v>701</v>
      </c>
      <c r="H415" s="412" t="s">
        <v>245</v>
      </c>
      <c r="I415" s="414">
        <f>(C13)</f>
        <v>534</v>
      </c>
      <c r="J415" s="412" t="s">
        <v>701</v>
      </c>
      <c r="K415" s="414">
        <f>(F415*I415)</f>
        <v>11320.8</v>
      </c>
      <c r="O415" s="412" t="s">
        <v>790</v>
      </c>
      <c r="R415" s="418" t="s">
        <v>1288</v>
      </c>
      <c r="S415" s="416">
        <v>21.2</v>
      </c>
      <c r="T415" s="414" t="s">
        <v>701</v>
      </c>
      <c r="U415" s="414" t="s">
        <v>245</v>
      </c>
      <c r="V415" s="414">
        <f t="shared" si="39"/>
        <v>534</v>
      </c>
      <c r="W415" s="413" t="s">
        <v>701</v>
      </c>
      <c r="X415" s="414">
        <f t="shared" si="41"/>
        <v>11320.8</v>
      </c>
      <c r="AD415" s="412" t="s">
        <v>1244</v>
      </c>
      <c r="AF415" s="412">
        <f t="shared" si="43"/>
        <v>18.149999999999999</v>
      </c>
      <c r="AG415" s="417" t="e">
        <f t="shared" si="42"/>
        <v>#REF!</v>
      </c>
    </row>
    <row r="416" spans="1:45" ht="24" customHeight="1">
      <c r="A416" s="424">
        <f t="shared" si="40"/>
        <v>251</v>
      </c>
      <c r="B416" s="412" t="s">
        <v>905</v>
      </c>
      <c r="C416" s="414">
        <v>25.4</v>
      </c>
      <c r="D416" s="412" t="s">
        <v>701</v>
      </c>
      <c r="G416" s="414" t="s">
        <v>358</v>
      </c>
      <c r="H416" s="412" t="s">
        <v>359</v>
      </c>
      <c r="I416" s="412" t="s">
        <v>790</v>
      </c>
      <c r="J416" s="412" t="s">
        <v>358</v>
      </c>
      <c r="K416" s="414">
        <v>0</v>
      </c>
      <c r="R416" s="414">
        <f>SUM(R413:R414)</f>
        <v>733.7</v>
      </c>
      <c r="T416" s="414" t="s">
        <v>358</v>
      </c>
      <c r="U416" s="414" t="s">
        <v>359</v>
      </c>
      <c r="V416" s="414" t="s">
        <v>790</v>
      </c>
      <c r="W416" s="413" t="s">
        <v>358</v>
      </c>
      <c r="X416" s="414">
        <f t="shared" si="41"/>
        <v>0</v>
      </c>
      <c r="AD416" s="412" t="s">
        <v>2159</v>
      </c>
      <c r="AF416" s="412">
        <f t="shared" si="43"/>
        <v>18.149999999999999</v>
      </c>
      <c r="AG416" s="417" t="e">
        <f t="shared" si="42"/>
        <v>#REF!</v>
      </c>
    </row>
    <row r="417" spans="1:35" ht="24" customHeight="1">
      <c r="A417" s="424">
        <f t="shared" si="40"/>
        <v>252</v>
      </c>
      <c r="B417" s="412" t="s">
        <v>906</v>
      </c>
      <c r="C417" s="414">
        <v>58.1</v>
      </c>
      <c r="D417" s="412" t="s">
        <v>701</v>
      </c>
      <c r="K417" s="418" t="s">
        <v>1288</v>
      </c>
      <c r="O417" s="412" t="s">
        <v>351</v>
      </c>
      <c r="R417" s="418" t="s">
        <v>1288</v>
      </c>
      <c r="W417" s="413"/>
      <c r="X417" s="429" t="s">
        <v>340</v>
      </c>
      <c r="AD417" s="412" t="s">
        <v>2160</v>
      </c>
      <c r="AF417" s="412">
        <f t="shared" si="43"/>
        <v>18.149999999999999</v>
      </c>
      <c r="AG417" s="417" t="e">
        <f t="shared" si="42"/>
        <v>#REF!</v>
      </c>
    </row>
    <row r="418" spans="1:35" ht="24" customHeight="1">
      <c r="A418" s="424">
        <f t="shared" si="40"/>
        <v>253</v>
      </c>
      <c r="B418" s="412" t="s">
        <v>907</v>
      </c>
      <c r="C418" s="414">
        <v>87</v>
      </c>
      <c r="D418" s="412" t="s">
        <v>701</v>
      </c>
      <c r="H418" s="412" t="s">
        <v>492</v>
      </c>
      <c r="K418" s="414" t="e">
        <f>SUM(K410:K416)</f>
        <v>#REF!</v>
      </c>
      <c r="R418" s="414">
        <f>(R416/10)</f>
        <v>73.37</v>
      </c>
      <c r="U418" s="414" t="s">
        <v>492</v>
      </c>
      <c r="W418" s="413"/>
      <c r="X418" s="414" t="e">
        <f>SUM(X410:X416)</f>
        <v>#REF!</v>
      </c>
      <c r="AD418" s="412" t="s">
        <v>2161</v>
      </c>
      <c r="AF418" s="412">
        <f t="shared" si="43"/>
        <v>18.149999999999999</v>
      </c>
      <c r="AG418" s="417" t="e">
        <f t="shared" si="42"/>
        <v>#REF!</v>
      </c>
    </row>
    <row r="419" spans="1:35" ht="24" customHeight="1">
      <c r="A419" s="424">
        <f t="shared" si="40"/>
        <v>254</v>
      </c>
      <c r="B419" s="412" t="s">
        <v>909</v>
      </c>
      <c r="C419" s="414">
        <v>98.6</v>
      </c>
      <c r="D419" s="412" t="s">
        <v>701</v>
      </c>
      <c r="K419" s="418" t="s">
        <v>1288</v>
      </c>
      <c r="O419" s="412" t="s">
        <v>447</v>
      </c>
      <c r="R419" s="418" t="s">
        <v>1676</v>
      </c>
      <c r="W419" s="413"/>
      <c r="X419" s="429" t="s">
        <v>340</v>
      </c>
      <c r="AD419" s="412" t="s">
        <v>2168</v>
      </c>
      <c r="AF419" s="412">
        <f t="shared" si="43"/>
        <v>18.149999999999999</v>
      </c>
      <c r="AG419" s="417" t="e">
        <f>AG418+AF419</f>
        <v>#REF!</v>
      </c>
    </row>
    <row r="420" spans="1:35" ht="24" customHeight="1">
      <c r="A420" s="424">
        <f t="shared" si="40"/>
        <v>255</v>
      </c>
      <c r="B420" s="412" t="s">
        <v>186</v>
      </c>
      <c r="C420" s="414">
        <v>128</v>
      </c>
      <c r="D420" s="412" t="s">
        <v>701</v>
      </c>
      <c r="H420" s="412" t="s">
        <v>621</v>
      </c>
      <c r="K420" s="414" t="e">
        <f>(K418/10)</f>
        <v>#REF!</v>
      </c>
      <c r="U420" s="414" t="s">
        <v>621</v>
      </c>
      <c r="W420" s="413"/>
      <c r="X420" s="414" t="e">
        <f>X418/10</f>
        <v>#REF!</v>
      </c>
      <c r="AD420" s="412" t="s">
        <v>2166</v>
      </c>
      <c r="AF420" s="412">
        <f t="shared" si="43"/>
        <v>18.149999999999999</v>
      </c>
      <c r="AG420" s="417" t="e">
        <f t="shared" si="42"/>
        <v>#REF!</v>
      </c>
    </row>
    <row r="421" spans="1:35" ht="24" customHeight="1">
      <c r="A421" s="424">
        <f t="shared" si="40"/>
        <v>256</v>
      </c>
      <c r="B421" s="412" t="s">
        <v>2131</v>
      </c>
      <c r="C421" s="414">
        <v>345.2</v>
      </c>
      <c r="D421" s="412" t="s">
        <v>701</v>
      </c>
      <c r="K421" s="418" t="s">
        <v>1676</v>
      </c>
      <c r="W421" s="413"/>
      <c r="X421" s="429" t="s">
        <v>26</v>
      </c>
      <c r="AB421" s="425">
        <v>11</v>
      </c>
      <c r="AC421" s="414" t="s">
        <v>1833</v>
      </c>
      <c r="AD421" s="412" t="s">
        <v>654</v>
      </c>
      <c r="AF421" s="412">
        <f t="shared" si="43"/>
        <v>18.149999999999999</v>
      </c>
      <c r="AG421" s="417" t="e">
        <f>AG420+AF421</f>
        <v>#REF!</v>
      </c>
    </row>
    <row r="422" spans="1:35" ht="24" customHeight="1">
      <c r="F422" s="412" t="s">
        <v>193</v>
      </c>
      <c r="S422" s="416" t="s">
        <v>193</v>
      </c>
      <c r="W422" s="413"/>
      <c r="AD422" s="414">
        <f>AD307</f>
        <v>0</v>
      </c>
      <c r="AF422" s="412">
        <f t="shared" si="43"/>
        <v>18.149999999999999</v>
      </c>
      <c r="AG422" s="417" t="e">
        <f>AG421+AF422</f>
        <v>#REF!</v>
      </c>
      <c r="AH422" s="414" t="s">
        <v>2608</v>
      </c>
      <c r="AI422" s="414" t="e">
        <f>AG422+AF422</f>
        <v>#REF!</v>
      </c>
    </row>
    <row r="423" spans="1:35" ht="24" hidden="1" customHeight="1">
      <c r="A423" s="424">
        <f>(A421+1)</f>
        <v>257</v>
      </c>
      <c r="B423" s="415" t="s">
        <v>2828</v>
      </c>
      <c r="D423" s="412" t="s">
        <v>790</v>
      </c>
      <c r="O423" s="413" t="s">
        <v>1248</v>
      </c>
      <c r="W423" s="413"/>
      <c r="AD423" s="418" t="s">
        <v>1288</v>
      </c>
      <c r="AF423" s="412"/>
      <c r="AH423" s="414" t="s">
        <v>2609</v>
      </c>
      <c r="AI423" s="414" t="e">
        <f>AI422+AF422</f>
        <v>#REF!</v>
      </c>
    </row>
    <row r="424" spans="1:35" ht="24" customHeight="1">
      <c r="A424" s="424">
        <f t="shared" ref="A424:A487" si="44">(A423+1)</f>
        <v>258</v>
      </c>
      <c r="B424" s="412" t="s">
        <v>904</v>
      </c>
      <c r="C424" s="414">
        <v>58.1</v>
      </c>
      <c r="D424" s="412" t="s">
        <v>701</v>
      </c>
      <c r="G424" s="414" t="s">
        <v>1249</v>
      </c>
      <c r="H424" s="412" t="s">
        <v>342</v>
      </c>
      <c r="O424" s="418" t="s">
        <v>1288</v>
      </c>
      <c r="T424" s="414" t="s">
        <v>1249</v>
      </c>
      <c r="U424" s="414" t="s">
        <v>342</v>
      </c>
      <c r="W424" s="413"/>
      <c r="AB424" s="414">
        <f>AB311</f>
        <v>4240</v>
      </c>
      <c r="AC424" s="414" t="s">
        <v>1159</v>
      </c>
      <c r="AD424" s="414" t="str">
        <f>AD311</f>
        <v>Bricks of size 23x11.4x7.5 cm</v>
      </c>
      <c r="AE424" s="414" t="e">
        <f t="shared" ref="AE424:AE429" si="45">AE388</f>
        <v>#REF!</v>
      </c>
      <c r="AF424" s="412" t="s">
        <v>1245</v>
      </c>
      <c r="AG424" s="414" t="e">
        <f>(AB424*AE424)/1000</f>
        <v>#REF!</v>
      </c>
    </row>
    <row r="425" spans="1:35" ht="24" customHeight="1">
      <c r="A425" s="424">
        <f t="shared" si="44"/>
        <v>259</v>
      </c>
      <c r="B425" s="412" t="s">
        <v>905</v>
      </c>
      <c r="C425" s="414">
        <v>69.8</v>
      </c>
      <c r="D425" s="412" t="s">
        <v>701</v>
      </c>
      <c r="H425" s="418" t="s">
        <v>1288</v>
      </c>
      <c r="N425" s="412" t="s">
        <v>1833</v>
      </c>
      <c r="O425" s="412" t="s">
        <v>1671</v>
      </c>
      <c r="U425" s="414" t="s">
        <v>1288</v>
      </c>
      <c r="W425" s="413"/>
      <c r="AB425" s="414">
        <v>1.27</v>
      </c>
      <c r="AC425" s="414" t="s">
        <v>702</v>
      </c>
      <c r="AD425" s="412" t="s">
        <v>1063</v>
      </c>
      <c r="AE425" s="414" t="e">
        <f t="shared" si="45"/>
        <v>#REF!</v>
      </c>
      <c r="AF425" s="412" t="s">
        <v>702</v>
      </c>
      <c r="AG425" s="414" t="e">
        <f>(AB425*AE425)</f>
        <v>#REF!</v>
      </c>
    </row>
    <row r="426" spans="1:35" ht="24" customHeight="1">
      <c r="A426" s="424">
        <f t="shared" si="44"/>
        <v>260</v>
      </c>
      <c r="B426" s="412" t="s">
        <v>906</v>
      </c>
      <c r="C426" s="414">
        <v>98.6</v>
      </c>
      <c r="D426" s="412" t="s">
        <v>701</v>
      </c>
      <c r="F426" s="414">
        <v>0.7</v>
      </c>
      <c r="G426" s="414" t="s">
        <v>702</v>
      </c>
      <c r="H426" s="412" t="s">
        <v>1857</v>
      </c>
      <c r="I426" s="414" t="e">
        <f>(K420)</f>
        <v>#REF!</v>
      </c>
      <c r="J426" s="412" t="s">
        <v>701</v>
      </c>
      <c r="K426" s="414" t="e">
        <f>(F426*I426)</f>
        <v>#REF!</v>
      </c>
      <c r="O426" s="412" t="s">
        <v>1672</v>
      </c>
      <c r="S426" s="416">
        <v>0.7</v>
      </c>
      <c r="T426" s="414" t="s">
        <v>702</v>
      </c>
      <c r="U426" s="414" t="s">
        <v>1857</v>
      </c>
      <c r="V426" s="414" t="e">
        <f>X420</f>
        <v>#REF!</v>
      </c>
      <c r="W426" s="413" t="s">
        <v>701</v>
      </c>
      <c r="X426" s="414" t="e">
        <f>V426*S426</f>
        <v>#REF!</v>
      </c>
      <c r="AB426" s="414">
        <v>7</v>
      </c>
      <c r="AC426" s="414" t="s">
        <v>701</v>
      </c>
      <c r="AD426" s="412" t="s">
        <v>1637</v>
      </c>
      <c r="AE426" s="414">
        <f t="shared" si="45"/>
        <v>999</v>
      </c>
      <c r="AF426" s="412" t="s">
        <v>701</v>
      </c>
      <c r="AG426" s="414">
        <f>(AB426*AE426)</f>
        <v>6993</v>
      </c>
    </row>
    <row r="427" spans="1:35" ht="24" customHeight="1">
      <c r="A427" s="424">
        <f t="shared" si="44"/>
        <v>261</v>
      </c>
      <c r="B427" s="412" t="s">
        <v>907</v>
      </c>
      <c r="C427" s="414">
        <v>127.5</v>
      </c>
      <c r="D427" s="412" t="s">
        <v>701</v>
      </c>
      <c r="F427" s="414">
        <v>1</v>
      </c>
      <c r="G427" s="414" t="s">
        <v>619</v>
      </c>
      <c r="H427" s="412" t="s">
        <v>1637</v>
      </c>
      <c r="I427" s="414">
        <f>(C10)</f>
        <v>999</v>
      </c>
      <c r="J427" s="412" t="s">
        <v>701</v>
      </c>
      <c r="K427" s="414">
        <f>(F427*I427)</f>
        <v>999</v>
      </c>
      <c r="O427" s="412" t="s">
        <v>124</v>
      </c>
      <c r="S427" s="416">
        <v>1</v>
      </c>
      <c r="T427" s="414" t="s">
        <v>619</v>
      </c>
      <c r="U427" s="414" t="s">
        <v>1637</v>
      </c>
      <c r="V427" s="414">
        <f>V395</f>
        <v>999</v>
      </c>
      <c r="W427" s="413" t="s">
        <v>701</v>
      </c>
      <c r="X427" s="414">
        <f>V427*S427</f>
        <v>999</v>
      </c>
      <c r="AB427" s="414">
        <v>7.1</v>
      </c>
      <c r="AC427" s="414" t="s">
        <v>701</v>
      </c>
      <c r="AD427" s="412" t="s">
        <v>1392</v>
      </c>
      <c r="AE427" s="414">
        <f t="shared" si="45"/>
        <v>932</v>
      </c>
      <c r="AF427" s="412" t="s">
        <v>701</v>
      </c>
      <c r="AG427" s="414">
        <f>(AB427*AE427)</f>
        <v>6617.2</v>
      </c>
    </row>
    <row r="428" spans="1:35" ht="24" customHeight="1">
      <c r="A428" s="424">
        <f t="shared" si="44"/>
        <v>262</v>
      </c>
      <c r="B428" s="412" t="s">
        <v>909</v>
      </c>
      <c r="C428" s="414">
        <v>197.5</v>
      </c>
      <c r="D428" s="412" t="s">
        <v>701</v>
      </c>
      <c r="G428" s="414" t="s">
        <v>358</v>
      </c>
      <c r="H428" s="412" t="s">
        <v>359</v>
      </c>
      <c r="I428" s="412" t="s">
        <v>790</v>
      </c>
      <c r="J428" s="412" t="s">
        <v>358</v>
      </c>
      <c r="K428" s="414">
        <v>0</v>
      </c>
      <c r="O428" s="418" t="s">
        <v>1288</v>
      </c>
      <c r="T428" s="414" t="s">
        <v>358</v>
      </c>
      <c r="U428" s="414" t="s">
        <v>359</v>
      </c>
      <c r="V428" s="414" t="s">
        <v>790</v>
      </c>
      <c r="W428" s="413" t="s">
        <v>358</v>
      </c>
      <c r="X428" s="414">
        <v>0</v>
      </c>
      <c r="AB428" s="414">
        <f>AB315</f>
        <v>7.1</v>
      </c>
      <c r="AC428" s="414" t="s">
        <v>701</v>
      </c>
      <c r="AD428" s="412" t="s">
        <v>1550</v>
      </c>
      <c r="AE428" s="414">
        <f t="shared" si="45"/>
        <v>651</v>
      </c>
      <c r="AF428" s="412" t="s">
        <v>701</v>
      </c>
      <c r="AG428" s="414">
        <f>(AB428*AE428)</f>
        <v>4622.1000000000004</v>
      </c>
    </row>
    <row r="429" spans="1:35" ht="24" customHeight="1">
      <c r="A429" s="424">
        <f t="shared" si="44"/>
        <v>263</v>
      </c>
      <c r="B429" s="412" t="s">
        <v>186</v>
      </c>
      <c r="C429" s="414">
        <v>266.3</v>
      </c>
      <c r="D429" s="412" t="s">
        <v>701</v>
      </c>
      <c r="K429" s="418" t="s">
        <v>1288</v>
      </c>
      <c r="N429" s="412" t="s">
        <v>125</v>
      </c>
      <c r="O429" s="413" t="s">
        <v>126</v>
      </c>
      <c r="W429" s="413"/>
      <c r="X429" s="429" t="s">
        <v>340</v>
      </c>
      <c r="AB429" s="414">
        <f>AB316</f>
        <v>21.2</v>
      </c>
      <c r="AC429" s="414" t="s">
        <v>701</v>
      </c>
      <c r="AD429" s="412" t="s">
        <v>245</v>
      </c>
      <c r="AE429" s="414">
        <f t="shared" si="45"/>
        <v>534</v>
      </c>
      <c r="AF429" s="412" t="s">
        <v>701</v>
      </c>
      <c r="AG429" s="414">
        <f>(AB429*AE429)</f>
        <v>11320.8</v>
      </c>
    </row>
    <row r="430" spans="1:35" ht="34.5" customHeight="1">
      <c r="A430" s="424">
        <f t="shared" si="44"/>
        <v>264</v>
      </c>
      <c r="B430" s="412" t="s">
        <v>910</v>
      </c>
      <c r="C430" s="414">
        <v>551</v>
      </c>
      <c r="D430" s="412" t="s">
        <v>701</v>
      </c>
      <c r="H430" s="412" t="s">
        <v>351</v>
      </c>
      <c r="K430" s="414" t="e">
        <f>SUM(K426:K428)</f>
        <v>#REF!</v>
      </c>
      <c r="O430" s="418" t="s">
        <v>1288</v>
      </c>
      <c r="U430" s="414" t="s">
        <v>351</v>
      </c>
      <c r="W430" s="413"/>
      <c r="X430" s="414" t="e">
        <f>SUM(X426:X428)</f>
        <v>#REF!</v>
      </c>
      <c r="AB430" s="414">
        <f>AB317</f>
        <v>0</v>
      </c>
      <c r="AC430" s="414" t="s">
        <v>358</v>
      </c>
      <c r="AD430" s="412" t="s">
        <v>359</v>
      </c>
      <c r="AE430" s="412" t="s">
        <v>790</v>
      </c>
      <c r="AF430" s="412" t="s">
        <v>358</v>
      </c>
      <c r="AG430" s="414">
        <v>0</v>
      </c>
    </row>
    <row r="431" spans="1:35" ht="24" customHeight="1">
      <c r="A431" s="424">
        <f t="shared" si="44"/>
        <v>265</v>
      </c>
      <c r="B431" s="412" t="s">
        <v>127</v>
      </c>
      <c r="D431" s="412" t="s">
        <v>790</v>
      </c>
      <c r="K431" s="418" t="s">
        <v>1288</v>
      </c>
      <c r="M431" s="414">
        <v>8.1</v>
      </c>
      <c r="N431" s="412" t="s">
        <v>702</v>
      </c>
      <c r="O431" s="412" t="s">
        <v>493</v>
      </c>
      <c r="P431" s="414">
        <f>(C61)*2</f>
        <v>224.1</v>
      </c>
      <c r="Q431" s="412" t="s">
        <v>702</v>
      </c>
      <c r="R431" s="414">
        <f>(M431*P431)</f>
        <v>1815.21</v>
      </c>
      <c r="W431" s="413"/>
      <c r="X431" s="429" t="s">
        <v>340</v>
      </c>
      <c r="AB431" s="414">
        <f>AB318</f>
        <v>0</v>
      </c>
      <c r="AF431" s="412"/>
      <c r="AG431" s="418" t="s">
        <v>1288</v>
      </c>
    </row>
    <row r="432" spans="1:35" ht="30.75" customHeight="1">
      <c r="A432" s="424">
        <f t="shared" si="44"/>
        <v>266</v>
      </c>
      <c r="B432" s="412" t="s">
        <v>904</v>
      </c>
      <c r="C432" s="414">
        <v>1.8</v>
      </c>
      <c r="D432" s="412" t="s">
        <v>701</v>
      </c>
      <c r="H432" s="412" t="s">
        <v>447</v>
      </c>
      <c r="K432" s="414" t="e">
        <f>(K430/10)</f>
        <v>#REF!</v>
      </c>
      <c r="M432" s="414">
        <v>8.1</v>
      </c>
      <c r="N432" s="412" t="s">
        <v>702</v>
      </c>
      <c r="O432" s="412" t="s">
        <v>1755</v>
      </c>
      <c r="P432" s="414">
        <f>(C26)</f>
        <v>38.950000000000003</v>
      </c>
      <c r="Q432" s="412" t="s">
        <v>702</v>
      </c>
      <c r="R432" s="414">
        <f>(M432*P432)</f>
        <v>315.5</v>
      </c>
      <c r="U432" s="414" t="s">
        <v>447</v>
      </c>
      <c r="W432" s="413"/>
      <c r="X432" s="414" t="e">
        <f>X430/10</f>
        <v>#REF!</v>
      </c>
      <c r="AB432" s="414">
        <f>AB319</f>
        <v>0</v>
      </c>
      <c r="AD432" s="412" t="s">
        <v>492</v>
      </c>
      <c r="AF432" s="412"/>
      <c r="AG432" s="414" t="e">
        <f>SUM(AG424:AG431)</f>
        <v>#REF!</v>
      </c>
    </row>
    <row r="433" spans="1:33" ht="24" customHeight="1">
      <c r="A433" s="424">
        <f t="shared" si="44"/>
        <v>267</v>
      </c>
      <c r="B433" s="412" t="s">
        <v>905</v>
      </c>
      <c r="C433" s="414">
        <v>2.9</v>
      </c>
      <c r="D433" s="412" t="s">
        <v>701</v>
      </c>
      <c r="K433" s="418" t="s">
        <v>1676</v>
      </c>
      <c r="M433" s="414">
        <v>30</v>
      </c>
      <c r="N433" s="412" t="s">
        <v>1443</v>
      </c>
      <c r="O433" s="412" t="s">
        <v>1756</v>
      </c>
      <c r="P433" s="414">
        <f>(C42)</f>
        <v>5</v>
      </c>
      <c r="Q433" s="412" t="s">
        <v>1443</v>
      </c>
      <c r="R433" s="414">
        <f>(M433*P433)</f>
        <v>150</v>
      </c>
      <c r="W433" s="413"/>
      <c r="X433" s="429" t="s">
        <v>26</v>
      </c>
      <c r="AF433" s="412"/>
      <c r="AG433" s="418" t="s">
        <v>1288</v>
      </c>
    </row>
    <row r="434" spans="1:33" ht="24" customHeight="1">
      <c r="A434" s="424">
        <f t="shared" si="44"/>
        <v>268</v>
      </c>
      <c r="B434" s="412" t="s">
        <v>906</v>
      </c>
      <c r="C434" s="414">
        <v>4</v>
      </c>
      <c r="D434" s="412" t="s">
        <v>701</v>
      </c>
      <c r="H434" s="412" t="s">
        <v>307</v>
      </c>
      <c r="K434" s="417" t="e">
        <f>(K432+C19/10*F426)</f>
        <v>#REF!</v>
      </c>
      <c r="O434" s="412" t="s">
        <v>1757</v>
      </c>
      <c r="U434" s="417" t="s">
        <v>307</v>
      </c>
      <c r="W434" s="413">
        <f>0.07*C19</f>
        <v>5.52</v>
      </c>
      <c r="X434" s="417" t="e">
        <f>X432+W434</f>
        <v>#REF!</v>
      </c>
      <c r="AD434" s="412" t="s">
        <v>621</v>
      </c>
      <c r="AF434" s="412"/>
      <c r="AG434" s="414" t="e">
        <f>(AG432/10)</f>
        <v>#REF!</v>
      </c>
    </row>
    <row r="435" spans="1:33" ht="24" customHeight="1">
      <c r="A435" s="424">
        <f t="shared" si="44"/>
        <v>269</v>
      </c>
      <c r="B435" s="412" t="s">
        <v>907</v>
      </c>
      <c r="C435" s="414">
        <v>6.86</v>
      </c>
      <c r="D435" s="412" t="s">
        <v>701</v>
      </c>
      <c r="H435" s="412" t="s">
        <v>309</v>
      </c>
      <c r="K435" s="417" t="e">
        <f>(K434+C20/10*F426)</f>
        <v>#REF!</v>
      </c>
      <c r="O435" s="412" t="s">
        <v>1758</v>
      </c>
      <c r="U435" s="417" t="s">
        <v>309</v>
      </c>
      <c r="W435" s="413">
        <f>0.07*C20</f>
        <v>11.14</v>
      </c>
      <c r="X435" s="417" t="e">
        <f>X434+W435</f>
        <v>#REF!</v>
      </c>
      <c r="AF435" s="412"/>
      <c r="AG435" s="418" t="s">
        <v>1676</v>
      </c>
    </row>
    <row r="436" spans="1:33" ht="24" customHeight="1">
      <c r="A436" s="424">
        <f t="shared" si="44"/>
        <v>270</v>
      </c>
      <c r="B436" s="412" t="s">
        <v>909</v>
      </c>
      <c r="C436" s="414">
        <v>9.15</v>
      </c>
      <c r="D436" s="412" t="s">
        <v>701</v>
      </c>
      <c r="H436" s="412" t="s">
        <v>1818</v>
      </c>
      <c r="K436" s="417" t="e">
        <f>(K435+C21/10*F426)</f>
        <v>#REF!</v>
      </c>
      <c r="O436" s="412" t="s">
        <v>1759</v>
      </c>
      <c r="U436" s="417" t="s">
        <v>1818</v>
      </c>
      <c r="W436" s="413">
        <f>W435</f>
        <v>11.14</v>
      </c>
      <c r="X436" s="417" t="e">
        <f>X435+W436</f>
        <v>#REF!</v>
      </c>
      <c r="AB436" s="412" t="s">
        <v>193</v>
      </c>
      <c r="AF436" s="412"/>
    </row>
    <row r="437" spans="1:33" ht="24" customHeight="1">
      <c r="A437" s="424">
        <f t="shared" si="44"/>
        <v>271</v>
      </c>
      <c r="B437" s="412" t="s">
        <v>186</v>
      </c>
      <c r="C437" s="414">
        <v>14.59</v>
      </c>
      <c r="D437" s="412" t="s">
        <v>701</v>
      </c>
      <c r="H437" s="412" t="s">
        <v>301</v>
      </c>
      <c r="K437" s="417" t="e">
        <f>(K436+C21/10*F426)</f>
        <v>#REF!</v>
      </c>
      <c r="O437" s="412" t="s">
        <v>1762</v>
      </c>
      <c r="U437" s="417" t="s">
        <v>301</v>
      </c>
      <c r="W437" s="413">
        <f>W436</f>
        <v>11.14</v>
      </c>
      <c r="X437" s="417" t="e">
        <f>X436+W437</f>
        <v>#REF!</v>
      </c>
      <c r="AF437" s="412"/>
    </row>
    <row r="438" spans="1:33" ht="24" customHeight="1">
      <c r="A438" s="424"/>
      <c r="B438" s="412"/>
      <c r="D438" s="412"/>
      <c r="H438" s="412" t="s">
        <v>675</v>
      </c>
      <c r="K438" s="417" t="e">
        <f>(K437+C20/10*F426)</f>
        <v>#REF!</v>
      </c>
      <c r="O438" s="412"/>
      <c r="U438" s="417" t="s">
        <v>675</v>
      </c>
      <c r="W438" s="413">
        <f>W437</f>
        <v>11.14</v>
      </c>
      <c r="X438" s="417" t="e">
        <f>X437+W438</f>
        <v>#REF!</v>
      </c>
      <c r="AC438" s="414" t="s">
        <v>1249</v>
      </c>
      <c r="AD438" s="412" t="s">
        <v>2327</v>
      </c>
      <c r="AF438" s="412"/>
    </row>
    <row r="439" spans="1:33" ht="24" customHeight="1">
      <c r="A439" s="424">
        <f>(A437+1)</f>
        <v>272</v>
      </c>
      <c r="B439" s="412" t="s">
        <v>910</v>
      </c>
      <c r="C439" s="414">
        <v>21.74</v>
      </c>
      <c r="D439" s="412" t="s">
        <v>701</v>
      </c>
      <c r="H439" s="413" t="s">
        <v>1743</v>
      </c>
      <c r="M439" s="414">
        <v>8</v>
      </c>
      <c r="N439" s="412" t="s">
        <v>619</v>
      </c>
      <c r="O439" s="412" t="s">
        <v>1744</v>
      </c>
      <c r="P439" s="414">
        <f>(C43)</f>
        <v>9.35</v>
      </c>
      <c r="Q439" s="412" t="s">
        <v>619</v>
      </c>
      <c r="R439" s="414">
        <f>(M439*P439)</f>
        <v>74.8</v>
      </c>
      <c r="W439" s="413"/>
      <c r="AD439" s="418" t="s">
        <v>1288</v>
      </c>
      <c r="AF439" s="412"/>
    </row>
    <row r="440" spans="1:33" ht="24" customHeight="1">
      <c r="A440" s="424">
        <f t="shared" si="44"/>
        <v>273</v>
      </c>
      <c r="B440" s="415" t="s">
        <v>2829</v>
      </c>
      <c r="D440" s="412" t="s">
        <v>790</v>
      </c>
      <c r="H440" s="413" t="s">
        <v>1726</v>
      </c>
      <c r="M440" s="414">
        <v>8</v>
      </c>
      <c r="N440" s="412" t="s">
        <v>619</v>
      </c>
      <c r="O440" s="412" t="s">
        <v>376</v>
      </c>
      <c r="P440" s="414">
        <f>(C50)</f>
        <v>13.35</v>
      </c>
      <c r="Q440" s="412" t="s">
        <v>619</v>
      </c>
      <c r="R440" s="414">
        <f>(M440*P440)</f>
        <v>106.8</v>
      </c>
      <c r="W440" s="413"/>
      <c r="AB440" s="414">
        <v>0.75</v>
      </c>
      <c r="AC440" s="414" t="s">
        <v>702</v>
      </c>
      <c r="AD440" s="412" t="s">
        <v>1857</v>
      </c>
      <c r="AE440" s="414" t="e">
        <f>AG434</f>
        <v>#REF!</v>
      </c>
      <c r="AF440" s="412" t="s">
        <v>701</v>
      </c>
      <c r="AG440" s="414" t="e">
        <f>(AB440*AE440)</f>
        <v>#REF!</v>
      </c>
    </row>
    <row r="441" spans="1:33" ht="24" customHeight="1">
      <c r="A441" s="424">
        <f t="shared" si="44"/>
        <v>274</v>
      </c>
      <c r="B441" s="412" t="s">
        <v>904</v>
      </c>
      <c r="C441" s="414">
        <v>28.6</v>
      </c>
      <c r="D441" s="412" t="s">
        <v>701</v>
      </c>
      <c r="F441" s="425">
        <v>12</v>
      </c>
      <c r="G441" s="414" t="s">
        <v>1833</v>
      </c>
      <c r="H441" s="412" t="s">
        <v>377</v>
      </c>
      <c r="M441" s="414">
        <v>1</v>
      </c>
      <c r="N441" s="412" t="s">
        <v>358</v>
      </c>
      <c r="O441" s="412" t="s">
        <v>1373</v>
      </c>
      <c r="P441" s="414">
        <f>(C56)</f>
        <v>12.1</v>
      </c>
      <c r="Q441" s="412" t="s">
        <v>358</v>
      </c>
      <c r="R441" s="414">
        <f>(M441*P441)</f>
        <v>12.1</v>
      </c>
      <c r="W441" s="413"/>
      <c r="AB441" s="414">
        <v>1</v>
      </c>
      <c r="AC441" s="414" t="s">
        <v>619</v>
      </c>
      <c r="AD441" s="412" t="s">
        <v>1637</v>
      </c>
      <c r="AE441" s="414">
        <f>AE426</f>
        <v>999</v>
      </c>
      <c r="AF441" s="412" t="s">
        <v>701</v>
      </c>
      <c r="AG441" s="414">
        <f>(AB441*AE441)</f>
        <v>999</v>
      </c>
    </row>
    <row r="442" spans="1:33" ht="24" customHeight="1">
      <c r="A442" s="424">
        <f t="shared" si="44"/>
        <v>275</v>
      </c>
      <c r="B442" s="412" t="s">
        <v>905</v>
      </c>
      <c r="C442" s="414">
        <v>34.700000000000003</v>
      </c>
      <c r="D442" s="412" t="s">
        <v>701</v>
      </c>
      <c r="H442" s="412" t="s">
        <v>901</v>
      </c>
      <c r="M442" s="414">
        <v>1</v>
      </c>
      <c r="N442" s="412" t="s">
        <v>358</v>
      </c>
      <c r="O442" s="412" t="s">
        <v>359</v>
      </c>
      <c r="Q442" s="412" t="s">
        <v>358</v>
      </c>
      <c r="R442" s="414">
        <v>0</v>
      </c>
      <c r="W442" s="413"/>
      <c r="AC442" s="414" t="s">
        <v>358</v>
      </c>
      <c r="AD442" s="412" t="s">
        <v>359</v>
      </c>
      <c r="AE442" s="412" t="s">
        <v>790</v>
      </c>
      <c r="AF442" s="412" t="s">
        <v>358</v>
      </c>
      <c r="AG442" s="414">
        <v>0</v>
      </c>
    </row>
    <row r="443" spans="1:33" ht="24" customHeight="1">
      <c r="A443" s="424">
        <f t="shared" si="44"/>
        <v>276</v>
      </c>
      <c r="B443" s="412" t="s">
        <v>906</v>
      </c>
      <c r="C443" s="414">
        <v>81.400000000000006</v>
      </c>
      <c r="D443" s="412" t="s">
        <v>701</v>
      </c>
      <c r="H443" s="418" t="s">
        <v>1288</v>
      </c>
      <c r="R443" s="418" t="s">
        <v>1288</v>
      </c>
      <c r="W443" s="413"/>
      <c r="AF443" s="412"/>
      <c r="AG443" s="418" t="s">
        <v>1288</v>
      </c>
    </row>
    <row r="444" spans="1:33" ht="24" customHeight="1">
      <c r="A444" s="424">
        <f t="shared" si="44"/>
        <v>277</v>
      </c>
      <c r="B444" s="412" t="s">
        <v>907</v>
      </c>
      <c r="C444" s="414">
        <v>98.6</v>
      </c>
      <c r="D444" s="412" t="s">
        <v>701</v>
      </c>
      <c r="F444" s="414">
        <v>6570</v>
      </c>
      <c r="G444" s="414" t="s">
        <v>1159</v>
      </c>
      <c r="H444" s="412" t="s">
        <v>1270</v>
      </c>
      <c r="I444" s="414" t="e">
        <f>(C77)</f>
        <v>#REF!</v>
      </c>
      <c r="J444" s="412" t="s">
        <v>1296</v>
      </c>
      <c r="K444" s="414" t="e">
        <f>(F444*I444)/1000</f>
        <v>#REF!</v>
      </c>
      <c r="O444" s="412" t="s">
        <v>1252</v>
      </c>
      <c r="R444" s="414">
        <f>SUM(R431:R442)</f>
        <v>2474.41</v>
      </c>
      <c r="W444" s="413"/>
      <c r="AD444" s="412" t="s">
        <v>351</v>
      </c>
      <c r="AF444" s="412"/>
      <c r="AG444" s="414" t="e">
        <f>SUM(AG440:AG442)</f>
        <v>#REF!</v>
      </c>
    </row>
    <row r="445" spans="1:33" ht="24" customHeight="1">
      <c r="A445" s="424">
        <f t="shared" si="44"/>
        <v>278</v>
      </c>
      <c r="B445" s="412" t="s">
        <v>909</v>
      </c>
      <c r="C445" s="414">
        <v>110.2</v>
      </c>
      <c r="D445" s="412" t="s">
        <v>701</v>
      </c>
      <c r="F445" s="414">
        <v>1.91</v>
      </c>
      <c r="G445" s="414" t="s">
        <v>702</v>
      </c>
      <c r="H445" s="412" t="s">
        <v>1063</v>
      </c>
      <c r="I445" s="414" t="e">
        <f>(K40)</f>
        <v>#REF!</v>
      </c>
      <c r="J445" s="412" t="s">
        <v>702</v>
      </c>
      <c r="K445" s="414" t="e">
        <f>(F445*I445)</f>
        <v>#REF!</v>
      </c>
      <c r="R445" s="418" t="s">
        <v>1288</v>
      </c>
      <c r="W445" s="413"/>
      <c r="AF445" s="412"/>
      <c r="AG445" s="418" t="s">
        <v>1288</v>
      </c>
    </row>
    <row r="446" spans="1:33" ht="24" customHeight="1">
      <c r="A446" s="424">
        <f t="shared" si="44"/>
        <v>279</v>
      </c>
      <c r="B446" s="412" t="s">
        <v>186</v>
      </c>
      <c r="C446" s="414">
        <v>139.80000000000001</v>
      </c>
      <c r="D446" s="412" t="s">
        <v>701</v>
      </c>
      <c r="F446" s="414">
        <v>7</v>
      </c>
      <c r="G446" s="414" t="s">
        <v>701</v>
      </c>
      <c r="H446" s="412" t="s">
        <v>1637</v>
      </c>
      <c r="I446" s="414">
        <f>(C10)</f>
        <v>999</v>
      </c>
      <c r="J446" s="412" t="s">
        <v>701</v>
      </c>
      <c r="K446" s="414">
        <f>(F446*I446)</f>
        <v>6993</v>
      </c>
      <c r="O446" s="412" t="s">
        <v>1253</v>
      </c>
      <c r="R446" s="414">
        <f>(R444/30)</f>
        <v>82.48</v>
      </c>
      <c r="W446" s="413"/>
      <c r="AD446" s="412" t="s">
        <v>447</v>
      </c>
      <c r="AF446" s="412"/>
      <c r="AG446" s="414" t="e">
        <f>(AG444/10)</f>
        <v>#REF!</v>
      </c>
    </row>
    <row r="447" spans="1:33" ht="24" customHeight="1">
      <c r="A447" s="424">
        <f t="shared" si="44"/>
        <v>280</v>
      </c>
      <c r="B447" s="412" t="s">
        <v>2132</v>
      </c>
      <c r="C447" s="414">
        <v>363</v>
      </c>
      <c r="D447" s="412" t="s">
        <v>701</v>
      </c>
      <c r="F447" s="414">
        <v>3.6</v>
      </c>
      <c r="G447" s="414" t="s">
        <v>701</v>
      </c>
      <c r="H447" s="412" t="s">
        <v>1392</v>
      </c>
      <c r="I447" s="414">
        <f>(C11)</f>
        <v>932</v>
      </c>
      <c r="J447" s="412" t="s">
        <v>701</v>
      </c>
      <c r="K447" s="414">
        <f>(F447*I447)</f>
        <v>3355.2</v>
      </c>
      <c r="R447" s="418" t="s">
        <v>1288</v>
      </c>
      <c r="W447" s="413"/>
      <c r="AF447" s="412"/>
      <c r="AG447" s="418" t="s">
        <v>1676</v>
      </c>
    </row>
    <row r="448" spans="1:33" ht="24" customHeight="1">
      <c r="A448" s="424">
        <f t="shared" si="44"/>
        <v>281</v>
      </c>
      <c r="B448" s="415" t="s">
        <v>2830</v>
      </c>
      <c r="D448" s="412" t="s">
        <v>790</v>
      </c>
      <c r="F448" s="414">
        <v>7.1</v>
      </c>
      <c r="G448" s="414" t="s">
        <v>701</v>
      </c>
      <c r="H448" s="412" t="s">
        <v>1550</v>
      </c>
      <c r="I448" s="414">
        <f>(C12)</f>
        <v>651</v>
      </c>
      <c r="J448" s="412" t="s">
        <v>701</v>
      </c>
      <c r="K448" s="414">
        <f>(F448*I448)</f>
        <v>4622.1000000000004</v>
      </c>
      <c r="N448" s="412" t="s">
        <v>1261</v>
      </c>
      <c r="O448" s="413" t="s">
        <v>822</v>
      </c>
      <c r="W448" s="413"/>
      <c r="AD448" s="412" t="s">
        <v>307</v>
      </c>
      <c r="AF448" s="412">
        <f>C19*0.075</f>
        <v>5.92</v>
      </c>
      <c r="AG448" s="417" t="e">
        <f>AG446+AF448</f>
        <v>#REF!</v>
      </c>
    </row>
    <row r="449" spans="1:36" ht="24" customHeight="1">
      <c r="A449" s="424">
        <f t="shared" si="44"/>
        <v>282</v>
      </c>
      <c r="B449" s="412" t="s">
        <v>904</v>
      </c>
      <c r="C449" s="414">
        <v>23.2</v>
      </c>
      <c r="D449" s="412" t="s">
        <v>701</v>
      </c>
      <c r="F449" s="414">
        <v>14.1</v>
      </c>
      <c r="G449" s="414" t="s">
        <v>701</v>
      </c>
      <c r="H449" s="412" t="s">
        <v>245</v>
      </c>
      <c r="I449" s="414">
        <f>(C13)</f>
        <v>534</v>
      </c>
      <c r="J449" s="412" t="s">
        <v>701</v>
      </c>
      <c r="K449" s="414">
        <f>(F449*I449)</f>
        <v>7529.4</v>
      </c>
      <c r="O449" s="418" t="s">
        <v>1288</v>
      </c>
      <c r="W449" s="413"/>
      <c r="AD449" s="412" t="s">
        <v>309</v>
      </c>
      <c r="AF449" s="412">
        <f>C20*0.075</f>
        <v>11.94</v>
      </c>
      <c r="AG449" s="417" t="e">
        <f t="shared" ref="AG449:AG458" si="46">AG448+AF449</f>
        <v>#REF!</v>
      </c>
    </row>
    <row r="450" spans="1:36" ht="39" customHeight="1">
      <c r="A450" s="424">
        <f t="shared" si="44"/>
        <v>283</v>
      </c>
      <c r="B450" s="412" t="s">
        <v>905</v>
      </c>
      <c r="C450" s="414">
        <v>34.700000000000003</v>
      </c>
      <c r="D450" s="412" t="s">
        <v>701</v>
      </c>
      <c r="G450" s="414" t="s">
        <v>358</v>
      </c>
      <c r="H450" s="412" t="s">
        <v>359</v>
      </c>
      <c r="I450" s="412" t="s">
        <v>790</v>
      </c>
      <c r="J450" s="412" t="s">
        <v>358</v>
      </c>
      <c r="K450" s="414">
        <v>0</v>
      </c>
      <c r="M450" s="414">
        <v>8.1</v>
      </c>
      <c r="N450" s="412" t="s">
        <v>702</v>
      </c>
      <c r="O450" s="412" t="s">
        <v>493</v>
      </c>
      <c r="P450" s="414">
        <f>(C61)*2</f>
        <v>224.1</v>
      </c>
      <c r="Q450" s="412" t="s">
        <v>702</v>
      </c>
      <c r="R450" s="414">
        <f>(M450*P450)</f>
        <v>1815.21</v>
      </c>
      <c r="W450" s="413"/>
      <c r="AD450" s="412" t="s">
        <v>1818</v>
      </c>
      <c r="AF450" s="412">
        <f>C21*0.075</f>
        <v>11.94</v>
      </c>
      <c r="AG450" s="417" t="e">
        <f t="shared" si="46"/>
        <v>#REF!</v>
      </c>
    </row>
    <row r="451" spans="1:36" ht="24" customHeight="1">
      <c r="A451" s="424">
        <f t="shared" si="44"/>
        <v>284</v>
      </c>
      <c r="B451" s="412" t="s">
        <v>906</v>
      </c>
      <c r="C451" s="414">
        <v>43.7</v>
      </c>
      <c r="D451" s="412" t="s">
        <v>701</v>
      </c>
      <c r="K451" s="418" t="s">
        <v>1288</v>
      </c>
      <c r="M451" s="414">
        <v>8.1</v>
      </c>
      <c r="N451" s="412" t="s">
        <v>702</v>
      </c>
      <c r="O451" s="412" t="s">
        <v>1755</v>
      </c>
      <c r="P451" s="414">
        <f>(C26)</f>
        <v>38.950000000000003</v>
      </c>
      <c r="Q451" s="412" t="s">
        <v>702</v>
      </c>
      <c r="R451" s="414">
        <f>(M451*P451)</f>
        <v>315.5</v>
      </c>
      <c r="W451" s="413"/>
      <c r="AD451" s="412" t="s">
        <v>301</v>
      </c>
      <c r="AF451" s="412">
        <f t="shared" ref="AF451:AF458" si="47">AF450</f>
        <v>11.94</v>
      </c>
      <c r="AG451" s="417" t="e">
        <f t="shared" si="46"/>
        <v>#REF!</v>
      </c>
    </row>
    <row r="452" spans="1:36" ht="24" customHeight="1">
      <c r="A452" s="424">
        <f t="shared" si="44"/>
        <v>285</v>
      </c>
      <c r="B452" s="412" t="s">
        <v>907</v>
      </c>
      <c r="C452" s="414">
        <v>58.1</v>
      </c>
      <c r="D452" s="412" t="s">
        <v>701</v>
      </c>
      <c r="H452" s="412" t="s">
        <v>492</v>
      </c>
      <c r="K452" s="414" t="e">
        <f>SUM(K444:K450)</f>
        <v>#REF!</v>
      </c>
      <c r="M452" s="414">
        <v>30</v>
      </c>
      <c r="N452" s="412" t="s">
        <v>1443</v>
      </c>
      <c r="O452" s="412" t="s">
        <v>1756</v>
      </c>
      <c r="P452" s="414">
        <f>(C42)</f>
        <v>5</v>
      </c>
      <c r="Q452" s="412" t="s">
        <v>1443</v>
      </c>
      <c r="R452" s="414">
        <f>(M452*P452)</f>
        <v>150</v>
      </c>
      <c r="W452" s="413"/>
      <c r="AD452" s="412" t="s">
        <v>675</v>
      </c>
      <c r="AF452" s="412">
        <f t="shared" si="47"/>
        <v>11.94</v>
      </c>
      <c r="AG452" s="417" t="e">
        <f t="shared" si="46"/>
        <v>#REF!</v>
      </c>
      <c r="AJ452" s="414">
        <f>40.81*0.075</f>
        <v>3.06</v>
      </c>
    </row>
    <row r="453" spans="1:36" ht="24" customHeight="1">
      <c r="A453" s="424">
        <f t="shared" si="44"/>
        <v>286</v>
      </c>
      <c r="B453" s="412" t="s">
        <v>909</v>
      </c>
      <c r="C453" s="414">
        <v>69.8</v>
      </c>
      <c r="D453" s="412" t="s">
        <v>701</v>
      </c>
      <c r="K453" s="418" t="s">
        <v>1288</v>
      </c>
      <c r="O453" s="412" t="s">
        <v>1757</v>
      </c>
      <c r="W453" s="413"/>
      <c r="AD453" s="412" t="s">
        <v>2159</v>
      </c>
      <c r="AE453" s="414" t="e">
        <f t="shared" ref="AE453:AE458" si="48">AG453</f>
        <v>#REF!</v>
      </c>
      <c r="AF453" s="412">
        <f t="shared" si="47"/>
        <v>11.94</v>
      </c>
      <c r="AG453" s="417" t="e">
        <f t="shared" si="46"/>
        <v>#REF!</v>
      </c>
    </row>
    <row r="454" spans="1:36" ht="24" customHeight="1">
      <c r="A454" s="424">
        <f t="shared" si="44"/>
        <v>287</v>
      </c>
      <c r="B454" s="412" t="s">
        <v>186</v>
      </c>
      <c r="C454" s="414">
        <v>87</v>
      </c>
      <c r="D454" s="412" t="s">
        <v>701</v>
      </c>
      <c r="H454" s="412" t="s">
        <v>621</v>
      </c>
      <c r="K454" s="414" t="e">
        <f>(K452/10)</f>
        <v>#REF!</v>
      </c>
      <c r="O454" s="412" t="s">
        <v>1758</v>
      </c>
      <c r="W454" s="413"/>
      <c r="AD454" s="412" t="s">
        <v>2160</v>
      </c>
      <c r="AE454" s="414" t="e">
        <f t="shared" si="48"/>
        <v>#REF!</v>
      </c>
      <c r="AF454" s="412">
        <f t="shared" si="47"/>
        <v>11.94</v>
      </c>
      <c r="AG454" s="417" t="e">
        <f t="shared" si="46"/>
        <v>#REF!</v>
      </c>
    </row>
    <row r="455" spans="1:36" ht="24" customHeight="1">
      <c r="A455" s="424">
        <f t="shared" si="44"/>
        <v>288</v>
      </c>
      <c r="B455" s="412" t="s">
        <v>2132</v>
      </c>
      <c r="C455" s="414">
        <v>18.600000000000001</v>
      </c>
      <c r="D455" s="412" t="s">
        <v>701</v>
      </c>
      <c r="K455" s="418" t="s">
        <v>1676</v>
      </c>
      <c r="O455" s="412" t="s">
        <v>1759</v>
      </c>
      <c r="W455" s="413"/>
      <c r="AD455" s="412" t="s">
        <v>2161</v>
      </c>
      <c r="AE455" s="414" t="e">
        <f t="shared" si="48"/>
        <v>#REF!</v>
      </c>
      <c r="AF455" s="412">
        <f t="shared" si="47"/>
        <v>11.94</v>
      </c>
      <c r="AG455" s="417" t="e">
        <f t="shared" si="46"/>
        <v>#REF!</v>
      </c>
    </row>
    <row r="456" spans="1:36" ht="24" customHeight="1">
      <c r="A456" s="424">
        <f t="shared" si="44"/>
        <v>289</v>
      </c>
      <c r="B456" s="412" t="s">
        <v>1866</v>
      </c>
      <c r="D456" s="412" t="s">
        <v>790</v>
      </c>
      <c r="O456" s="412" t="s">
        <v>1762</v>
      </c>
      <c r="W456" s="413"/>
      <c r="AD456" s="412" t="s">
        <v>2168</v>
      </c>
      <c r="AE456" s="414" t="e">
        <f t="shared" si="48"/>
        <v>#REF!</v>
      </c>
      <c r="AF456" s="412">
        <f t="shared" si="47"/>
        <v>11.94</v>
      </c>
      <c r="AG456" s="417" t="e">
        <f t="shared" si="46"/>
        <v>#REF!</v>
      </c>
    </row>
    <row r="457" spans="1:36" ht="24" customHeight="1">
      <c r="A457" s="424">
        <f t="shared" si="44"/>
        <v>290</v>
      </c>
      <c r="B457" s="412" t="s">
        <v>904</v>
      </c>
      <c r="C457" s="414">
        <v>355.95</v>
      </c>
      <c r="D457" s="412" t="s">
        <v>701</v>
      </c>
      <c r="G457" s="414" t="s">
        <v>1833</v>
      </c>
      <c r="H457" s="412" t="s">
        <v>122</v>
      </c>
      <c r="M457" s="414">
        <v>8</v>
      </c>
      <c r="N457" s="412" t="s">
        <v>619</v>
      </c>
      <c r="O457" s="412" t="s">
        <v>1744</v>
      </c>
      <c r="P457" s="414">
        <f>(C44)</f>
        <v>9.35</v>
      </c>
      <c r="Q457" s="412" t="s">
        <v>619</v>
      </c>
      <c r="R457" s="414">
        <f>(M457*P457)</f>
        <v>74.8</v>
      </c>
      <c r="W457" s="413"/>
      <c r="AD457" s="412" t="s">
        <v>2166</v>
      </c>
      <c r="AE457" s="414" t="e">
        <f t="shared" si="48"/>
        <v>#REF!</v>
      </c>
      <c r="AF457" s="412">
        <f t="shared" si="47"/>
        <v>11.94</v>
      </c>
      <c r="AG457" s="417" t="e">
        <f t="shared" si="46"/>
        <v>#REF!</v>
      </c>
    </row>
    <row r="458" spans="1:36" ht="24" customHeight="1">
      <c r="A458" s="424">
        <f t="shared" si="44"/>
        <v>291</v>
      </c>
      <c r="B458" s="412" t="s">
        <v>905</v>
      </c>
      <c r="C458" s="414">
        <v>536.54999999999995</v>
      </c>
      <c r="D458" s="412" t="s">
        <v>701</v>
      </c>
      <c r="H458" s="418" t="s">
        <v>1288</v>
      </c>
      <c r="M458" s="414">
        <v>8</v>
      </c>
      <c r="N458" s="412" t="s">
        <v>619</v>
      </c>
      <c r="O458" s="412" t="s">
        <v>376</v>
      </c>
      <c r="P458" s="414">
        <f>(C51)</f>
        <v>13.5</v>
      </c>
      <c r="Q458" s="412" t="s">
        <v>619</v>
      </c>
      <c r="R458" s="414">
        <f>(M458*P458)</f>
        <v>108</v>
      </c>
      <c r="W458" s="413"/>
      <c r="AE458" s="414" t="e">
        <f t="shared" si="48"/>
        <v>#REF!</v>
      </c>
      <c r="AF458" s="412">
        <f t="shared" si="47"/>
        <v>11.94</v>
      </c>
      <c r="AG458" s="417" t="e">
        <f t="shared" si="46"/>
        <v>#REF!</v>
      </c>
    </row>
    <row r="459" spans="1:36" ht="24" customHeight="1">
      <c r="A459" s="424">
        <f t="shared" si="44"/>
        <v>292</v>
      </c>
      <c r="B459" s="412" t="s">
        <v>906</v>
      </c>
      <c r="C459" s="414">
        <v>789.6</v>
      </c>
      <c r="D459" s="412" t="s">
        <v>790</v>
      </c>
      <c r="F459" s="414">
        <v>0.5</v>
      </c>
      <c r="G459" s="414" t="s">
        <v>702</v>
      </c>
      <c r="H459" s="412" t="s">
        <v>1857</v>
      </c>
      <c r="I459" s="414" t="e">
        <f>(K454)</f>
        <v>#REF!</v>
      </c>
      <c r="J459" s="412" t="s">
        <v>701</v>
      </c>
      <c r="K459" s="414" t="e">
        <f>(F459*I459)</f>
        <v>#REF!</v>
      </c>
      <c r="M459" s="414">
        <v>1</v>
      </c>
      <c r="N459" s="412" t="s">
        <v>358</v>
      </c>
      <c r="O459" s="412" t="s">
        <v>1373</v>
      </c>
      <c r="P459" s="414">
        <f>(C56)</f>
        <v>12.1</v>
      </c>
      <c r="Q459" s="412" t="s">
        <v>358</v>
      </c>
      <c r="R459" s="414">
        <f>(M459*P459)</f>
        <v>12.1</v>
      </c>
      <c r="U459" s="414" t="s">
        <v>2424</v>
      </c>
      <c r="W459" s="413"/>
      <c r="Y459" s="416"/>
      <c r="AA459" s="414" t="s">
        <v>2527</v>
      </c>
      <c r="AE459" s="414" t="e">
        <f>AG459</f>
        <v>#REF!</v>
      </c>
      <c r="AF459" s="412">
        <f>AF458</f>
        <v>11.94</v>
      </c>
      <c r="AG459" s="417" t="e">
        <f>AG458+AF459</f>
        <v>#REF!</v>
      </c>
    </row>
    <row r="460" spans="1:36" ht="24" customHeight="1">
      <c r="A460" s="424">
        <f t="shared" si="44"/>
        <v>293</v>
      </c>
      <c r="B460" s="412" t="s">
        <v>2831</v>
      </c>
      <c r="C460" s="414">
        <f>AE49</f>
        <v>4.2</v>
      </c>
      <c r="D460" s="412" t="s">
        <v>701</v>
      </c>
      <c r="F460" s="414">
        <v>1</v>
      </c>
      <c r="G460" s="414" t="s">
        <v>619</v>
      </c>
      <c r="H460" s="412" t="s">
        <v>1637</v>
      </c>
      <c r="I460" s="414">
        <f>(C10)</f>
        <v>999</v>
      </c>
      <c r="J460" s="412" t="s">
        <v>701</v>
      </c>
      <c r="K460" s="414">
        <f>(F460*I460)</f>
        <v>999</v>
      </c>
      <c r="M460" s="414">
        <v>1</v>
      </c>
      <c r="N460" s="412" t="s">
        <v>358</v>
      </c>
      <c r="O460" s="412" t="s">
        <v>359</v>
      </c>
      <c r="Q460" s="412" t="s">
        <v>358</v>
      </c>
      <c r="R460" s="414">
        <v>0</v>
      </c>
      <c r="S460" s="413" t="s">
        <v>1311</v>
      </c>
      <c r="T460" s="414" t="s">
        <v>1833</v>
      </c>
      <c r="U460" s="412" t="s">
        <v>714</v>
      </c>
      <c r="W460" s="413"/>
      <c r="Y460" s="413" t="s">
        <v>1311</v>
      </c>
      <c r="Z460" s="414" t="s">
        <v>1833</v>
      </c>
      <c r="AA460" s="412" t="s">
        <v>714</v>
      </c>
      <c r="AC460" s="412"/>
      <c r="AE460" s="414" t="e">
        <f>AG460</f>
        <v>#REF!</v>
      </c>
      <c r="AF460" s="412">
        <f>AF459</f>
        <v>11.94</v>
      </c>
      <c r="AG460" s="417" t="e">
        <f>AG459+AF460</f>
        <v>#REF!</v>
      </c>
    </row>
    <row r="461" spans="1:36" ht="24" customHeight="1">
      <c r="A461" s="424">
        <f t="shared" si="44"/>
        <v>294</v>
      </c>
      <c r="B461" s="412" t="s">
        <v>2832</v>
      </c>
      <c r="C461" s="414">
        <f>AE50</f>
        <v>5.25</v>
      </c>
      <c r="D461" s="412" t="s">
        <v>701</v>
      </c>
      <c r="G461" s="414" t="s">
        <v>358</v>
      </c>
      <c r="H461" s="412" t="s">
        <v>359</v>
      </c>
      <c r="I461" s="412" t="s">
        <v>790</v>
      </c>
      <c r="J461" s="412" t="s">
        <v>358</v>
      </c>
      <c r="K461" s="414">
        <v>0</v>
      </c>
      <c r="R461" s="418" t="s">
        <v>1288</v>
      </c>
      <c r="S461" s="414"/>
      <c r="U461" s="412" t="s">
        <v>885</v>
      </c>
      <c r="W461" s="413"/>
      <c r="AA461" s="412" t="s">
        <v>885</v>
      </c>
      <c r="AC461" s="412"/>
      <c r="AE461" s="414" t="e">
        <f t="shared" ref="AE461:AE524" si="49">AG461</f>
        <v>#REF!</v>
      </c>
      <c r="AF461" s="412">
        <f>AF460</f>
        <v>11.94</v>
      </c>
      <c r="AG461" s="417" t="e">
        <f>AG460+AF461</f>
        <v>#REF!</v>
      </c>
    </row>
    <row r="462" spans="1:36" ht="24" customHeight="1">
      <c r="A462" s="424">
        <f t="shared" si="44"/>
        <v>295</v>
      </c>
      <c r="B462" s="412" t="s">
        <v>872</v>
      </c>
      <c r="C462" s="414">
        <v>350</v>
      </c>
      <c r="D462" s="414">
        <v>375</v>
      </c>
      <c r="K462" s="418" t="s">
        <v>1288</v>
      </c>
      <c r="O462" s="412" t="s">
        <v>1252</v>
      </c>
      <c r="R462" s="414">
        <f>SUM(R450:R460)</f>
        <v>2475.61</v>
      </c>
      <c r="S462" s="414"/>
      <c r="U462" s="412" t="s">
        <v>2419</v>
      </c>
      <c r="W462" s="413"/>
      <c r="AA462" s="412" t="s">
        <v>2419</v>
      </c>
      <c r="AC462" s="412"/>
      <c r="AE462" s="414" t="e">
        <f t="shared" si="49"/>
        <v>#REF!</v>
      </c>
      <c r="AF462" s="412">
        <f>AF461</f>
        <v>11.94</v>
      </c>
      <c r="AG462" s="417" t="e">
        <f>AG461+AF462</f>
        <v>#REF!</v>
      </c>
    </row>
    <row r="463" spans="1:36" ht="24" customHeight="1">
      <c r="A463" s="424">
        <f t="shared" si="44"/>
        <v>296</v>
      </c>
      <c r="B463" s="412" t="s">
        <v>1705</v>
      </c>
      <c r="C463" s="414">
        <v>400</v>
      </c>
      <c r="D463" s="414">
        <v>425</v>
      </c>
      <c r="H463" s="412" t="s">
        <v>351</v>
      </c>
      <c r="K463" s="414" t="e">
        <f>SUM(K459:K461)</f>
        <v>#REF!</v>
      </c>
      <c r="R463" s="418" t="s">
        <v>1288</v>
      </c>
      <c r="S463" s="414"/>
      <c r="U463" s="418" t="s">
        <v>1288</v>
      </c>
      <c r="W463" s="413"/>
      <c r="AA463" s="418" t="s">
        <v>1288</v>
      </c>
      <c r="AC463" s="412"/>
      <c r="AE463" s="414" t="e">
        <f t="shared" si="49"/>
        <v>#REF!</v>
      </c>
      <c r="AF463" s="412">
        <f>AF462</f>
        <v>11.94</v>
      </c>
      <c r="AG463" s="417" t="e">
        <f>AG462+AF463</f>
        <v>#REF!</v>
      </c>
    </row>
    <row r="464" spans="1:36" ht="24" customHeight="1">
      <c r="A464" s="424">
        <f t="shared" si="44"/>
        <v>297</v>
      </c>
      <c r="B464" s="412" t="s">
        <v>856</v>
      </c>
      <c r="C464" s="414">
        <v>450</v>
      </c>
      <c r="D464" s="414">
        <v>500</v>
      </c>
      <c r="K464" s="418" t="s">
        <v>1288</v>
      </c>
      <c r="O464" s="412" t="s">
        <v>1253</v>
      </c>
      <c r="R464" s="414">
        <f>(R462/30)</f>
        <v>82.52</v>
      </c>
      <c r="S464" s="414">
        <v>0.01</v>
      </c>
      <c r="T464" s="414" t="s">
        <v>702</v>
      </c>
      <c r="U464" s="426" t="s">
        <v>2425</v>
      </c>
      <c r="V464" s="414" t="e">
        <f>Z718</f>
        <v>#REF!</v>
      </c>
      <c r="W464" s="413" t="s">
        <v>702</v>
      </c>
      <c r="X464" s="414" t="e">
        <f>(S464*V464)</f>
        <v>#REF!</v>
      </c>
      <c r="Y464" s="414">
        <v>0.01</v>
      </c>
      <c r="Z464" s="414" t="s">
        <v>702</v>
      </c>
      <c r="AA464" s="426" t="s">
        <v>2528</v>
      </c>
      <c r="AB464" s="414" t="e">
        <f>Y688</f>
        <v>#REF!</v>
      </c>
      <c r="AC464" s="412" t="s">
        <v>702</v>
      </c>
      <c r="AD464" s="414" t="e">
        <f>(Y464*AB464)</f>
        <v>#REF!</v>
      </c>
      <c r="AE464" s="414" t="str">
        <f t="shared" si="49"/>
        <v>|</v>
      </c>
      <c r="AG464" s="412" t="s">
        <v>1841</v>
      </c>
    </row>
    <row r="465" spans="1:33" ht="24" customHeight="1">
      <c r="A465" s="424">
        <f t="shared" si="44"/>
        <v>298</v>
      </c>
      <c r="B465" s="412" t="s">
        <v>1588</v>
      </c>
      <c r="C465" s="414">
        <v>77.819999999999993</v>
      </c>
      <c r="D465" s="412" t="s">
        <v>701</v>
      </c>
      <c r="H465" s="412" t="s">
        <v>447</v>
      </c>
      <c r="K465" s="414" t="e">
        <f>(K463/10)</f>
        <v>#REF!</v>
      </c>
      <c r="R465" s="418" t="s">
        <v>1288</v>
      </c>
      <c r="S465" s="414">
        <v>0.01</v>
      </c>
      <c r="T465" s="414" t="s">
        <v>702</v>
      </c>
      <c r="U465" s="412" t="s">
        <v>799</v>
      </c>
      <c r="W465" s="413" t="s">
        <v>358</v>
      </c>
      <c r="X465" s="414">
        <v>1.1499999999999999</v>
      </c>
      <c r="Y465" s="414">
        <v>0.01</v>
      </c>
      <c r="Z465" s="414" t="s">
        <v>702</v>
      </c>
      <c r="AA465" s="412" t="s">
        <v>799</v>
      </c>
      <c r="AC465" s="412" t="s">
        <v>358</v>
      </c>
      <c r="AD465" s="414">
        <v>1.1499999999999999</v>
      </c>
      <c r="AE465" s="414" t="str">
        <f t="shared" si="49"/>
        <v>|</v>
      </c>
      <c r="AG465" s="412" t="s">
        <v>1841</v>
      </c>
    </row>
    <row r="466" spans="1:33" ht="24" customHeight="1">
      <c r="A466" s="424">
        <f t="shared" si="44"/>
        <v>299</v>
      </c>
      <c r="B466" s="412" t="s">
        <v>1589</v>
      </c>
      <c r="C466" s="414">
        <v>99.74</v>
      </c>
      <c r="D466" s="412" t="s">
        <v>701</v>
      </c>
      <c r="K466" s="418" t="s">
        <v>1676</v>
      </c>
      <c r="N466" s="412" t="s">
        <v>1590</v>
      </c>
      <c r="O466" s="413" t="s">
        <v>1591</v>
      </c>
      <c r="S466" s="414"/>
      <c r="U466" s="412" t="s">
        <v>103</v>
      </c>
      <c r="W466" s="413"/>
      <c r="AA466" s="412" t="s">
        <v>103</v>
      </c>
      <c r="AC466" s="412"/>
      <c r="AE466" s="414" t="str">
        <f t="shared" si="49"/>
        <v>|</v>
      </c>
      <c r="AG466" s="412" t="s">
        <v>1841</v>
      </c>
    </row>
    <row r="467" spans="1:33" ht="24" customHeight="1">
      <c r="A467" s="424">
        <f t="shared" si="44"/>
        <v>300</v>
      </c>
      <c r="B467" s="412" t="s">
        <v>906</v>
      </c>
      <c r="C467" s="414">
        <v>165</v>
      </c>
      <c r="D467" s="412" t="s">
        <v>701</v>
      </c>
      <c r="H467" s="412" t="s">
        <v>307</v>
      </c>
      <c r="K467" s="417" t="e">
        <f>(K465+C19/10*F459)</f>
        <v>#REF!</v>
      </c>
      <c r="O467" s="418" t="s">
        <v>1288</v>
      </c>
      <c r="S467" s="414"/>
      <c r="W467" s="413"/>
      <c r="X467" s="418" t="s">
        <v>1288</v>
      </c>
      <c r="AC467" s="412"/>
      <c r="AD467" s="418" t="s">
        <v>1288</v>
      </c>
      <c r="AE467" s="414" t="str">
        <f t="shared" si="49"/>
        <v>|</v>
      </c>
      <c r="AG467" s="412" t="s">
        <v>1841</v>
      </c>
    </row>
    <row r="468" spans="1:33" ht="24" customHeight="1">
      <c r="A468" s="424">
        <f t="shared" si="44"/>
        <v>301</v>
      </c>
      <c r="B468" s="412" t="s">
        <v>907</v>
      </c>
      <c r="C468" s="414">
        <v>258</v>
      </c>
      <c r="D468" s="412" t="s">
        <v>701</v>
      </c>
      <c r="H468" s="412" t="s">
        <v>309</v>
      </c>
      <c r="K468" s="417" t="e">
        <f>(K467+C20/10*F459)</f>
        <v>#REF!</v>
      </c>
      <c r="M468" s="414">
        <v>8.1</v>
      </c>
      <c r="N468" s="412" t="s">
        <v>702</v>
      </c>
      <c r="O468" s="412" t="s">
        <v>493</v>
      </c>
      <c r="P468" s="414">
        <f>(C61)*2</f>
        <v>224.1</v>
      </c>
      <c r="Q468" s="412" t="s">
        <v>702</v>
      </c>
      <c r="R468" s="414">
        <f>(M468*P468)</f>
        <v>1815.21</v>
      </c>
      <c r="S468" s="414"/>
      <c r="U468" s="412" t="s">
        <v>1212</v>
      </c>
      <c r="W468" s="413"/>
      <c r="X468" s="414" t="e">
        <f>SUM(X464:X466)</f>
        <v>#REF!</v>
      </c>
      <c r="AA468" s="412" t="s">
        <v>1212</v>
      </c>
      <c r="AC468" s="412"/>
      <c r="AD468" s="414" t="e">
        <f>SUM(AD464:AD466)</f>
        <v>#REF!</v>
      </c>
      <c r="AE468" s="414" t="str">
        <f t="shared" si="49"/>
        <v>|</v>
      </c>
      <c r="AG468" s="412" t="s">
        <v>1841</v>
      </c>
    </row>
    <row r="469" spans="1:33" ht="24" customHeight="1">
      <c r="A469" s="424">
        <f t="shared" si="44"/>
        <v>302</v>
      </c>
      <c r="B469" s="412" t="s">
        <v>909</v>
      </c>
      <c r="C469" s="414">
        <v>298</v>
      </c>
      <c r="D469" s="412" t="s">
        <v>701</v>
      </c>
      <c r="H469" s="412" t="s">
        <v>1818</v>
      </c>
      <c r="K469" s="417" t="e">
        <f>(K468+C21/10*F459)</f>
        <v>#REF!</v>
      </c>
      <c r="M469" s="414">
        <v>8.1</v>
      </c>
      <c r="N469" s="412" t="s">
        <v>702</v>
      </c>
      <c r="O469" s="412" t="s">
        <v>1755</v>
      </c>
      <c r="P469" s="414">
        <f>(C26)</f>
        <v>38.950000000000003</v>
      </c>
      <c r="Q469" s="412" t="s">
        <v>702</v>
      </c>
      <c r="R469" s="414">
        <f>(M469*P469)</f>
        <v>315.5</v>
      </c>
      <c r="S469" s="414"/>
      <c r="W469" s="413"/>
      <c r="X469" s="418" t="s">
        <v>1288</v>
      </c>
      <c r="AC469" s="412"/>
      <c r="AD469" s="418" t="s">
        <v>1288</v>
      </c>
      <c r="AE469" s="414" t="str">
        <f t="shared" si="49"/>
        <v>|</v>
      </c>
      <c r="AG469" s="412" t="s">
        <v>1841</v>
      </c>
    </row>
    <row r="470" spans="1:33" ht="24" customHeight="1">
      <c r="A470" s="424">
        <f t="shared" si="44"/>
        <v>303</v>
      </c>
      <c r="B470" s="412" t="s">
        <v>186</v>
      </c>
      <c r="C470" s="414">
        <v>398</v>
      </c>
      <c r="D470" s="412" t="s">
        <v>701</v>
      </c>
      <c r="H470" s="412" t="s">
        <v>301</v>
      </c>
      <c r="K470" s="417" t="e">
        <f>(K469+C21/10*F459)</f>
        <v>#REF!</v>
      </c>
      <c r="L470" s="414" t="e">
        <f t="shared" ref="L470:L476" si="50">K470-K469</f>
        <v>#REF!</v>
      </c>
      <c r="M470" s="414">
        <v>30</v>
      </c>
      <c r="N470" s="412" t="s">
        <v>1443</v>
      </c>
      <c r="O470" s="412" t="s">
        <v>1756</v>
      </c>
      <c r="P470" s="414">
        <f>(C42)</f>
        <v>5</v>
      </c>
      <c r="Q470" s="412" t="s">
        <v>1443</v>
      </c>
      <c r="R470" s="414">
        <f>(M470*P470)</f>
        <v>150</v>
      </c>
      <c r="S470" s="414"/>
      <c r="U470" s="412" t="s">
        <v>621</v>
      </c>
      <c r="W470" s="413"/>
      <c r="X470" s="414" t="e">
        <f>ROUND(X468*100,0)</f>
        <v>#REF!</v>
      </c>
      <c r="AA470" s="412" t="s">
        <v>621</v>
      </c>
      <c r="AC470" s="412"/>
      <c r="AD470" s="414" t="e">
        <f>ROUND(AD468*100,0)</f>
        <v>#REF!</v>
      </c>
      <c r="AE470" s="414" t="str">
        <f t="shared" si="49"/>
        <v>|</v>
      </c>
      <c r="AG470" s="412" t="s">
        <v>1841</v>
      </c>
    </row>
    <row r="471" spans="1:33" ht="24" customHeight="1">
      <c r="A471" s="424">
        <f t="shared" si="44"/>
        <v>304</v>
      </c>
      <c r="B471" s="412" t="s">
        <v>910</v>
      </c>
      <c r="D471" s="412" t="s">
        <v>701</v>
      </c>
      <c r="H471" s="412" t="s">
        <v>1244</v>
      </c>
      <c r="K471" s="417" t="e">
        <f>(K470+C21/10*F459)</f>
        <v>#REF!</v>
      </c>
      <c r="L471" s="414" t="e">
        <f t="shared" si="50"/>
        <v>#REF!</v>
      </c>
      <c r="O471" s="412" t="s">
        <v>1757</v>
      </c>
      <c r="S471" s="412" t="s">
        <v>790</v>
      </c>
      <c r="W471" s="413"/>
      <c r="Y471" s="412" t="s">
        <v>790</v>
      </c>
      <c r="AC471" s="412"/>
      <c r="AE471" s="414" t="str">
        <f t="shared" si="49"/>
        <v>|</v>
      </c>
      <c r="AG471" s="412" t="s">
        <v>1841</v>
      </c>
    </row>
    <row r="472" spans="1:33" ht="24" customHeight="1">
      <c r="A472" s="424"/>
      <c r="B472" s="412"/>
      <c r="D472" s="412"/>
      <c r="H472" s="412">
        <v>5</v>
      </c>
      <c r="K472" s="417" t="e">
        <f>(K471+C21/10*F459)</f>
        <v>#REF!</v>
      </c>
      <c r="L472" s="414" t="e">
        <f t="shared" si="50"/>
        <v>#REF!</v>
      </c>
      <c r="O472" s="412"/>
      <c r="S472" s="414"/>
      <c r="W472" s="413"/>
      <c r="X472" s="418" t="s">
        <v>1676</v>
      </c>
      <c r="AC472" s="412"/>
      <c r="AD472" s="418" t="s">
        <v>1676</v>
      </c>
      <c r="AG472" s="412"/>
    </row>
    <row r="473" spans="1:33" ht="24" customHeight="1">
      <c r="A473" s="424"/>
      <c r="B473" s="412"/>
      <c r="D473" s="412"/>
      <c r="H473" s="412">
        <v>6</v>
      </c>
      <c r="K473" s="417" t="e">
        <f>(K472+C21/10*F459)</f>
        <v>#REF!</v>
      </c>
      <c r="L473" s="414" t="e">
        <f t="shared" si="50"/>
        <v>#REF!</v>
      </c>
      <c r="O473" s="412"/>
      <c r="S473" s="414"/>
      <c r="T473" s="414" t="s">
        <v>544</v>
      </c>
      <c r="U473" s="412" t="s">
        <v>801</v>
      </c>
      <c r="W473" s="413"/>
      <c r="Z473" s="414" t="s">
        <v>544</v>
      </c>
      <c r="AA473" s="412" t="s">
        <v>801</v>
      </c>
      <c r="AC473" s="412"/>
      <c r="AG473" s="412"/>
    </row>
    <row r="474" spans="1:33" ht="24" customHeight="1">
      <c r="A474" s="424"/>
      <c r="B474" s="412"/>
      <c r="D474" s="412"/>
      <c r="H474" s="412">
        <v>7</v>
      </c>
      <c r="K474" s="417" t="e">
        <f>(K473+C21/10*F459)</f>
        <v>#REF!</v>
      </c>
      <c r="L474" s="414" t="e">
        <f t="shared" si="50"/>
        <v>#REF!</v>
      </c>
      <c r="O474" s="412"/>
      <c r="S474" s="414"/>
      <c r="U474" s="412" t="s">
        <v>1349</v>
      </c>
      <c r="W474" s="413"/>
      <c r="AA474" s="412" t="s">
        <v>1349</v>
      </c>
      <c r="AC474" s="412"/>
      <c r="AG474" s="412"/>
    </row>
    <row r="475" spans="1:33" ht="24" customHeight="1">
      <c r="A475" s="424"/>
      <c r="B475" s="412"/>
      <c r="D475" s="412"/>
      <c r="H475" s="412">
        <v>8</v>
      </c>
      <c r="K475" s="417" t="e">
        <f>(K474+C21/10*F459)</f>
        <v>#REF!</v>
      </c>
      <c r="L475" s="414" t="e">
        <f t="shared" si="50"/>
        <v>#REF!</v>
      </c>
      <c r="O475" s="412"/>
      <c r="S475" s="414"/>
      <c r="U475" s="418" t="s">
        <v>1288</v>
      </c>
      <c r="W475" s="413"/>
      <c r="AA475" s="418" t="s">
        <v>1288</v>
      </c>
      <c r="AC475" s="412"/>
      <c r="AG475" s="412"/>
    </row>
    <row r="476" spans="1:33" ht="24" customHeight="1">
      <c r="A476" s="424"/>
      <c r="B476" s="412"/>
      <c r="D476" s="412"/>
      <c r="H476" s="412">
        <v>9</v>
      </c>
      <c r="K476" s="417" t="e">
        <f>(K475+C21/10*F459)</f>
        <v>#REF!</v>
      </c>
      <c r="L476" s="414" t="e">
        <f t="shared" si="50"/>
        <v>#REF!</v>
      </c>
      <c r="O476" s="412"/>
      <c r="S476" s="416">
        <v>1.4E-2</v>
      </c>
      <c r="T476" s="414" t="s">
        <v>702</v>
      </c>
      <c r="U476" s="412" t="s">
        <v>1076</v>
      </c>
      <c r="V476" s="414" t="e">
        <f>X470</f>
        <v>#REF!</v>
      </c>
      <c r="W476" s="413" t="s">
        <v>702</v>
      </c>
      <c r="X476" s="414" t="e">
        <f>(S476*V476)</f>
        <v>#REF!</v>
      </c>
      <c r="Y476" s="416">
        <v>1.4E-2</v>
      </c>
      <c r="Z476" s="414" t="s">
        <v>702</v>
      </c>
      <c r="AA476" s="412" t="s">
        <v>1076</v>
      </c>
      <c r="AB476" s="414" t="e">
        <f>AD470</f>
        <v>#REF!</v>
      </c>
      <c r="AC476" s="412" t="s">
        <v>702</v>
      </c>
      <c r="AD476" s="414" t="e">
        <f>(Y476*AB476)</f>
        <v>#REF!</v>
      </c>
      <c r="AG476" s="412"/>
    </row>
    <row r="477" spans="1:33" ht="24" customHeight="1">
      <c r="A477" s="424"/>
      <c r="B477" s="412"/>
      <c r="D477" s="412"/>
      <c r="H477" s="412">
        <v>10</v>
      </c>
      <c r="K477" s="417" t="e">
        <f>(K476+C21/10*F459)</f>
        <v>#REF!</v>
      </c>
      <c r="L477" s="414" t="e">
        <f>K477-K476</f>
        <v>#REF!</v>
      </c>
      <c r="O477" s="412"/>
      <c r="U477" s="412" t="s">
        <v>1446</v>
      </c>
      <c r="W477" s="413"/>
      <c r="X477" s="412" t="s">
        <v>790</v>
      </c>
      <c r="Y477" s="416"/>
      <c r="AA477" s="412" t="s">
        <v>1446</v>
      </c>
      <c r="AC477" s="412"/>
      <c r="AD477" s="412" t="s">
        <v>790</v>
      </c>
      <c r="AG477" s="412"/>
    </row>
    <row r="478" spans="1:33" ht="24" customHeight="1">
      <c r="A478" s="424"/>
      <c r="B478" s="412"/>
      <c r="D478" s="412"/>
      <c r="H478" s="412"/>
      <c r="K478" s="417" t="e">
        <f>(K477+C21/10*F459)</f>
        <v>#REF!</v>
      </c>
      <c r="L478" s="414" t="e">
        <f>K478-K477</f>
        <v>#REF!</v>
      </c>
      <c r="O478" s="412"/>
      <c r="S478" s="414">
        <v>0.5</v>
      </c>
      <c r="T478" s="414" t="s">
        <v>619</v>
      </c>
      <c r="U478" s="412" t="s">
        <v>1637</v>
      </c>
      <c r="V478" s="414">
        <f>C10</f>
        <v>999</v>
      </c>
      <c r="W478" s="413" t="s">
        <v>619</v>
      </c>
      <c r="X478" s="414">
        <f>(S478*V478)</f>
        <v>499.5</v>
      </c>
      <c r="Y478" s="414">
        <v>0.5</v>
      </c>
      <c r="Z478" s="414" t="s">
        <v>619</v>
      </c>
      <c r="AA478" s="412" t="s">
        <v>1637</v>
      </c>
      <c r="AB478" s="414">
        <f>V478</f>
        <v>999</v>
      </c>
      <c r="AC478" s="412" t="s">
        <v>619</v>
      </c>
      <c r="AD478" s="414">
        <f>(Y478*AB478)</f>
        <v>499.5</v>
      </c>
      <c r="AG478" s="412"/>
    </row>
    <row r="479" spans="1:33" ht="24" customHeight="1">
      <c r="A479" s="424">
        <f>(A471+1)</f>
        <v>305</v>
      </c>
      <c r="B479" s="415" t="s">
        <v>3156</v>
      </c>
      <c r="D479" s="412" t="s">
        <v>701</v>
      </c>
      <c r="F479" s="413" t="s">
        <v>1592</v>
      </c>
      <c r="G479" s="414" t="s">
        <v>1833</v>
      </c>
      <c r="H479" s="412" t="s">
        <v>1593</v>
      </c>
      <c r="K479" s="417" t="e">
        <f>(K478+C21/10*F459)</f>
        <v>#REF!</v>
      </c>
      <c r="L479" s="414" t="e">
        <f>K479-K478</f>
        <v>#REF!</v>
      </c>
      <c r="O479" s="412" t="s">
        <v>1758</v>
      </c>
      <c r="S479" s="414">
        <v>0.75</v>
      </c>
      <c r="T479" s="414" t="s">
        <v>619</v>
      </c>
      <c r="U479" s="412" t="s">
        <v>1550</v>
      </c>
      <c r="V479" s="414">
        <f>C12</f>
        <v>651</v>
      </c>
      <c r="W479" s="413" t="s">
        <v>619</v>
      </c>
      <c r="X479" s="414">
        <f>(S479*V479)</f>
        <v>488.25</v>
      </c>
      <c r="Y479" s="414">
        <v>0.75</v>
      </c>
      <c r="Z479" s="414" t="s">
        <v>619</v>
      </c>
      <c r="AA479" s="412" t="s">
        <v>1550</v>
      </c>
      <c r="AB479" s="414">
        <f>V479</f>
        <v>651</v>
      </c>
      <c r="AC479" s="412" t="s">
        <v>619</v>
      </c>
      <c r="AD479" s="414">
        <f>(Y479*AB479)</f>
        <v>488.25</v>
      </c>
      <c r="AE479" s="414" t="str">
        <f t="shared" si="49"/>
        <v>|</v>
      </c>
      <c r="AG479" s="412" t="s">
        <v>1841</v>
      </c>
    </row>
    <row r="480" spans="1:33" ht="24" customHeight="1">
      <c r="A480" s="424">
        <f t="shared" si="44"/>
        <v>306</v>
      </c>
      <c r="B480" s="412" t="s">
        <v>904</v>
      </c>
      <c r="C480" s="414">
        <v>168</v>
      </c>
      <c r="D480" s="412" t="s">
        <v>701</v>
      </c>
      <c r="H480" s="412" t="s">
        <v>1823</v>
      </c>
      <c r="O480" s="412" t="s">
        <v>1759</v>
      </c>
      <c r="S480" s="414"/>
      <c r="T480" s="414" t="s">
        <v>358</v>
      </c>
      <c r="U480" s="412" t="s">
        <v>359</v>
      </c>
      <c r="W480" s="413" t="s">
        <v>358</v>
      </c>
      <c r="X480" s="414">
        <v>0</v>
      </c>
      <c r="Z480" s="414" t="s">
        <v>358</v>
      </c>
      <c r="AA480" s="412" t="s">
        <v>359</v>
      </c>
      <c r="AB480" s="414">
        <f>V480</f>
        <v>0</v>
      </c>
      <c r="AC480" s="412" t="s">
        <v>358</v>
      </c>
      <c r="AD480" s="414">
        <v>0</v>
      </c>
      <c r="AE480" s="414" t="str">
        <f t="shared" si="49"/>
        <v>|</v>
      </c>
      <c r="AG480" s="412" t="s">
        <v>1841</v>
      </c>
    </row>
    <row r="481" spans="1:33" ht="24" customHeight="1">
      <c r="A481" s="424">
        <f t="shared" si="44"/>
        <v>307</v>
      </c>
      <c r="B481" s="412" t="s">
        <v>905</v>
      </c>
      <c r="C481" s="414">
        <v>350</v>
      </c>
      <c r="D481" s="412" t="s">
        <v>701</v>
      </c>
      <c r="H481" s="418" t="s">
        <v>1288</v>
      </c>
      <c r="O481" s="412" t="s">
        <v>1762</v>
      </c>
      <c r="S481" s="414"/>
      <c r="W481" s="413"/>
      <c r="X481" s="418" t="s">
        <v>1288</v>
      </c>
      <c r="AC481" s="412"/>
      <c r="AD481" s="418" t="s">
        <v>1288</v>
      </c>
      <c r="AE481" s="414" t="str">
        <f t="shared" si="49"/>
        <v>|</v>
      </c>
      <c r="AG481" s="412" t="s">
        <v>1841</v>
      </c>
    </row>
    <row r="482" spans="1:33" ht="24" customHeight="1">
      <c r="A482" s="424">
        <f t="shared" si="44"/>
        <v>308</v>
      </c>
      <c r="B482" s="412" t="s">
        <v>906</v>
      </c>
      <c r="C482" s="414">
        <v>592</v>
      </c>
      <c r="D482" s="412" t="s">
        <v>701</v>
      </c>
      <c r="F482" s="414">
        <v>1</v>
      </c>
      <c r="G482" s="414" t="s">
        <v>702</v>
      </c>
      <c r="H482" s="412" t="s">
        <v>3246</v>
      </c>
      <c r="I482" s="414">
        <f>(C26)</f>
        <v>38.950000000000003</v>
      </c>
      <c r="J482" s="412" t="s">
        <v>702</v>
      </c>
      <c r="K482" s="417">
        <f>(F482*I482)</f>
        <v>38.950000000000003</v>
      </c>
      <c r="M482" s="414">
        <v>8</v>
      </c>
      <c r="N482" s="412" t="s">
        <v>619</v>
      </c>
      <c r="O482" s="412" t="s">
        <v>1744</v>
      </c>
      <c r="P482" s="414">
        <f>(C45)</f>
        <v>11.2</v>
      </c>
      <c r="Q482" s="412" t="s">
        <v>619</v>
      </c>
      <c r="R482" s="414">
        <f>(M482*P482)</f>
        <v>89.6</v>
      </c>
      <c r="S482" s="414"/>
      <c r="U482" s="412" t="s">
        <v>79</v>
      </c>
      <c r="W482" s="413"/>
      <c r="X482" s="414" t="e">
        <f>SUM(X476:X480)</f>
        <v>#REF!</v>
      </c>
      <c r="AA482" s="412" t="s">
        <v>79</v>
      </c>
      <c r="AC482" s="412"/>
      <c r="AD482" s="414" t="e">
        <f>SUM(AD476:AD480)</f>
        <v>#REF!</v>
      </c>
      <c r="AE482" s="414" t="str">
        <f t="shared" si="49"/>
        <v>|</v>
      </c>
      <c r="AG482" s="412" t="s">
        <v>1841</v>
      </c>
    </row>
    <row r="483" spans="1:33" ht="24" customHeight="1">
      <c r="A483" s="424">
        <f t="shared" si="44"/>
        <v>309</v>
      </c>
      <c r="B483" s="412" t="s">
        <v>907</v>
      </c>
      <c r="C483" s="414">
        <v>760</v>
      </c>
      <c r="D483" s="412" t="s">
        <v>701</v>
      </c>
      <c r="K483" s="418" t="s">
        <v>1676</v>
      </c>
      <c r="M483" s="414">
        <v>8</v>
      </c>
      <c r="N483" s="412" t="s">
        <v>619</v>
      </c>
      <c r="O483" s="412" t="s">
        <v>376</v>
      </c>
      <c r="P483" s="414">
        <f>(C52)</f>
        <v>28.05</v>
      </c>
      <c r="Q483" s="412" t="s">
        <v>619</v>
      </c>
      <c r="R483" s="414">
        <f>(M483*P483)</f>
        <v>224.4</v>
      </c>
      <c r="S483" s="414"/>
      <c r="W483" s="413"/>
      <c r="X483" s="418" t="s">
        <v>1288</v>
      </c>
      <c r="AC483" s="412"/>
      <c r="AD483" s="418" t="s">
        <v>1288</v>
      </c>
      <c r="AE483" s="414" t="str">
        <f t="shared" si="49"/>
        <v>|</v>
      </c>
      <c r="AG483" s="412" t="s">
        <v>1841</v>
      </c>
    </row>
    <row r="484" spans="1:33" ht="24" customHeight="1">
      <c r="A484" s="424">
        <f t="shared" si="44"/>
        <v>310</v>
      </c>
      <c r="B484" s="412" t="s">
        <v>909</v>
      </c>
      <c r="C484" s="414">
        <v>977</v>
      </c>
      <c r="D484" s="412" t="s">
        <v>701</v>
      </c>
      <c r="F484" s="427">
        <v>7.3</v>
      </c>
      <c r="G484" s="414" t="s">
        <v>1833</v>
      </c>
      <c r="H484" s="412" t="s">
        <v>1824</v>
      </c>
      <c r="M484" s="414">
        <v>1</v>
      </c>
      <c r="N484" s="412" t="s">
        <v>358</v>
      </c>
      <c r="O484" s="412" t="s">
        <v>1373</v>
      </c>
      <c r="P484" s="414">
        <f>(C56)</f>
        <v>12.1</v>
      </c>
      <c r="Q484" s="412" t="s">
        <v>358</v>
      </c>
      <c r="R484" s="414">
        <f>(M484*P484)</f>
        <v>12.1</v>
      </c>
      <c r="S484" s="414"/>
      <c r="U484" s="412" t="s">
        <v>447</v>
      </c>
      <c r="W484" s="413"/>
      <c r="X484" s="414" t="e">
        <f>(X482/0.372)</f>
        <v>#REF!</v>
      </c>
      <c r="AA484" s="412" t="s">
        <v>447</v>
      </c>
      <c r="AC484" s="412"/>
      <c r="AD484" s="414" t="e">
        <f>(AD482/0.372)</f>
        <v>#REF!</v>
      </c>
      <c r="AE484" s="414" t="str">
        <f t="shared" si="49"/>
        <v>|</v>
      </c>
      <c r="AG484" s="412" t="s">
        <v>1841</v>
      </c>
    </row>
    <row r="485" spans="1:33" ht="24" customHeight="1">
      <c r="A485" s="424">
        <f t="shared" si="44"/>
        <v>311</v>
      </c>
      <c r="B485" s="412" t="s">
        <v>186</v>
      </c>
      <c r="C485" s="414">
        <v>1241</v>
      </c>
      <c r="D485" s="412" t="s">
        <v>701</v>
      </c>
      <c r="F485" s="412" t="s">
        <v>790</v>
      </c>
      <c r="H485" s="412" t="s">
        <v>778</v>
      </c>
      <c r="M485" s="414">
        <v>1</v>
      </c>
      <c r="N485" s="412" t="s">
        <v>358</v>
      </c>
      <c r="O485" s="412" t="s">
        <v>359</v>
      </c>
      <c r="Q485" s="412" t="s">
        <v>358</v>
      </c>
      <c r="R485" s="414">
        <v>0</v>
      </c>
      <c r="S485" s="414"/>
      <c r="W485" s="413"/>
      <c r="X485" s="418" t="s">
        <v>1676</v>
      </c>
      <c r="AC485" s="412"/>
      <c r="AD485" s="418" t="s">
        <v>1676</v>
      </c>
      <c r="AE485" s="414" t="str">
        <f t="shared" si="49"/>
        <v>|</v>
      </c>
      <c r="AG485" s="412" t="s">
        <v>1841</v>
      </c>
    </row>
    <row r="486" spans="1:33" ht="24" customHeight="1">
      <c r="A486" s="424">
        <f t="shared" si="44"/>
        <v>312</v>
      </c>
      <c r="B486" s="412" t="s">
        <v>910</v>
      </c>
      <c r="C486" s="414">
        <v>1523</v>
      </c>
      <c r="D486" s="412" t="s">
        <v>701</v>
      </c>
      <c r="F486" s="412" t="s">
        <v>790</v>
      </c>
      <c r="H486" s="418" t="s">
        <v>1867</v>
      </c>
      <c r="R486" s="418" t="s">
        <v>1288</v>
      </c>
      <c r="S486" s="414"/>
      <c r="U486" s="412" t="s">
        <v>307</v>
      </c>
      <c r="V486" s="414" t="e">
        <f>X484</f>
        <v>#REF!</v>
      </c>
      <c r="W486" s="413">
        <f>J659</f>
        <v>4.51</v>
      </c>
      <c r="X486" s="417" t="e">
        <f>V486+W486</f>
        <v>#REF!</v>
      </c>
      <c r="AA486" s="412" t="s">
        <v>307</v>
      </c>
      <c r="AB486" s="414" t="e">
        <f>AD484</f>
        <v>#REF!</v>
      </c>
      <c r="AC486" s="412">
        <f>W486</f>
        <v>4.51</v>
      </c>
      <c r="AD486" s="417" t="e">
        <f>AB486+AC486</f>
        <v>#REF!</v>
      </c>
      <c r="AE486" s="414" t="str">
        <f t="shared" si="49"/>
        <v>|</v>
      </c>
      <c r="AG486" s="412" t="s">
        <v>1841</v>
      </c>
    </row>
    <row r="487" spans="1:33" ht="24" customHeight="1">
      <c r="A487" s="424">
        <f t="shared" si="44"/>
        <v>313</v>
      </c>
      <c r="B487" s="415" t="s">
        <v>3157</v>
      </c>
      <c r="D487" s="412"/>
      <c r="F487" s="414">
        <v>0.13</v>
      </c>
      <c r="G487" s="414" t="s">
        <v>702</v>
      </c>
      <c r="H487" s="412" t="s">
        <v>1063</v>
      </c>
      <c r="I487" s="414" t="e">
        <f>(K40)</f>
        <v>#REF!</v>
      </c>
      <c r="J487" s="412" t="s">
        <v>702</v>
      </c>
      <c r="K487" s="414" t="e">
        <f t="shared" ref="K487:K492" si="51">(F487*I487)</f>
        <v>#REF!</v>
      </c>
      <c r="O487" s="412" t="s">
        <v>1252</v>
      </c>
      <c r="R487" s="414">
        <f>SUM(R468:R485)</f>
        <v>2606.81</v>
      </c>
      <c r="S487" s="414"/>
      <c r="U487" s="412" t="s">
        <v>309</v>
      </c>
      <c r="V487" s="414" t="e">
        <f>X486</f>
        <v>#REF!</v>
      </c>
      <c r="W487" s="413">
        <f>J662</f>
        <v>8.89</v>
      </c>
      <c r="X487" s="417" t="e">
        <f>V487+W487</f>
        <v>#REF!</v>
      </c>
      <c r="AA487" s="412" t="s">
        <v>309</v>
      </c>
      <c r="AB487" s="414" t="e">
        <f>AD486</f>
        <v>#REF!</v>
      </c>
      <c r="AC487" s="412">
        <f>W487</f>
        <v>8.89</v>
      </c>
      <c r="AD487" s="417" t="e">
        <f>AB487+AC487</f>
        <v>#REF!</v>
      </c>
      <c r="AE487" s="414" t="str">
        <f t="shared" si="49"/>
        <v>|</v>
      </c>
      <c r="AG487" s="412" t="s">
        <v>1841</v>
      </c>
    </row>
    <row r="488" spans="1:33" ht="24" customHeight="1">
      <c r="A488" s="424">
        <f t="shared" ref="A488:A494" si="52">(A487+1)</f>
        <v>314</v>
      </c>
      <c r="B488" s="412" t="s">
        <v>904</v>
      </c>
      <c r="C488" s="414">
        <v>169</v>
      </c>
      <c r="D488" s="412" t="s">
        <v>701</v>
      </c>
      <c r="F488" s="414">
        <v>0.7</v>
      </c>
      <c r="G488" s="414" t="s">
        <v>619</v>
      </c>
      <c r="H488" s="412" t="s">
        <v>1637</v>
      </c>
      <c r="I488" s="414">
        <f>(C10)</f>
        <v>999</v>
      </c>
      <c r="J488" s="412" t="s">
        <v>619</v>
      </c>
      <c r="K488" s="414">
        <f t="shared" si="51"/>
        <v>699.3</v>
      </c>
      <c r="R488" s="418" t="s">
        <v>1288</v>
      </c>
      <c r="S488" s="414"/>
      <c r="U488" s="412" t="s">
        <v>1818</v>
      </c>
      <c r="V488" s="414" t="e">
        <f>X487</f>
        <v>#REF!</v>
      </c>
      <c r="W488" s="413">
        <f>J663</f>
        <v>8.89</v>
      </c>
      <c r="X488" s="417" t="e">
        <f>V488+W488</f>
        <v>#REF!</v>
      </c>
      <c r="AA488" s="412" t="s">
        <v>1818</v>
      </c>
      <c r="AB488" s="414" t="e">
        <f>AD487</f>
        <v>#REF!</v>
      </c>
      <c r="AC488" s="412">
        <f>W488</f>
        <v>8.89</v>
      </c>
      <c r="AD488" s="417" t="e">
        <f>AB488+AC488</f>
        <v>#REF!</v>
      </c>
      <c r="AE488" s="414" t="str">
        <f t="shared" si="49"/>
        <v>|</v>
      </c>
      <c r="AG488" s="412" t="s">
        <v>1841</v>
      </c>
    </row>
    <row r="489" spans="1:33" ht="33.75" customHeight="1">
      <c r="A489" s="424">
        <f t="shared" si="52"/>
        <v>315</v>
      </c>
      <c r="B489" s="412" t="s">
        <v>905</v>
      </c>
      <c r="C489" s="414">
        <v>241</v>
      </c>
      <c r="D489" s="412" t="s">
        <v>701</v>
      </c>
      <c r="F489" s="414">
        <v>0.7</v>
      </c>
      <c r="G489" s="414" t="s">
        <v>619</v>
      </c>
      <c r="H489" s="412" t="s">
        <v>1392</v>
      </c>
      <c r="I489" s="414">
        <f>(C11)</f>
        <v>932</v>
      </c>
      <c r="J489" s="412" t="s">
        <v>619</v>
      </c>
      <c r="K489" s="414">
        <f t="shared" si="51"/>
        <v>652.4</v>
      </c>
      <c r="O489" s="412" t="s">
        <v>1253</v>
      </c>
      <c r="R489" s="414">
        <f>(R487/30)</f>
        <v>86.89</v>
      </c>
      <c r="S489" s="414"/>
      <c r="U489" s="412" t="s">
        <v>301</v>
      </c>
      <c r="V489" s="414" t="e">
        <f>X488</f>
        <v>#REF!</v>
      </c>
      <c r="W489" s="413">
        <f>J664</f>
        <v>8.89</v>
      </c>
      <c r="X489" s="417" t="e">
        <f>V489+W489</f>
        <v>#REF!</v>
      </c>
      <c r="AA489" s="412" t="s">
        <v>301</v>
      </c>
      <c r="AB489" s="414" t="e">
        <f>AD488</f>
        <v>#REF!</v>
      </c>
      <c r="AC489" s="412">
        <f>W489</f>
        <v>8.89</v>
      </c>
      <c r="AD489" s="417" t="e">
        <f>AB489+AC489</f>
        <v>#REF!</v>
      </c>
      <c r="AE489" s="414" t="str">
        <f t="shared" si="49"/>
        <v>|</v>
      </c>
      <c r="AG489" s="412" t="s">
        <v>1841</v>
      </c>
    </row>
    <row r="490" spans="1:33" ht="24" customHeight="1">
      <c r="A490" s="424">
        <f t="shared" si="52"/>
        <v>316</v>
      </c>
      <c r="B490" s="412" t="s">
        <v>906</v>
      </c>
      <c r="C490" s="414">
        <v>351</v>
      </c>
      <c r="D490" s="412" t="s">
        <v>701</v>
      </c>
      <c r="F490" s="414">
        <v>1.5</v>
      </c>
      <c r="G490" s="414" t="s">
        <v>619</v>
      </c>
      <c r="H490" s="412" t="s">
        <v>1550</v>
      </c>
      <c r="I490" s="414">
        <f>(C12)</f>
        <v>651</v>
      </c>
      <c r="J490" s="412" t="s">
        <v>619</v>
      </c>
      <c r="K490" s="414">
        <f t="shared" si="51"/>
        <v>976.5</v>
      </c>
      <c r="R490" s="418" t="s">
        <v>1288</v>
      </c>
      <c r="S490" s="414"/>
      <c r="U490" s="412" t="s">
        <v>1110</v>
      </c>
      <c r="V490" s="414" t="e">
        <f>X489</f>
        <v>#REF!</v>
      </c>
      <c r="W490" s="413">
        <f>J665</f>
        <v>8.89</v>
      </c>
      <c r="X490" s="417" t="e">
        <f>V490+W490</f>
        <v>#REF!</v>
      </c>
      <c r="AA490" s="412" t="s">
        <v>1110</v>
      </c>
      <c r="AB490" s="414" t="e">
        <f>AD489</f>
        <v>#REF!</v>
      </c>
      <c r="AC490" s="412">
        <f>W490</f>
        <v>8.89</v>
      </c>
      <c r="AD490" s="417" t="e">
        <f>AB490+AC490</f>
        <v>#REF!</v>
      </c>
      <c r="AE490" s="414" t="str">
        <f t="shared" si="49"/>
        <v>|</v>
      </c>
      <c r="AG490" s="412" t="s">
        <v>1841</v>
      </c>
    </row>
    <row r="491" spans="1:33" ht="24" customHeight="1">
      <c r="A491" s="424">
        <f t="shared" si="52"/>
        <v>317</v>
      </c>
      <c r="B491" s="412" t="s">
        <v>907</v>
      </c>
      <c r="C491" s="414">
        <v>513</v>
      </c>
      <c r="D491" s="412" t="s">
        <v>701</v>
      </c>
      <c r="F491" s="414">
        <v>0.5</v>
      </c>
      <c r="G491" s="414" t="s">
        <v>619</v>
      </c>
      <c r="H491" s="412" t="s">
        <v>245</v>
      </c>
      <c r="I491" s="414">
        <f>(C13)</f>
        <v>534</v>
      </c>
      <c r="J491" s="412" t="s">
        <v>619</v>
      </c>
      <c r="K491" s="414">
        <f t="shared" si="51"/>
        <v>267</v>
      </c>
      <c r="M491" s="412" t="s">
        <v>790</v>
      </c>
      <c r="W491" s="413"/>
      <c r="Y491" s="416"/>
      <c r="AA491" s="412" t="s">
        <v>2159</v>
      </c>
      <c r="AC491" s="412">
        <f t="shared" ref="AC491:AC497" si="53">AC490</f>
        <v>8.89</v>
      </c>
      <c r="AD491" s="417" t="e">
        <f t="shared" ref="AD491:AD497" si="54">AD490+AC491</f>
        <v>#REF!</v>
      </c>
      <c r="AE491" s="414" t="str">
        <f t="shared" si="49"/>
        <v>|</v>
      </c>
      <c r="AG491" s="412" t="s">
        <v>1841</v>
      </c>
    </row>
    <row r="492" spans="1:33" ht="24" customHeight="1">
      <c r="A492" s="424">
        <f t="shared" si="52"/>
        <v>318</v>
      </c>
      <c r="B492" s="412" t="s">
        <v>909</v>
      </c>
      <c r="C492" s="414">
        <v>652</v>
      </c>
      <c r="D492" s="412" t="s">
        <v>701</v>
      </c>
      <c r="F492" s="414">
        <v>0.94</v>
      </c>
      <c r="G492" s="414" t="s">
        <v>1341</v>
      </c>
      <c r="H492" s="412" t="s">
        <v>732</v>
      </c>
      <c r="I492" s="414">
        <f>C653</f>
        <v>42.7</v>
      </c>
      <c r="J492" s="412" t="s">
        <v>1341</v>
      </c>
      <c r="K492" s="414">
        <f t="shared" si="51"/>
        <v>40.14</v>
      </c>
      <c r="N492" s="412" t="s">
        <v>1833</v>
      </c>
      <c r="O492" s="412" t="s">
        <v>1671</v>
      </c>
      <c r="W492" s="413"/>
      <c r="Y492" s="416"/>
      <c r="AA492" s="412" t="s">
        <v>2160</v>
      </c>
      <c r="AC492" s="412">
        <f t="shared" si="53"/>
        <v>8.89</v>
      </c>
      <c r="AD492" s="417" t="e">
        <f t="shared" si="54"/>
        <v>#REF!</v>
      </c>
      <c r="AE492" s="414" t="str">
        <f t="shared" si="49"/>
        <v>|</v>
      </c>
      <c r="AG492" s="412" t="s">
        <v>1841</v>
      </c>
    </row>
    <row r="493" spans="1:33" ht="24" customHeight="1">
      <c r="A493" s="424">
        <f t="shared" si="52"/>
        <v>319</v>
      </c>
      <c r="B493" s="412" t="s">
        <v>186</v>
      </c>
      <c r="C493" s="414">
        <v>584</v>
      </c>
      <c r="D493" s="412" t="s">
        <v>701</v>
      </c>
      <c r="H493" s="412" t="s">
        <v>359</v>
      </c>
      <c r="I493" s="412" t="s">
        <v>790</v>
      </c>
      <c r="J493" s="412" t="s">
        <v>358</v>
      </c>
      <c r="K493" s="414">
        <v>0</v>
      </c>
      <c r="O493" s="412" t="s">
        <v>1672</v>
      </c>
      <c r="W493" s="413"/>
      <c r="Y493" s="416"/>
      <c r="AA493" s="412" t="s">
        <v>2161</v>
      </c>
      <c r="AC493" s="412">
        <f t="shared" si="53"/>
        <v>8.89</v>
      </c>
      <c r="AD493" s="414" t="e">
        <f t="shared" si="54"/>
        <v>#REF!</v>
      </c>
      <c r="AE493" s="414" t="str">
        <f t="shared" si="49"/>
        <v>|</v>
      </c>
      <c r="AG493" s="412" t="s">
        <v>1841</v>
      </c>
    </row>
    <row r="494" spans="1:33" ht="24" customHeight="1">
      <c r="A494" s="424">
        <f t="shared" si="52"/>
        <v>320</v>
      </c>
      <c r="B494" s="412" t="s">
        <v>910</v>
      </c>
      <c r="D494" s="412" t="s">
        <v>701</v>
      </c>
      <c r="K494" s="418" t="s">
        <v>1288</v>
      </c>
      <c r="O494" s="412" t="s">
        <v>767</v>
      </c>
      <c r="W494" s="413"/>
      <c r="Y494" s="416"/>
      <c r="AA494" s="412" t="s">
        <v>2162</v>
      </c>
      <c r="AC494" s="412">
        <f t="shared" si="53"/>
        <v>8.89</v>
      </c>
      <c r="AD494" s="414" t="e">
        <f t="shared" si="54"/>
        <v>#REF!</v>
      </c>
      <c r="AE494" s="414" t="str">
        <f t="shared" si="49"/>
        <v>|</v>
      </c>
      <c r="AG494" s="412" t="s">
        <v>1841</v>
      </c>
    </row>
    <row r="495" spans="1:33" ht="24" customHeight="1">
      <c r="A495" s="424">
        <f>(A494+1)</f>
        <v>321</v>
      </c>
      <c r="B495" s="415" t="s">
        <v>3158</v>
      </c>
      <c r="D495" s="412" t="s">
        <v>701</v>
      </c>
      <c r="H495" s="412" t="s">
        <v>351</v>
      </c>
      <c r="K495" s="414" t="e">
        <f>SUM(K486:K493)</f>
        <v>#REF!</v>
      </c>
      <c r="O495" s="418" t="s">
        <v>1288</v>
      </c>
      <c r="W495" s="413"/>
      <c r="Y495" s="416"/>
      <c r="AA495" s="412" t="s">
        <v>2166</v>
      </c>
      <c r="AC495" s="412">
        <f t="shared" si="53"/>
        <v>8.89</v>
      </c>
      <c r="AD495" s="417" t="e">
        <f t="shared" si="54"/>
        <v>#REF!</v>
      </c>
      <c r="AE495" s="414" t="str">
        <f t="shared" si="49"/>
        <v>|</v>
      </c>
      <c r="AG495" s="412" t="s">
        <v>1841</v>
      </c>
    </row>
    <row r="496" spans="1:33" ht="24" customHeight="1">
      <c r="A496" s="424">
        <f>(A495+1)</f>
        <v>322</v>
      </c>
      <c r="B496" s="412" t="s">
        <v>2587</v>
      </c>
      <c r="C496" s="414">
        <v>20.3</v>
      </c>
      <c r="D496" s="412" t="s">
        <v>701</v>
      </c>
      <c r="K496" s="418" t="s">
        <v>1288</v>
      </c>
      <c r="N496" s="412" t="s">
        <v>125</v>
      </c>
      <c r="O496" s="413" t="s">
        <v>771</v>
      </c>
      <c r="W496" s="413"/>
      <c r="Y496" s="416"/>
      <c r="AA496" s="412" t="s">
        <v>2167</v>
      </c>
      <c r="AC496" s="412">
        <f t="shared" si="53"/>
        <v>8.89</v>
      </c>
      <c r="AD496" s="417" t="e">
        <f t="shared" si="54"/>
        <v>#REF!</v>
      </c>
      <c r="AE496" s="414" t="str">
        <f t="shared" si="49"/>
        <v>|</v>
      </c>
      <c r="AG496" s="412" t="s">
        <v>1841</v>
      </c>
    </row>
    <row r="497" spans="1:33" ht="24" customHeight="1">
      <c r="A497" s="424">
        <f>(A496+1)</f>
        <v>323</v>
      </c>
      <c r="B497" s="412" t="s">
        <v>598</v>
      </c>
      <c r="C497" s="414">
        <v>11.5</v>
      </c>
      <c r="D497" s="412" t="s">
        <v>701</v>
      </c>
      <c r="H497" s="420" t="s">
        <v>447</v>
      </c>
      <c r="K497" s="417" t="e">
        <f>(K495/10)</f>
        <v>#REF!</v>
      </c>
      <c r="O497" s="418" t="s">
        <v>1288</v>
      </c>
      <c r="W497" s="413"/>
      <c r="Y497" s="416"/>
      <c r="AA497" s="412" t="s">
        <v>2867</v>
      </c>
      <c r="AC497" s="412">
        <f t="shared" si="53"/>
        <v>8.89</v>
      </c>
      <c r="AD497" s="417" t="e">
        <f t="shared" si="54"/>
        <v>#REF!</v>
      </c>
      <c r="AE497" s="414" t="str">
        <f t="shared" si="49"/>
        <v>|</v>
      </c>
      <c r="AG497" s="412" t="s">
        <v>1841</v>
      </c>
    </row>
    <row r="498" spans="1:33" ht="24" hidden="1" customHeight="1">
      <c r="F498" s="412" t="s">
        <v>790</v>
      </c>
      <c r="W498" s="413"/>
      <c r="AD498" s="417" t="e">
        <f>AD497+AC497</f>
        <v>#REF!</v>
      </c>
      <c r="AE498" s="414" t="str">
        <f t="shared" si="49"/>
        <v>|</v>
      </c>
      <c r="AG498" s="412" t="s">
        <v>1841</v>
      </c>
    </row>
    <row r="499" spans="1:33" ht="24" customHeight="1">
      <c r="A499" s="424">
        <f>(A497+1)</f>
        <v>324</v>
      </c>
      <c r="B499" s="412" t="s">
        <v>2588</v>
      </c>
      <c r="C499" s="414">
        <v>28.6</v>
      </c>
      <c r="D499" s="412" t="s">
        <v>701</v>
      </c>
      <c r="K499" s="418" t="s">
        <v>1676</v>
      </c>
      <c r="M499" s="414">
        <v>30</v>
      </c>
      <c r="N499" s="412" t="s">
        <v>1443</v>
      </c>
      <c r="O499" s="412" t="s">
        <v>1358</v>
      </c>
      <c r="P499" s="414">
        <f>(C42)</f>
        <v>5</v>
      </c>
      <c r="Q499" s="412" t="s">
        <v>1443</v>
      </c>
      <c r="R499" s="414">
        <f>(M499*P499)</f>
        <v>150</v>
      </c>
      <c r="W499" s="413"/>
      <c r="AE499" s="414" t="str">
        <f t="shared" si="49"/>
        <v>|</v>
      </c>
      <c r="AG499" s="412" t="s">
        <v>1841</v>
      </c>
    </row>
    <row r="500" spans="1:33" ht="24" customHeight="1">
      <c r="A500" s="424">
        <f t="shared" ref="A500:A562" si="55">(A499+1)</f>
        <v>325</v>
      </c>
      <c r="B500" s="412" t="s">
        <v>1359</v>
      </c>
      <c r="C500" s="414">
        <v>56.74</v>
      </c>
      <c r="D500" s="412" t="s">
        <v>701</v>
      </c>
      <c r="F500" s="413"/>
      <c r="G500" s="414" t="s">
        <v>1833</v>
      </c>
      <c r="H500" s="412" t="s">
        <v>1360</v>
      </c>
      <c r="M500" s="412" t="s">
        <v>790</v>
      </c>
      <c r="O500" s="412" t="s">
        <v>1361</v>
      </c>
      <c r="P500" s="412" t="s">
        <v>790</v>
      </c>
      <c r="R500" s="412" t="s">
        <v>790</v>
      </c>
      <c r="W500" s="413"/>
      <c r="AE500" s="414" t="str">
        <f t="shared" si="49"/>
        <v>|</v>
      </c>
      <c r="AG500" s="412" t="s">
        <v>1841</v>
      </c>
    </row>
    <row r="501" spans="1:33" ht="24" customHeight="1">
      <c r="A501" s="424">
        <f t="shared" si="55"/>
        <v>326</v>
      </c>
      <c r="B501" s="412" t="s">
        <v>1362</v>
      </c>
      <c r="C501" s="414">
        <v>56.74</v>
      </c>
      <c r="D501" s="412" t="s">
        <v>701</v>
      </c>
      <c r="H501" s="412" t="s">
        <v>1849</v>
      </c>
      <c r="M501" s="414">
        <v>8</v>
      </c>
      <c r="N501" s="412" t="s">
        <v>701</v>
      </c>
      <c r="O501" s="412" t="s">
        <v>1744</v>
      </c>
      <c r="P501" s="414">
        <f>(C43)</f>
        <v>9.35</v>
      </c>
      <c r="Q501" s="412" t="s">
        <v>701</v>
      </c>
      <c r="R501" s="414">
        <f t="shared" ref="R501:R506" si="56">(M501*P501)</f>
        <v>74.8</v>
      </c>
      <c r="W501" s="413"/>
      <c r="AE501" s="414" t="str">
        <f t="shared" si="49"/>
        <v>|</v>
      </c>
      <c r="AG501" s="412" t="s">
        <v>1841</v>
      </c>
    </row>
    <row r="502" spans="1:33" ht="24" customHeight="1">
      <c r="A502" s="424">
        <f t="shared" si="55"/>
        <v>327</v>
      </c>
      <c r="B502" s="415" t="s">
        <v>3159</v>
      </c>
      <c r="D502" s="412" t="s">
        <v>790</v>
      </c>
      <c r="H502" s="418" t="s">
        <v>1288</v>
      </c>
      <c r="M502" s="414">
        <v>8</v>
      </c>
      <c r="N502" s="412" t="s">
        <v>701</v>
      </c>
      <c r="O502" s="412" t="s">
        <v>376</v>
      </c>
      <c r="P502" s="414">
        <f>(C50)</f>
        <v>13.35</v>
      </c>
      <c r="Q502" s="412" t="s">
        <v>701</v>
      </c>
      <c r="R502" s="414">
        <f t="shared" si="56"/>
        <v>106.8</v>
      </c>
      <c r="W502" s="413"/>
      <c r="AE502" s="414" t="str">
        <f t="shared" si="49"/>
        <v>|</v>
      </c>
      <c r="AG502" s="412" t="s">
        <v>1841</v>
      </c>
    </row>
    <row r="503" spans="1:33" ht="24" customHeight="1">
      <c r="A503" s="424">
        <f t="shared" si="55"/>
        <v>328</v>
      </c>
      <c r="B503" s="412" t="s">
        <v>770</v>
      </c>
      <c r="C503" s="414">
        <v>69.8</v>
      </c>
      <c r="D503" s="412" t="s">
        <v>701</v>
      </c>
      <c r="F503" s="414">
        <v>9</v>
      </c>
      <c r="G503" s="414" t="s">
        <v>702</v>
      </c>
      <c r="H503" s="412" t="s">
        <v>1363</v>
      </c>
      <c r="I503" s="414" t="e">
        <f>(C70)</f>
        <v>#REF!</v>
      </c>
      <c r="J503" s="412" t="s">
        <v>702</v>
      </c>
      <c r="K503" s="414" t="e">
        <f t="shared" ref="K503:K508" si="57">(F503*I503)</f>
        <v>#REF!</v>
      </c>
      <c r="M503" s="414">
        <v>3</v>
      </c>
      <c r="N503" s="412" t="s">
        <v>701</v>
      </c>
      <c r="O503" s="412" t="s">
        <v>1497</v>
      </c>
      <c r="P503" s="414">
        <f>(C41)</f>
        <v>738</v>
      </c>
      <c r="Q503" s="412" t="s">
        <v>701</v>
      </c>
      <c r="R503" s="414">
        <f t="shared" si="56"/>
        <v>2214</v>
      </c>
      <c r="W503" s="413"/>
      <c r="AE503" s="414" t="str">
        <f t="shared" si="49"/>
        <v>|</v>
      </c>
      <c r="AG503" s="412" t="s">
        <v>1841</v>
      </c>
    </row>
    <row r="504" spans="1:33" ht="24" customHeight="1">
      <c r="A504" s="424">
        <f t="shared" si="55"/>
        <v>329</v>
      </c>
      <c r="B504" s="412" t="s">
        <v>598</v>
      </c>
      <c r="C504" s="414">
        <v>15.6</v>
      </c>
      <c r="D504" s="412" t="s">
        <v>701</v>
      </c>
      <c r="F504" s="416">
        <v>3.2309999999999999</v>
      </c>
      <c r="G504" s="414" t="s">
        <v>694</v>
      </c>
      <c r="H504" s="412" t="s">
        <v>695</v>
      </c>
      <c r="I504" s="414" t="e">
        <f>(C67)</f>
        <v>#REF!</v>
      </c>
      <c r="J504" s="412" t="s">
        <v>694</v>
      </c>
      <c r="K504" s="414" t="e">
        <f t="shared" si="57"/>
        <v>#REF!</v>
      </c>
      <c r="M504" s="414">
        <v>1</v>
      </c>
      <c r="N504" s="412" t="s">
        <v>701</v>
      </c>
      <c r="O504" s="412" t="s">
        <v>1498</v>
      </c>
      <c r="P504" s="414">
        <f>(C10)</f>
        <v>999</v>
      </c>
      <c r="Q504" s="412" t="s">
        <v>701</v>
      </c>
      <c r="R504" s="414">
        <f t="shared" si="56"/>
        <v>999</v>
      </c>
      <c r="W504" s="413"/>
      <c r="AE504" s="414" t="str">
        <f t="shared" si="49"/>
        <v>|</v>
      </c>
      <c r="AG504" s="412" t="s">
        <v>1841</v>
      </c>
    </row>
    <row r="505" spans="1:33" ht="24" customHeight="1">
      <c r="A505" s="424">
        <f t="shared" si="55"/>
        <v>330</v>
      </c>
      <c r="B505" s="412" t="s">
        <v>1357</v>
      </c>
      <c r="C505" s="414">
        <v>75.3</v>
      </c>
      <c r="D505" s="412" t="s">
        <v>701</v>
      </c>
      <c r="F505" s="414">
        <v>4.5</v>
      </c>
      <c r="G505" s="414" t="s">
        <v>702</v>
      </c>
      <c r="H505" s="412" t="s">
        <v>703</v>
      </c>
      <c r="I505" s="414" t="e">
        <f>(C78)</f>
        <v>#REF!</v>
      </c>
      <c r="J505" s="412" t="s">
        <v>702</v>
      </c>
      <c r="K505" s="414" t="e">
        <f t="shared" si="57"/>
        <v>#REF!</v>
      </c>
      <c r="M505" s="414">
        <v>2</v>
      </c>
      <c r="N505" s="412" t="s">
        <v>701</v>
      </c>
      <c r="O505" s="412" t="s">
        <v>1550</v>
      </c>
      <c r="P505" s="414">
        <f>(C12)</f>
        <v>651</v>
      </c>
      <c r="Q505" s="412" t="s">
        <v>701</v>
      </c>
      <c r="R505" s="414">
        <f t="shared" si="56"/>
        <v>1302</v>
      </c>
      <c r="W505" s="413"/>
      <c r="AE505" s="414" t="str">
        <f t="shared" si="49"/>
        <v>|</v>
      </c>
      <c r="AG505" s="412" t="s">
        <v>1841</v>
      </c>
    </row>
    <row r="506" spans="1:33" ht="24" customHeight="1">
      <c r="A506" s="424">
        <f t="shared" si="55"/>
        <v>331</v>
      </c>
      <c r="B506" s="412" t="s">
        <v>1359</v>
      </c>
      <c r="C506" s="414">
        <v>100.3</v>
      </c>
      <c r="D506" s="412" t="s">
        <v>701</v>
      </c>
      <c r="F506" s="414">
        <v>3.5</v>
      </c>
      <c r="G506" s="414" t="s">
        <v>701</v>
      </c>
      <c r="H506" s="412" t="s">
        <v>1392</v>
      </c>
      <c r="I506" s="414">
        <f>(C11)</f>
        <v>932</v>
      </c>
      <c r="J506" s="412" t="s">
        <v>701</v>
      </c>
      <c r="K506" s="414">
        <f t="shared" si="57"/>
        <v>3262</v>
      </c>
      <c r="M506" s="414">
        <v>1</v>
      </c>
      <c r="N506" s="412" t="s">
        <v>701</v>
      </c>
      <c r="O506" s="412" t="s">
        <v>245</v>
      </c>
      <c r="P506" s="414">
        <f>(C13)</f>
        <v>534</v>
      </c>
      <c r="Q506" s="412" t="s">
        <v>701</v>
      </c>
      <c r="R506" s="414">
        <f t="shared" si="56"/>
        <v>534</v>
      </c>
      <c r="W506" s="413"/>
      <c r="AE506" s="414" t="str">
        <f t="shared" si="49"/>
        <v>|</v>
      </c>
      <c r="AG506" s="412" t="s">
        <v>1841</v>
      </c>
    </row>
    <row r="507" spans="1:33" ht="24" customHeight="1">
      <c r="A507" s="424">
        <f t="shared" si="55"/>
        <v>332</v>
      </c>
      <c r="B507" s="412" t="s">
        <v>1362</v>
      </c>
      <c r="C507" s="414">
        <v>100.3</v>
      </c>
      <c r="D507" s="412" t="s">
        <v>701</v>
      </c>
      <c r="F507" s="414">
        <v>21.2</v>
      </c>
      <c r="G507" s="414" t="s">
        <v>701</v>
      </c>
      <c r="H507" s="412" t="s">
        <v>1550</v>
      </c>
      <c r="I507" s="414">
        <f>(C12)</f>
        <v>651</v>
      </c>
      <c r="J507" s="412" t="s">
        <v>701</v>
      </c>
      <c r="K507" s="414">
        <f t="shared" si="57"/>
        <v>13801.2</v>
      </c>
      <c r="N507" s="412" t="s">
        <v>358</v>
      </c>
      <c r="O507" s="412" t="s">
        <v>1499</v>
      </c>
      <c r="P507" s="412" t="s">
        <v>790</v>
      </c>
      <c r="Q507" s="412" t="s">
        <v>358</v>
      </c>
      <c r="R507" s="414">
        <f>(C56)</f>
        <v>12.1</v>
      </c>
      <c r="W507" s="413"/>
      <c r="AE507" s="414" t="str">
        <f t="shared" si="49"/>
        <v>|</v>
      </c>
      <c r="AG507" s="412" t="s">
        <v>1841</v>
      </c>
    </row>
    <row r="508" spans="1:33" ht="24" customHeight="1">
      <c r="A508" s="424">
        <f t="shared" si="55"/>
        <v>333</v>
      </c>
      <c r="B508" s="415" t="s">
        <v>3160</v>
      </c>
      <c r="D508" s="412" t="s">
        <v>790</v>
      </c>
      <c r="F508" s="414">
        <v>35.299999999999997</v>
      </c>
      <c r="G508" s="414" t="s">
        <v>701</v>
      </c>
      <c r="H508" s="412" t="s">
        <v>245</v>
      </c>
      <c r="I508" s="414">
        <f>(C13)</f>
        <v>534</v>
      </c>
      <c r="J508" s="412" t="s">
        <v>701</v>
      </c>
      <c r="K508" s="414">
        <f t="shared" si="57"/>
        <v>18850.2</v>
      </c>
      <c r="O508" s="412" t="s">
        <v>1500</v>
      </c>
      <c r="P508" s="412" t="s">
        <v>790</v>
      </c>
      <c r="R508" s="412" t="s">
        <v>790</v>
      </c>
      <c r="W508" s="413"/>
      <c r="AE508" s="414" t="str">
        <f t="shared" si="49"/>
        <v>|</v>
      </c>
      <c r="AG508" s="412" t="s">
        <v>1841</v>
      </c>
    </row>
    <row r="509" spans="1:33" ht="24" customHeight="1">
      <c r="A509" s="424">
        <f t="shared" si="55"/>
        <v>334</v>
      </c>
      <c r="B509" s="412" t="s">
        <v>770</v>
      </c>
      <c r="C509" s="414">
        <v>40.4</v>
      </c>
      <c r="D509" s="412" t="s">
        <v>701</v>
      </c>
      <c r="G509" s="414" t="s">
        <v>358</v>
      </c>
      <c r="H509" s="412" t="s">
        <v>359</v>
      </c>
      <c r="I509" s="412" t="s">
        <v>790</v>
      </c>
      <c r="J509" s="412" t="s">
        <v>358</v>
      </c>
      <c r="K509" s="414">
        <v>0</v>
      </c>
      <c r="N509" s="412" t="s">
        <v>358</v>
      </c>
      <c r="O509" s="412" t="s">
        <v>359</v>
      </c>
      <c r="Q509" s="412" t="s">
        <v>358</v>
      </c>
      <c r="R509" s="414">
        <v>0</v>
      </c>
      <c r="W509" s="413"/>
      <c r="AE509" s="414" t="str">
        <f t="shared" si="49"/>
        <v>|</v>
      </c>
      <c r="AG509" s="412" t="s">
        <v>1841</v>
      </c>
    </row>
    <row r="510" spans="1:33" ht="24" customHeight="1">
      <c r="A510" s="424">
        <f t="shared" si="55"/>
        <v>335</v>
      </c>
      <c r="B510" s="412" t="s">
        <v>598</v>
      </c>
      <c r="C510" s="414">
        <v>47</v>
      </c>
      <c r="D510" s="412" t="s">
        <v>701</v>
      </c>
      <c r="K510" s="418" t="s">
        <v>1288</v>
      </c>
      <c r="R510" s="418" t="s">
        <v>1288</v>
      </c>
      <c r="W510" s="413"/>
      <c r="AE510" s="414" t="str">
        <f t="shared" si="49"/>
        <v>|</v>
      </c>
      <c r="AG510" s="412" t="s">
        <v>1841</v>
      </c>
    </row>
    <row r="511" spans="1:33" ht="24" customHeight="1">
      <c r="A511" s="424">
        <f t="shared" si="55"/>
        <v>336</v>
      </c>
      <c r="B511" s="412" t="s">
        <v>1357</v>
      </c>
      <c r="C511" s="414">
        <v>52</v>
      </c>
      <c r="D511" s="412" t="s">
        <v>701</v>
      </c>
      <c r="H511" s="412" t="s">
        <v>1767</v>
      </c>
      <c r="K511" s="414" t="e">
        <f>SUM(K503:K509)</f>
        <v>#REF!</v>
      </c>
      <c r="O511" s="412" t="s">
        <v>1501</v>
      </c>
      <c r="R511" s="414">
        <f>SUM(R499:R509)</f>
        <v>5392.7</v>
      </c>
      <c r="W511" s="413"/>
      <c r="AE511" s="414" t="str">
        <f t="shared" si="49"/>
        <v>|</v>
      </c>
      <c r="AG511" s="412" t="s">
        <v>1841</v>
      </c>
    </row>
    <row r="512" spans="1:33" ht="24" customHeight="1">
      <c r="A512" s="424">
        <f t="shared" si="55"/>
        <v>337</v>
      </c>
      <c r="B512" s="412" t="s">
        <v>1502</v>
      </c>
      <c r="C512" s="414">
        <v>36.61</v>
      </c>
      <c r="D512" s="412" t="s">
        <v>701</v>
      </c>
      <c r="K512" s="418" t="s">
        <v>1288</v>
      </c>
      <c r="R512" s="418" t="s">
        <v>1288</v>
      </c>
      <c r="W512" s="413"/>
      <c r="AE512" s="414" t="str">
        <f t="shared" si="49"/>
        <v>|</v>
      </c>
      <c r="AG512" s="412" t="s">
        <v>1841</v>
      </c>
    </row>
    <row r="513" spans="1:37" ht="24" customHeight="1">
      <c r="A513" s="424">
        <f t="shared" si="55"/>
        <v>338</v>
      </c>
      <c r="B513" s="412" t="s">
        <v>1359</v>
      </c>
      <c r="C513" s="414">
        <v>78.709999999999994</v>
      </c>
      <c r="D513" s="412" t="s">
        <v>701</v>
      </c>
      <c r="H513" s="412" t="s">
        <v>621</v>
      </c>
      <c r="K513" s="414" t="e">
        <f>(K511/10)+0.01</f>
        <v>#REF!</v>
      </c>
      <c r="O513" s="412" t="s">
        <v>1253</v>
      </c>
      <c r="R513" s="414">
        <f>(R511/30)</f>
        <v>179.76</v>
      </c>
      <c r="W513" s="413"/>
      <c r="AE513" s="414" t="str">
        <f t="shared" si="49"/>
        <v>|</v>
      </c>
      <c r="AG513" s="412" t="s">
        <v>1841</v>
      </c>
    </row>
    <row r="514" spans="1:37" ht="24" customHeight="1">
      <c r="A514" s="424">
        <f t="shared" si="55"/>
        <v>339</v>
      </c>
      <c r="B514" s="412" t="s">
        <v>1362</v>
      </c>
      <c r="C514" s="414">
        <v>78.709999999999994</v>
      </c>
      <c r="D514" s="412" t="s">
        <v>701</v>
      </c>
      <c r="R514" s="418" t="s">
        <v>1288</v>
      </c>
      <c r="W514" s="413"/>
      <c r="AE514" s="414">
        <f t="shared" si="49"/>
        <v>0</v>
      </c>
    </row>
    <row r="515" spans="1:37" ht="24" customHeight="1">
      <c r="A515" s="424">
        <f t="shared" si="55"/>
        <v>340</v>
      </c>
      <c r="B515" s="412" t="s">
        <v>1503</v>
      </c>
      <c r="D515" s="412" t="s">
        <v>175</v>
      </c>
      <c r="F515" s="414">
        <v>1</v>
      </c>
      <c r="G515" s="414" t="s">
        <v>702</v>
      </c>
      <c r="H515" s="412" t="s">
        <v>33</v>
      </c>
      <c r="K515" s="414">
        <f>C25</f>
        <v>94.2</v>
      </c>
      <c r="N515" s="412" t="s">
        <v>1261</v>
      </c>
      <c r="O515" s="413" t="s">
        <v>176</v>
      </c>
      <c r="W515" s="413"/>
      <c r="AE515" s="414" t="str">
        <f t="shared" si="49"/>
        <v>|</v>
      </c>
      <c r="AG515" s="412" t="s">
        <v>1841</v>
      </c>
    </row>
    <row r="516" spans="1:37" ht="24" customHeight="1">
      <c r="A516" s="424">
        <f t="shared" si="55"/>
        <v>341</v>
      </c>
      <c r="B516" s="412" t="s">
        <v>2589</v>
      </c>
      <c r="C516" s="414">
        <v>20.55</v>
      </c>
      <c r="D516" s="412" t="s">
        <v>1443</v>
      </c>
      <c r="K516" s="418" t="s">
        <v>1288</v>
      </c>
      <c r="O516" s="418" t="s">
        <v>1288</v>
      </c>
      <c r="W516" s="413"/>
      <c r="AE516" s="414" t="str">
        <f t="shared" si="49"/>
        <v>|</v>
      </c>
      <c r="AG516" s="412" t="s">
        <v>1841</v>
      </c>
    </row>
    <row r="517" spans="1:37" ht="24" customHeight="1">
      <c r="A517" s="424">
        <f t="shared" si="55"/>
        <v>342</v>
      </c>
      <c r="B517" s="412" t="s">
        <v>1982</v>
      </c>
      <c r="C517" s="414">
        <v>26</v>
      </c>
      <c r="D517" s="412" t="s">
        <v>1443</v>
      </c>
      <c r="E517" s="414">
        <v>98.6</v>
      </c>
      <c r="H517" s="412" t="s">
        <v>1009</v>
      </c>
      <c r="K517" s="414" t="e">
        <f>SUM(K513:K515)</f>
        <v>#REF!</v>
      </c>
      <c r="M517" s="414">
        <v>30</v>
      </c>
      <c r="N517" s="412" t="s">
        <v>1443</v>
      </c>
      <c r="O517" s="412" t="s">
        <v>1358</v>
      </c>
      <c r="P517" s="414">
        <f>(C42)</f>
        <v>5</v>
      </c>
      <c r="Q517" s="412" t="s">
        <v>1443</v>
      </c>
      <c r="R517" s="414">
        <f>(M517*P517)</f>
        <v>150</v>
      </c>
      <c r="W517" s="413"/>
      <c r="AE517" s="414" t="str">
        <f t="shared" si="49"/>
        <v>|</v>
      </c>
      <c r="AG517" s="412" t="s">
        <v>1841</v>
      </c>
    </row>
    <row r="518" spans="1:37" ht="24" customHeight="1">
      <c r="A518" s="424">
        <f t="shared" si="55"/>
        <v>343</v>
      </c>
      <c r="B518" s="412" t="s">
        <v>1010</v>
      </c>
      <c r="C518" s="414">
        <v>35</v>
      </c>
      <c r="D518" s="412" t="s">
        <v>1443</v>
      </c>
      <c r="K518" s="418" t="s">
        <v>1288</v>
      </c>
      <c r="M518" s="412" t="s">
        <v>790</v>
      </c>
      <c r="O518" s="412" t="s">
        <v>1361</v>
      </c>
      <c r="P518" s="412" t="s">
        <v>790</v>
      </c>
      <c r="R518" s="412" t="s">
        <v>790</v>
      </c>
      <c r="W518" s="413"/>
      <c r="AE518" s="414" t="str">
        <f t="shared" si="49"/>
        <v>|</v>
      </c>
      <c r="AG518" s="412" t="s">
        <v>1841</v>
      </c>
    </row>
    <row r="519" spans="1:37" ht="24" customHeight="1">
      <c r="A519" s="424">
        <f t="shared" si="55"/>
        <v>344</v>
      </c>
      <c r="B519" s="412" t="s">
        <v>1011</v>
      </c>
      <c r="C519" s="414">
        <v>52</v>
      </c>
      <c r="D519" s="412" t="s">
        <v>1443</v>
      </c>
      <c r="G519" s="414" t="s">
        <v>1012</v>
      </c>
      <c r="H519" s="412" t="s">
        <v>307</v>
      </c>
      <c r="K519" s="414" t="e">
        <f>(K517+C22)</f>
        <v>#REF!</v>
      </c>
      <c r="L519" s="414" t="e">
        <f>K519-K517</f>
        <v>#REF!</v>
      </c>
      <c r="M519" s="414">
        <v>8</v>
      </c>
      <c r="N519" s="412" t="s">
        <v>701</v>
      </c>
      <c r="O519" s="412" t="s">
        <v>1744</v>
      </c>
      <c r="P519" s="414">
        <f>(C44)</f>
        <v>9.35</v>
      </c>
      <c r="Q519" s="412" t="s">
        <v>701</v>
      </c>
      <c r="R519" s="414">
        <f t="shared" ref="R519:R524" si="58">(M519*P519)</f>
        <v>74.8</v>
      </c>
      <c r="W519" s="413"/>
      <c r="AE519" s="414" t="str">
        <f t="shared" si="49"/>
        <v>|</v>
      </c>
      <c r="AG519" s="412" t="s">
        <v>1841</v>
      </c>
    </row>
    <row r="520" spans="1:37" ht="24" customHeight="1">
      <c r="A520" s="424">
        <f t="shared" si="55"/>
        <v>345</v>
      </c>
      <c r="B520" s="412" t="s">
        <v>1013</v>
      </c>
      <c r="C520" s="414">
        <v>65</v>
      </c>
      <c r="D520" s="414">
        <v>21</v>
      </c>
      <c r="G520" s="414" t="s">
        <v>1014</v>
      </c>
      <c r="H520" s="412" t="s">
        <v>309</v>
      </c>
      <c r="K520" s="414" t="e">
        <f>(K519+C23)</f>
        <v>#REF!</v>
      </c>
      <c r="M520" s="414">
        <v>8</v>
      </c>
      <c r="N520" s="412" t="s">
        <v>701</v>
      </c>
      <c r="O520" s="412" t="s">
        <v>376</v>
      </c>
      <c r="P520" s="414">
        <f>(C51)</f>
        <v>13.5</v>
      </c>
      <c r="Q520" s="412" t="s">
        <v>701</v>
      </c>
      <c r="R520" s="414">
        <f t="shared" si="58"/>
        <v>108</v>
      </c>
      <c r="W520" s="413"/>
      <c r="AE520" s="414" t="str">
        <f t="shared" si="49"/>
        <v>|</v>
      </c>
      <c r="AG520" s="412" t="s">
        <v>1841</v>
      </c>
    </row>
    <row r="521" spans="1:37" ht="24" customHeight="1">
      <c r="A521" s="424">
        <f t="shared" si="55"/>
        <v>346</v>
      </c>
      <c r="B521" s="412" t="s">
        <v>297</v>
      </c>
      <c r="C521" s="414">
        <v>82</v>
      </c>
      <c r="D521" s="414">
        <v>37.15</v>
      </c>
      <c r="G521" s="414" t="s">
        <v>337</v>
      </c>
      <c r="H521" s="412" t="s">
        <v>1818</v>
      </c>
      <c r="K521" s="414" t="e">
        <f>(K520+C24)</f>
        <v>#REF!</v>
      </c>
      <c r="M521" s="414">
        <v>3</v>
      </c>
      <c r="N521" s="412" t="s">
        <v>701</v>
      </c>
      <c r="O521" s="412" t="s">
        <v>1497</v>
      </c>
      <c r="P521" s="414">
        <f>(C41)</f>
        <v>738</v>
      </c>
      <c r="Q521" s="412" t="s">
        <v>701</v>
      </c>
      <c r="R521" s="414">
        <f t="shared" si="58"/>
        <v>2214</v>
      </c>
      <c r="W521" s="413"/>
      <c r="AE521" s="414" t="str">
        <f t="shared" si="49"/>
        <v>|</v>
      </c>
      <c r="AG521" s="412" t="s">
        <v>1841</v>
      </c>
    </row>
    <row r="522" spans="1:37" ht="24" customHeight="1">
      <c r="A522" s="424">
        <f t="shared" si="55"/>
        <v>347</v>
      </c>
      <c r="B522" s="412" t="s">
        <v>804</v>
      </c>
      <c r="D522" s="412" t="s">
        <v>790</v>
      </c>
      <c r="G522" s="414" t="s">
        <v>805</v>
      </c>
      <c r="H522" s="412" t="s">
        <v>301</v>
      </c>
      <c r="K522" s="414" t="e">
        <f>(K521+C24)</f>
        <v>#REF!</v>
      </c>
      <c r="M522" s="414">
        <v>1</v>
      </c>
      <c r="N522" s="412" t="s">
        <v>701</v>
      </c>
      <c r="O522" s="412" t="s">
        <v>1498</v>
      </c>
      <c r="P522" s="414">
        <f>(C10)</f>
        <v>999</v>
      </c>
      <c r="Q522" s="412" t="s">
        <v>701</v>
      </c>
      <c r="R522" s="414">
        <f t="shared" si="58"/>
        <v>999</v>
      </c>
      <c r="W522" s="413"/>
      <c r="AE522" s="414" t="str">
        <f t="shared" si="49"/>
        <v>|::</v>
      </c>
      <c r="AG522" s="412" t="s">
        <v>246</v>
      </c>
    </row>
    <row r="523" spans="1:37" ht="24" customHeight="1">
      <c r="A523" s="424">
        <f t="shared" si="55"/>
        <v>348</v>
      </c>
      <c r="B523" s="412" t="s">
        <v>904</v>
      </c>
      <c r="C523" s="414">
        <v>4.1900000000000004</v>
      </c>
      <c r="D523" s="412" t="s">
        <v>701</v>
      </c>
      <c r="M523" s="414">
        <v>2</v>
      </c>
      <c r="N523" s="412" t="s">
        <v>701</v>
      </c>
      <c r="O523" s="412" t="s">
        <v>1550</v>
      </c>
      <c r="P523" s="414">
        <f>(C12)</f>
        <v>651</v>
      </c>
      <c r="Q523" s="412" t="s">
        <v>701</v>
      </c>
      <c r="R523" s="414">
        <f t="shared" si="58"/>
        <v>1302</v>
      </c>
      <c r="W523" s="413"/>
      <c r="AE523" s="414">
        <f t="shared" si="49"/>
        <v>0</v>
      </c>
    </row>
    <row r="524" spans="1:37" ht="24" customHeight="1">
      <c r="A524" s="424">
        <f t="shared" si="55"/>
        <v>349</v>
      </c>
      <c r="B524" s="412" t="s">
        <v>905</v>
      </c>
      <c r="C524" s="414">
        <v>5</v>
      </c>
      <c r="D524" s="412" t="s">
        <v>701</v>
      </c>
      <c r="F524" s="413" t="s">
        <v>806</v>
      </c>
      <c r="G524" s="414" t="s">
        <v>1833</v>
      </c>
      <c r="H524" s="412" t="s">
        <v>807</v>
      </c>
      <c r="M524" s="414">
        <v>1</v>
      </c>
      <c r="N524" s="412" t="s">
        <v>701</v>
      </c>
      <c r="O524" s="412" t="s">
        <v>245</v>
      </c>
      <c r="P524" s="414">
        <f>(C13)</f>
        <v>534</v>
      </c>
      <c r="Q524" s="412" t="s">
        <v>701</v>
      </c>
      <c r="R524" s="414">
        <f t="shared" si="58"/>
        <v>534</v>
      </c>
      <c r="W524" s="413"/>
      <c r="AE524" s="414">
        <f t="shared" si="49"/>
        <v>0</v>
      </c>
    </row>
    <row r="525" spans="1:37" ht="24" customHeight="1">
      <c r="A525" s="424">
        <f t="shared" si="55"/>
        <v>350</v>
      </c>
      <c r="B525" s="412" t="s">
        <v>906</v>
      </c>
      <c r="C525" s="414">
        <v>8.06</v>
      </c>
      <c r="D525" s="412" t="s">
        <v>701</v>
      </c>
      <c r="H525" s="418" t="s">
        <v>1288</v>
      </c>
      <c r="N525" s="412" t="s">
        <v>358</v>
      </c>
      <c r="O525" s="412" t="s">
        <v>1499</v>
      </c>
      <c r="P525" s="412" t="s">
        <v>790</v>
      </c>
      <c r="Q525" s="412" t="s">
        <v>358</v>
      </c>
      <c r="R525" s="414">
        <f>(C56)</f>
        <v>12.1</v>
      </c>
      <c r="U525" s="417" t="s">
        <v>2410</v>
      </c>
      <c r="W525" s="413"/>
      <c r="AA525" s="417" t="s">
        <v>2529</v>
      </c>
      <c r="AE525" s="414">
        <f t="shared" ref="AE525:AE596" si="59">AG525</f>
        <v>0</v>
      </c>
      <c r="AH525" s="417" t="s">
        <v>2894</v>
      </c>
    </row>
    <row r="526" spans="1:37" ht="24" customHeight="1">
      <c r="A526" s="424">
        <f t="shared" si="55"/>
        <v>351</v>
      </c>
      <c r="B526" s="412" t="s">
        <v>907</v>
      </c>
      <c r="C526" s="414">
        <v>11.86</v>
      </c>
      <c r="D526" s="412" t="s">
        <v>701</v>
      </c>
      <c r="F526" s="416">
        <v>1.4999999999999999E-2</v>
      </c>
      <c r="G526" s="414" t="s">
        <v>702</v>
      </c>
      <c r="H526" s="412" t="s">
        <v>808</v>
      </c>
      <c r="I526" s="414" t="e">
        <f>(K513)</f>
        <v>#REF!</v>
      </c>
      <c r="J526" s="412" t="s">
        <v>702</v>
      </c>
      <c r="K526" s="414" t="e">
        <f>(F526*I526)</f>
        <v>#REF!</v>
      </c>
      <c r="O526" s="412" t="s">
        <v>1500</v>
      </c>
      <c r="P526" s="412" t="s">
        <v>790</v>
      </c>
      <c r="R526" s="412" t="s">
        <v>790</v>
      </c>
      <c r="S526" s="413" t="s">
        <v>806</v>
      </c>
      <c r="T526" s="414" t="s">
        <v>1833</v>
      </c>
      <c r="U526" s="412" t="s">
        <v>4306</v>
      </c>
      <c r="W526" s="413"/>
      <c r="Y526" s="413" t="s">
        <v>806</v>
      </c>
      <c r="Z526" s="414" t="s">
        <v>1833</v>
      </c>
      <c r="AA526" s="412" t="s">
        <v>4307</v>
      </c>
      <c r="AC526" s="412"/>
      <c r="AE526" s="414" t="str">
        <f t="shared" si="59"/>
        <v>*</v>
      </c>
      <c r="AF526" s="413" t="s">
        <v>806</v>
      </c>
      <c r="AG526" s="414" t="s">
        <v>1833</v>
      </c>
      <c r="AH526" s="412" t="s">
        <v>4308</v>
      </c>
      <c r="AJ526" s="412"/>
    </row>
    <row r="527" spans="1:37" ht="24" customHeight="1">
      <c r="A527" s="424">
        <f t="shared" si="55"/>
        <v>352</v>
      </c>
      <c r="B527" s="412" t="s">
        <v>909</v>
      </c>
      <c r="C527" s="414">
        <v>18.88</v>
      </c>
      <c r="D527" s="412" t="s">
        <v>701</v>
      </c>
      <c r="F527" s="414">
        <v>0.5</v>
      </c>
      <c r="G527" s="414" t="s">
        <v>619</v>
      </c>
      <c r="H527" s="412" t="s">
        <v>1637</v>
      </c>
      <c r="I527" s="414">
        <f>(C10)</f>
        <v>999</v>
      </c>
      <c r="J527" s="412" t="s">
        <v>619</v>
      </c>
      <c r="K527" s="414">
        <f>(F527*I527)</f>
        <v>499.5</v>
      </c>
      <c r="N527" s="412" t="s">
        <v>358</v>
      </c>
      <c r="O527" s="412" t="s">
        <v>359</v>
      </c>
      <c r="Q527" s="412" t="s">
        <v>358</v>
      </c>
      <c r="R527" s="414">
        <v>0</v>
      </c>
      <c r="S527" s="414"/>
      <c r="U527" s="418" t="s">
        <v>1288</v>
      </c>
      <c r="W527" s="413"/>
      <c r="AA527" s="418" t="s">
        <v>1288</v>
      </c>
      <c r="AC527" s="412"/>
      <c r="AE527" s="414">
        <f t="shared" si="59"/>
        <v>0</v>
      </c>
      <c r="AH527" s="418" t="s">
        <v>1288</v>
      </c>
      <c r="AJ527" s="412"/>
    </row>
    <row r="528" spans="1:37" ht="24" customHeight="1">
      <c r="A528" s="424">
        <f t="shared" si="55"/>
        <v>353</v>
      </c>
      <c r="B528" s="412" t="s">
        <v>186</v>
      </c>
      <c r="C528" s="414">
        <v>26</v>
      </c>
      <c r="D528" s="412" t="s">
        <v>701</v>
      </c>
      <c r="F528" s="414">
        <v>0.75</v>
      </c>
      <c r="G528" s="414" t="s">
        <v>619</v>
      </c>
      <c r="H528" s="412" t="s">
        <v>1550</v>
      </c>
      <c r="I528" s="414">
        <f>(C12)</f>
        <v>651</v>
      </c>
      <c r="J528" s="412" t="s">
        <v>619</v>
      </c>
      <c r="K528" s="414">
        <f>(F528*I528)</f>
        <v>488.25</v>
      </c>
      <c r="R528" s="418" t="s">
        <v>1288</v>
      </c>
      <c r="S528" s="416">
        <v>1.4999999999999999E-2</v>
      </c>
      <c r="T528" s="414" t="s">
        <v>702</v>
      </c>
      <c r="U528" s="412" t="s">
        <v>808</v>
      </c>
      <c r="V528" s="414" t="e">
        <f>X657</f>
        <v>#REF!</v>
      </c>
      <c r="W528" s="413" t="s">
        <v>702</v>
      </c>
      <c r="X528" s="414" t="e">
        <f>(S528*V528)</f>
        <v>#REF!</v>
      </c>
      <c r="Y528" s="416">
        <v>1.4999999999999999E-2</v>
      </c>
      <c r="Z528" s="414" t="s">
        <v>702</v>
      </c>
      <c r="AA528" s="412" t="s">
        <v>808</v>
      </c>
      <c r="AB528" s="414" t="e">
        <f>AF657</f>
        <v>#REF!</v>
      </c>
      <c r="AC528" s="412" t="s">
        <v>702</v>
      </c>
      <c r="AD528" s="414" t="e">
        <f>(Y528*AB528)</f>
        <v>#REF!</v>
      </c>
      <c r="AE528" s="414" t="str">
        <f t="shared" si="59"/>
        <v>CUM</v>
      </c>
      <c r="AF528" s="416">
        <v>1.4999999999999999E-2</v>
      </c>
      <c r="AG528" s="414" t="s">
        <v>702</v>
      </c>
      <c r="AH528" s="412" t="s">
        <v>808</v>
      </c>
      <c r="AI528" s="414" t="e">
        <f>Y742</f>
        <v>#REF!</v>
      </c>
      <c r="AJ528" s="412" t="s">
        <v>702</v>
      </c>
      <c r="AK528" s="414" t="e">
        <f>(AF528*AI528)</f>
        <v>#REF!</v>
      </c>
    </row>
    <row r="529" spans="1:37" ht="24" customHeight="1">
      <c r="A529" s="424">
        <f t="shared" si="55"/>
        <v>354</v>
      </c>
      <c r="B529" s="412" t="s">
        <v>546</v>
      </c>
      <c r="D529" s="412" t="s">
        <v>790</v>
      </c>
      <c r="G529" s="414" t="s">
        <v>358</v>
      </c>
      <c r="H529" s="412" t="s">
        <v>359</v>
      </c>
      <c r="J529" s="412" t="s">
        <v>358</v>
      </c>
      <c r="K529" s="414">
        <v>0</v>
      </c>
      <c r="O529" s="412" t="s">
        <v>1501</v>
      </c>
      <c r="R529" s="414">
        <f>SUM(R517:R527)</f>
        <v>5393.9</v>
      </c>
      <c r="S529" s="414">
        <v>0.5</v>
      </c>
      <c r="T529" s="414" t="s">
        <v>619</v>
      </c>
      <c r="U529" s="412" t="s">
        <v>1637</v>
      </c>
      <c r="V529" s="414">
        <f>C10</f>
        <v>999</v>
      </c>
      <c r="W529" s="413" t="s">
        <v>619</v>
      </c>
      <c r="X529" s="414">
        <f>(S529*V529)</f>
        <v>499.5</v>
      </c>
      <c r="Y529" s="414">
        <v>0.5</v>
      </c>
      <c r="Z529" s="414" t="s">
        <v>619</v>
      </c>
      <c r="AA529" s="412" t="s">
        <v>1637</v>
      </c>
      <c r="AB529" s="414">
        <f>V529</f>
        <v>999</v>
      </c>
      <c r="AC529" s="412" t="s">
        <v>619</v>
      </c>
      <c r="AD529" s="414">
        <f>(Y529*AB529)</f>
        <v>499.5</v>
      </c>
      <c r="AE529" s="414" t="str">
        <f t="shared" si="59"/>
        <v>NO</v>
      </c>
      <c r="AF529" s="414">
        <v>0.5</v>
      </c>
      <c r="AG529" s="414" t="s">
        <v>619</v>
      </c>
      <c r="AH529" s="412" t="s">
        <v>1637</v>
      </c>
      <c r="AI529" s="414">
        <f>AB529</f>
        <v>999</v>
      </c>
      <c r="AJ529" s="412" t="s">
        <v>619</v>
      </c>
      <c r="AK529" s="414">
        <f>(AF529*AI529)</f>
        <v>499.5</v>
      </c>
    </row>
    <row r="530" spans="1:37" ht="24" customHeight="1">
      <c r="A530" s="424">
        <f t="shared" si="55"/>
        <v>355</v>
      </c>
      <c r="B530" s="412" t="s">
        <v>904</v>
      </c>
      <c r="C530" s="414">
        <v>4.62</v>
      </c>
      <c r="D530" s="412" t="s">
        <v>701</v>
      </c>
      <c r="K530" s="418" t="s">
        <v>1288</v>
      </c>
      <c r="R530" s="418" t="s">
        <v>1288</v>
      </c>
      <c r="S530" s="414">
        <v>0.75</v>
      </c>
      <c r="T530" s="414" t="s">
        <v>619</v>
      </c>
      <c r="U530" s="412" t="s">
        <v>1550</v>
      </c>
      <c r="V530" s="414">
        <f>C12</f>
        <v>651</v>
      </c>
      <c r="W530" s="413" t="s">
        <v>619</v>
      </c>
      <c r="X530" s="414">
        <f>(S530*V530)</f>
        <v>488.25</v>
      </c>
      <c r="Y530" s="414">
        <v>0.75</v>
      </c>
      <c r="Z530" s="414" t="s">
        <v>619</v>
      </c>
      <c r="AA530" s="412" t="s">
        <v>1550</v>
      </c>
      <c r="AB530" s="414">
        <f>V530</f>
        <v>651</v>
      </c>
      <c r="AC530" s="412" t="s">
        <v>619</v>
      </c>
      <c r="AD530" s="414">
        <f>(Y530*AB530)</f>
        <v>488.25</v>
      </c>
      <c r="AE530" s="414" t="str">
        <f t="shared" si="59"/>
        <v>NO</v>
      </c>
      <c r="AF530" s="414">
        <v>0.75</v>
      </c>
      <c r="AG530" s="414" t="s">
        <v>619</v>
      </c>
      <c r="AH530" s="412" t="s">
        <v>1550</v>
      </c>
      <c r="AI530" s="414">
        <f>AB530</f>
        <v>651</v>
      </c>
      <c r="AJ530" s="412" t="s">
        <v>619</v>
      </c>
      <c r="AK530" s="414">
        <f>(AF530*AI530)</f>
        <v>488.25</v>
      </c>
    </row>
    <row r="531" spans="1:37" ht="24" customHeight="1">
      <c r="A531" s="424">
        <f t="shared" si="55"/>
        <v>356</v>
      </c>
      <c r="B531" s="412" t="s">
        <v>905</v>
      </c>
      <c r="C531" s="414">
        <v>7.83</v>
      </c>
      <c r="D531" s="412" t="s">
        <v>701</v>
      </c>
      <c r="H531" s="412" t="s">
        <v>1425</v>
      </c>
      <c r="K531" s="414" t="e">
        <f>SUM(K526:K529)</f>
        <v>#REF!</v>
      </c>
      <c r="O531" s="412" t="s">
        <v>1253</v>
      </c>
      <c r="R531" s="414">
        <f>(R529/30)</f>
        <v>179.8</v>
      </c>
      <c r="S531" s="414"/>
      <c r="T531" s="414" t="s">
        <v>358</v>
      </c>
      <c r="U531" s="412" t="s">
        <v>359</v>
      </c>
      <c r="W531" s="413" t="s">
        <v>358</v>
      </c>
      <c r="X531" s="414">
        <v>0</v>
      </c>
      <c r="Z531" s="414" t="s">
        <v>358</v>
      </c>
      <c r="AA531" s="412" t="s">
        <v>359</v>
      </c>
      <c r="AB531" s="414">
        <f>V531</f>
        <v>0</v>
      </c>
      <c r="AC531" s="412" t="s">
        <v>358</v>
      </c>
      <c r="AD531" s="414">
        <v>0</v>
      </c>
      <c r="AE531" s="414" t="str">
        <f t="shared" si="59"/>
        <v>L.S</v>
      </c>
      <c r="AG531" s="414" t="s">
        <v>358</v>
      </c>
      <c r="AH531" s="412" t="s">
        <v>359</v>
      </c>
      <c r="AI531" s="414">
        <f>AB531</f>
        <v>0</v>
      </c>
      <c r="AJ531" s="412" t="s">
        <v>358</v>
      </c>
      <c r="AK531" s="414">
        <v>0</v>
      </c>
    </row>
    <row r="532" spans="1:37" ht="24" customHeight="1">
      <c r="A532" s="424">
        <f t="shared" si="55"/>
        <v>357</v>
      </c>
      <c r="B532" s="412" t="s">
        <v>906</v>
      </c>
      <c r="C532" s="414">
        <v>11.38</v>
      </c>
      <c r="D532" s="412" t="s">
        <v>701</v>
      </c>
      <c r="K532" s="418" t="s">
        <v>1288</v>
      </c>
      <c r="R532" s="418" t="s">
        <v>1288</v>
      </c>
      <c r="S532" s="414"/>
      <c r="W532" s="413"/>
      <c r="X532" s="418" t="s">
        <v>1288</v>
      </c>
      <c r="AC532" s="412"/>
      <c r="AD532" s="418" t="s">
        <v>1288</v>
      </c>
      <c r="AE532" s="414">
        <f t="shared" si="59"/>
        <v>0</v>
      </c>
      <c r="AJ532" s="412"/>
      <c r="AK532" s="418" t="s">
        <v>1288</v>
      </c>
    </row>
    <row r="533" spans="1:37" ht="24" customHeight="1">
      <c r="A533" s="424">
        <f t="shared" si="55"/>
        <v>358</v>
      </c>
      <c r="B533" s="412" t="s">
        <v>907</v>
      </c>
      <c r="C533" s="414">
        <v>18.75</v>
      </c>
      <c r="D533" s="412" t="s">
        <v>701</v>
      </c>
      <c r="H533" s="412" t="s">
        <v>447</v>
      </c>
      <c r="K533" s="414" t="e">
        <f>(K531/0.743)</f>
        <v>#REF!</v>
      </c>
      <c r="S533" s="414"/>
      <c r="U533" s="412" t="s">
        <v>1425</v>
      </c>
      <c r="W533" s="413"/>
      <c r="X533" s="414" t="e">
        <f>SUM(X528:X531)</f>
        <v>#REF!</v>
      </c>
      <c r="AA533" s="412" t="s">
        <v>1425</v>
      </c>
      <c r="AC533" s="412"/>
      <c r="AD533" s="414" t="e">
        <f>SUM(AD528:AD531)</f>
        <v>#REF!</v>
      </c>
      <c r="AE533" s="414">
        <f t="shared" si="59"/>
        <v>0</v>
      </c>
      <c r="AH533" s="412" t="s">
        <v>1425</v>
      </c>
      <c r="AJ533" s="412"/>
      <c r="AK533" s="414" t="e">
        <f>SUM(AK528:AK531)</f>
        <v>#REF!</v>
      </c>
    </row>
    <row r="534" spans="1:37" ht="24" customHeight="1">
      <c r="A534" s="424">
        <f t="shared" si="55"/>
        <v>359</v>
      </c>
      <c r="B534" s="412" t="s">
        <v>909</v>
      </c>
      <c r="C534" s="414">
        <v>35.1</v>
      </c>
      <c r="D534" s="412" t="s">
        <v>701</v>
      </c>
      <c r="K534" s="418" t="s">
        <v>1676</v>
      </c>
      <c r="S534" s="414"/>
      <c r="W534" s="413"/>
      <c r="X534" s="418" t="s">
        <v>1288</v>
      </c>
      <c r="AC534" s="412"/>
      <c r="AD534" s="418" t="s">
        <v>1288</v>
      </c>
      <c r="AE534" s="414">
        <f t="shared" si="59"/>
        <v>0</v>
      </c>
      <c r="AJ534" s="412"/>
      <c r="AK534" s="418" t="s">
        <v>1288</v>
      </c>
    </row>
    <row r="535" spans="1:37" ht="24" customHeight="1">
      <c r="A535" s="424">
        <f t="shared" si="55"/>
        <v>360</v>
      </c>
      <c r="B535" s="412" t="s">
        <v>186</v>
      </c>
      <c r="C535" s="414">
        <v>45.57</v>
      </c>
      <c r="D535" s="412" t="s">
        <v>701</v>
      </c>
      <c r="H535" s="412" t="s">
        <v>307</v>
      </c>
      <c r="I535" s="414" t="e">
        <f>K533</f>
        <v>#REF!</v>
      </c>
      <c r="J535" s="412">
        <f>C22*0.015/0.743</f>
        <v>2.42</v>
      </c>
      <c r="K535" s="417" t="e">
        <f>I535+J535</f>
        <v>#REF!</v>
      </c>
      <c r="N535" s="412" t="s">
        <v>1590</v>
      </c>
      <c r="O535" s="413" t="s">
        <v>1036</v>
      </c>
      <c r="S535" s="414"/>
      <c r="U535" s="412" t="s">
        <v>447</v>
      </c>
      <c r="W535" s="413"/>
      <c r="X535" s="414" t="e">
        <f>(X533/0.743)</f>
        <v>#REF!</v>
      </c>
      <c r="AA535" s="412" t="s">
        <v>447</v>
      </c>
      <c r="AC535" s="412"/>
      <c r="AD535" s="414" t="e">
        <f>(AD533/0.743)</f>
        <v>#REF!</v>
      </c>
      <c r="AE535" s="414">
        <f t="shared" si="59"/>
        <v>0</v>
      </c>
      <c r="AH535" s="412" t="s">
        <v>447</v>
      </c>
      <c r="AJ535" s="412"/>
      <c r="AK535" s="414" t="e">
        <f>(AK533/0.743)</f>
        <v>#REF!</v>
      </c>
    </row>
    <row r="536" spans="1:37" ht="24" customHeight="1">
      <c r="A536" s="424">
        <f t="shared" si="55"/>
        <v>361</v>
      </c>
      <c r="B536" s="412" t="s">
        <v>916</v>
      </c>
      <c r="D536" s="412" t="s">
        <v>790</v>
      </c>
      <c r="H536" s="412" t="s">
        <v>309</v>
      </c>
      <c r="I536" s="414" t="e">
        <f>K535</f>
        <v>#REF!</v>
      </c>
      <c r="J536" s="412">
        <f>C23*0.015/0.743</f>
        <v>4.7699999999999996</v>
      </c>
      <c r="K536" s="417" t="e">
        <f>I536+J536</f>
        <v>#REF!</v>
      </c>
      <c r="O536" s="418" t="s">
        <v>1288</v>
      </c>
      <c r="S536" s="414"/>
      <c r="W536" s="413"/>
      <c r="X536" s="418" t="s">
        <v>1676</v>
      </c>
      <c r="AC536" s="412"/>
      <c r="AD536" s="418" t="s">
        <v>1676</v>
      </c>
      <c r="AE536" s="414">
        <f t="shared" si="59"/>
        <v>0</v>
      </c>
      <c r="AJ536" s="412"/>
      <c r="AK536" s="418" t="s">
        <v>1676</v>
      </c>
    </row>
    <row r="537" spans="1:37" ht="24" customHeight="1">
      <c r="A537" s="424">
        <f t="shared" si="55"/>
        <v>362</v>
      </c>
      <c r="B537" s="412" t="s">
        <v>904</v>
      </c>
      <c r="C537" s="414">
        <v>7.8</v>
      </c>
      <c r="D537" s="412" t="s">
        <v>701</v>
      </c>
      <c r="H537" s="412" t="s">
        <v>1818</v>
      </c>
      <c r="I537" s="414" t="e">
        <f>K536</f>
        <v>#REF!</v>
      </c>
      <c r="J537" s="412">
        <f>J536</f>
        <v>4.7699999999999996</v>
      </c>
      <c r="K537" s="417" t="e">
        <f>I537+J537</f>
        <v>#REF!</v>
      </c>
      <c r="M537" s="414">
        <v>30</v>
      </c>
      <c r="N537" s="412" t="s">
        <v>1443</v>
      </c>
      <c r="O537" s="412" t="s">
        <v>1358</v>
      </c>
      <c r="P537" s="414">
        <f>(C42)</f>
        <v>5</v>
      </c>
      <c r="Q537" s="412" t="s">
        <v>1443</v>
      </c>
      <c r="R537" s="414">
        <f>(M537*P537)</f>
        <v>150</v>
      </c>
      <c r="S537" s="414"/>
      <c r="U537" s="412" t="s">
        <v>307</v>
      </c>
      <c r="V537" s="414" t="e">
        <f>X535</f>
        <v>#REF!</v>
      </c>
      <c r="W537" s="413">
        <f>J535</f>
        <v>2.42</v>
      </c>
      <c r="X537" s="417" t="e">
        <f>V537+W537</f>
        <v>#REF!</v>
      </c>
      <c r="AA537" s="412" t="s">
        <v>307</v>
      </c>
      <c r="AB537" s="414" t="e">
        <f>AD535</f>
        <v>#REF!</v>
      </c>
      <c r="AC537" s="412">
        <f>W537</f>
        <v>2.42</v>
      </c>
      <c r="AD537" s="417" t="e">
        <f>AB537+AC537</f>
        <v>#REF!</v>
      </c>
      <c r="AE537" s="414">
        <f t="shared" si="59"/>
        <v>0</v>
      </c>
      <c r="AH537" s="412" t="s">
        <v>307</v>
      </c>
      <c r="AI537" s="414" t="e">
        <f>AK535</f>
        <v>#REF!</v>
      </c>
      <c r="AJ537" s="412">
        <f>AC537</f>
        <v>2.42</v>
      </c>
      <c r="AK537" s="417" t="e">
        <f>AI537+AJ537</f>
        <v>#REF!</v>
      </c>
    </row>
    <row r="538" spans="1:37" ht="24" customHeight="1">
      <c r="A538" s="424">
        <f t="shared" si="55"/>
        <v>363</v>
      </c>
      <c r="B538" s="412" t="s">
        <v>905</v>
      </c>
      <c r="C538" s="414">
        <v>9.49</v>
      </c>
      <c r="D538" s="412" t="s">
        <v>701</v>
      </c>
      <c r="H538" s="412" t="s">
        <v>301</v>
      </c>
      <c r="I538" s="414" t="e">
        <f>K537</f>
        <v>#REF!</v>
      </c>
      <c r="J538" s="412">
        <f>J537</f>
        <v>4.7699999999999996</v>
      </c>
      <c r="K538" s="417" t="e">
        <f>I538+J538</f>
        <v>#REF!</v>
      </c>
      <c r="M538" s="412" t="s">
        <v>790</v>
      </c>
      <c r="O538" s="412" t="s">
        <v>1361</v>
      </c>
      <c r="P538" s="412" t="s">
        <v>790</v>
      </c>
      <c r="R538" s="412" t="s">
        <v>790</v>
      </c>
      <c r="S538" s="414"/>
      <c r="U538" s="412" t="s">
        <v>309</v>
      </c>
      <c r="V538" s="414" t="e">
        <f>X537</f>
        <v>#REF!</v>
      </c>
      <c r="W538" s="413">
        <f t="shared" ref="W538:W549" si="60">J538</f>
        <v>4.7699999999999996</v>
      </c>
      <c r="X538" s="417" t="e">
        <f>V538+W538</f>
        <v>#REF!</v>
      </c>
      <c r="AA538" s="412" t="s">
        <v>309</v>
      </c>
      <c r="AB538" s="414" t="e">
        <f>AD537</f>
        <v>#REF!</v>
      </c>
      <c r="AC538" s="412">
        <f t="shared" ref="AC538:AC549" si="61">W538</f>
        <v>4.7699999999999996</v>
      </c>
      <c r="AD538" s="417" t="e">
        <f>AB538+AC538</f>
        <v>#REF!</v>
      </c>
      <c r="AE538" s="414">
        <f t="shared" si="59"/>
        <v>0</v>
      </c>
      <c r="AH538" s="412" t="s">
        <v>309</v>
      </c>
      <c r="AI538" s="414" t="e">
        <f>AK537</f>
        <v>#REF!</v>
      </c>
      <c r="AJ538" s="412">
        <f t="shared" ref="AJ538:AJ548" si="62">AC538</f>
        <v>4.7699999999999996</v>
      </c>
      <c r="AK538" s="417" t="e">
        <f>AI538+AJ538</f>
        <v>#REF!</v>
      </c>
    </row>
    <row r="539" spans="1:37" ht="24" customHeight="1">
      <c r="A539" s="424">
        <f t="shared" si="55"/>
        <v>364</v>
      </c>
      <c r="B539" s="412" t="s">
        <v>906</v>
      </c>
      <c r="C539" s="414">
        <v>13.91</v>
      </c>
      <c r="D539" s="412" t="s">
        <v>701</v>
      </c>
      <c r="H539" s="412" t="s">
        <v>309</v>
      </c>
      <c r="I539" s="414" t="e">
        <f>K538</f>
        <v>#REF!</v>
      </c>
      <c r="J539" s="412">
        <f>J538</f>
        <v>4.7699999999999996</v>
      </c>
      <c r="K539" s="417" t="e">
        <f>I539+J539</f>
        <v>#REF!</v>
      </c>
      <c r="M539" s="414">
        <v>8</v>
      </c>
      <c r="N539" s="412" t="s">
        <v>701</v>
      </c>
      <c r="O539" s="412" t="s">
        <v>1744</v>
      </c>
      <c r="P539" s="414">
        <f>(C45)</f>
        <v>11.2</v>
      </c>
      <c r="Q539" s="412" t="s">
        <v>701</v>
      </c>
      <c r="R539" s="414">
        <f>(M539*P539)</f>
        <v>89.6</v>
      </c>
      <c r="S539" s="414"/>
      <c r="U539" s="412" t="s">
        <v>1818</v>
      </c>
      <c r="V539" s="414" t="e">
        <f>X538</f>
        <v>#REF!</v>
      </c>
      <c r="W539" s="413">
        <f t="shared" si="60"/>
        <v>4.7699999999999996</v>
      </c>
      <c r="X539" s="417" t="e">
        <f>V539+W539</f>
        <v>#REF!</v>
      </c>
      <c r="AA539" s="412" t="s">
        <v>1818</v>
      </c>
      <c r="AB539" s="414" t="e">
        <f>AD538</f>
        <v>#REF!</v>
      </c>
      <c r="AC539" s="412">
        <f t="shared" si="61"/>
        <v>4.7699999999999996</v>
      </c>
      <c r="AD539" s="417" t="e">
        <f>AB539+AC539</f>
        <v>#REF!</v>
      </c>
      <c r="AE539" s="414">
        <f t="shared" si="59"/>
        <v>0</v>
      </c>
      <c r="AH539" s="412" t="s">
        <v>1818</v>
      </c>
      <c r="AI539" s="414" t="e">
        <f>AK538</f>
        <v>#REF!</v>
      </c>
      <c r="AJ539" s="412">
        <f t="shared" si="62"/>
        <v>4.7699999999999996</v>
      </c>
      <c r="AK539" s="417" t="e">
        <f>AI539+AJ539</f>
        <v>#REF!</v>
      </c>
    </row>
    <row r="540" spans="1:37" ht="24" customHeight="1">
      <c r="A540" s="424"/>
      <c r="B540" s="412"/>
      <c r="D540" s="412"/>
      <c r="H540" s="412">
        <v>5</v>
      </c>
      <c r="I540" s="414" t="e">
        <f t="shared" ref="I540:I545" si="63">K539</f>
        <v>#REF!</v>
      </c>
      <c r="J540" s="412">
        <f t="shared" ref="J540:J547" si="64">J539</f>
        <v>4.7699999999999996</v>
      </c>
      <c r="K540" s="417" t="e">
        <f t="shared" ref="K540:K545" si="65">I540+J540</f>
        <v>#REF!</v>
      </c>
      <c r="N540" s="412"/>
      <c r="O540" s="412"/>
      <c r="Q540" s="412"/>
      <c r="S540" s="414"/>
      <c r="U540" s="412" t="s">
        <v>301</v>
      </c>
      <c r="V540" s="414" t="e">
        <f>X539</f>
        <v>#REF!</v>
      </c>
      <c r="W540" s="413">
        <f t="shared" si="60"/>
        <v>4.7699999999999996</v>
      </c>
      <c r="X540" s="417" t="e">
        <f>V540+W540</f>
        <v>#REF!</v>
      </c>
      <c r="AA540" s="412" t="s">
        <v>301</v>
      </c>
      <c r="AB540" s="414" t="e">
        <f>AD539</f>
        <v>#REF!</v>
      </c>
      <c r="AC540" s="412">
        <f t="shared" si="61"/>
        <v>4.7699999999999996</v>
      </c>
      <c r="AD540" s="417" t="e">
        <f>AB540+AC540</f>
        <v>#REF!</v>
      </c>
      <c r="AH540" s="412" t="s">
        <v>301</v>
      </c>
      <c r="AI540" s="414" t="e">
        <f>AK539</f>
        <v>#REF!</v>
      </c>
      <c r="AJ540" s="412">
        <f t="shared" si="62"/>
        <v>4.7699999999999996</v>
      </c>
      <c r="AK540" s="417" t="e">
        <f>AI540+AJ540</f>
        <v>#REF!</v>
      </c>
    </row>
    <row r="541" spans="1:37" ht="24" customHeight="1">
      <c r="A541" s="424"/>
      <c r="B541" s="412"/>
      <c r="D541" s="412"/>
      <c r="H541" s="412">
        <v>6</v>
      </c>
      <c r="I541" s="414" t="e">
        <f t="shared" si="63"/>
        <v>#REF!</v>
      </c>
      <c r="J541" s="412">
        <f t="shared" si="64"/>
        <v>4.7699999999999996</v>
      </c>
      <c r="K541" s="417" t="e">
        <f t="shared" si="65"/>
        <v>#REF!</v>
      </c>
      <c r="N541" s="412"/>
      <c r="O541" s="412"/>
      <c r="Q541" s="412"/>
      <c r="S541" s="414"/>
      <c r="U541" s="412" t="s">
        <v>309</v>
      </c>
      <c r="V541" s="414" t="e">
        <f>X540</f>
        <v>#REF!</v>
      </c>
      <c r="W541" s="413">
        <f t="shared" si="60"/>
        <v>4.7699999999999996</v>
      </c>
      <c r="X541" s="417" t="e">
        <f>V541+W541</f>
        <v>#REF!</v>
      </c>
      <c r="AA541" s="412" t="s">
        <v>309</v>
      </c>
      <c r="AB541" s="414" t="e">
        <f>AD540</f>
        <v>#REF!</v>
      </c>
      <c r="AC541" s="412">
        <f t="shared" si="61"/>
        <v>4.7699999999999996</v>
      </c>
      <c r="AD541" s="417" t="e">
        <f>AB541+AC541</f>
        <v>#REF!</v>
      </c>
      <c r="AH541" s="412" t="s">
        <v>309</v>
      </c>
      <c r="AI541" s="414" t="e">
        <f>AK540</f>
        <v>#REF!</v>
      </c>
      <c r="AJ541" s="412">
        <f t="shared" si="62"/>
        <v>4.7699999999999996</v>
      </c>
      <c r="AK541" s="417" t="e">
        <f>AI541+AJ541</f>
        <v>#REF!</v>
      </c>
    </row>
    <row r="542" spans="1:37" ht="24" customHeight="1">
      <c r="A542" s="424"/>
      <c r="B542" s="412"/>
      <c r="D542" s="412"/>
      <c r="H542" s="412">
        <v>7</v>
      </c>
      <c r="I542" s="414" t="e">
        <f t="shared" si="63"/>
        <v>#REF!</v>
      </c>
      <c r="J542" s="412">
        <f t="shared" si="64"/>
        <v>4.7699999999999996</v>
      </c>
      <c r="K542" s="417" t="e">
        <f t="shared" si="65"/>
        <v>#REF!</v>
      </c>
      <c r="N542" s="412"/>
      <c r="O542" s="412"/>
      <c r="Q542" s="412"/>
      <c r="S542" s="414"/>
      <c r="U542" s="412">
        <v>5</v>
      </c>
      <c r="V542" s="414" t="e">
        <f t="shared" ref="V542:V547" si="66">X541</f>
        <v>#REF!</v>
      </c>
      <c r="W542" s="413">
        <f t="shared" si="60"/>
        <v>4.7699999999999996</v>
      </c>
      <c r="X542" s="417" t="e">
        <f t="shared" ref="X542:X547" si="67">V542+W542</f>
        <v>#REF!</v>
      </c>
      <c r="AA542" s="412">
        <v>5</v>
      </c>
      <c r="AB542" s="414" t="e">
        <f t="shared" ref="AB542:AB547" si="68">AD541</f>
        <v>#REF!</v>
      </c>
      <c r="AC542" s="412">
        <f t="shared" si="61"/>
        <v>4.7699999999999996</v>
      </c>
      <c r="AD542" s="417" t="e">
        <f t="shared" ref="AD542:AD547" si="69">AB542+AC542</f>
        <v>#REF!</v>
      </c>
      <c r="AH542" s="412">
        <v>5</v>
      </c>
      <c r="AI542" s="414" t="e">
        <f t="shared" ref="AI542:AI547" si="70">AK541</f>
        <v>#REF!</v>
      </c>
      <c r="AJ542" s="412">
        <f t="shared" si="62"/>
        <v>4.7699999999999996</v>
      </c>
      <c r="AK542" s="417" t="e">
        <f t="shared" ref="AK542:AK547" si="71">AI542+AJ542</f>
        <v>#REF!</v>
      </c>
    </row>
    <row r="543" spans="1:37" ht="24" customHeight="1">
      <c r="A543" s="424"/>
      <c r="B543" s="412"/>
      <c r="D543" s="412"/>
      <c r="H543" s="412">
        <v>8</v>
      </c>
      <c r="I543" s="414" t="e">
        <f t="shared" si="63"/>
        <v>#REF!</v>
      </c>
      <c r="J543" s="412">
        <f t="shared" si="64"/>
        <v>4.7699999999999996</v>
      </c>
      <c r="K543" s="417" t="e">
        <f t="shared" si="65"/>
        <v>#REF!</v>
      </c>
      <c r="N543" s="412"/>
      <c r="O543" s="412"/>
      <c r="Q543" s="412"/>
      <c r="S543" s="414"/>
      <c r="U543" s="412">
        <v>6</v>
      </c>
      <c r="V543" s="414" t="e">
        <f t="shared" si="66"/>
        <v>#REF!</v>
      </c>
      <c r="W543" s="413">
        <f t="shared" si="60"/>
        <v>4.7699999999999996</v>
      </c>
      <c r="X543" s="417" t="e">
        <f t="shared" si="67"/>
        <v>#REF!</v>
      </c>
      <c r="AA543" s="412">
        <v>6</v>
      </c>
      <c r="AB543" s="414" t="e">
        <f t="shared" si="68"/>
        <v>#REF!</v>
      </c>
      <c r="AC543" s="412">
        <f t="shared" si="61"/>
        <v>4.7699999999999996</v>
      </c>
      <c r="AD543" s="417" t="e">
        <f t="shared" si="69"/>
        <v>#REF!</v>
      </c>
      <c r="AH543" s="412">
        <v>6</v>
      </c>
      <c r="AI543" s="414" t="e">
        <f t="shared" si="70"/>
        <v>#REF!</v>
      </c>
      <c r="AJ543" s="412">
        <f t="shared" si="62"/>
        <v>4.7699999999999996</v>
      </c>
      <c r="AK543" s="417" t="e">
        <f t="shared" si="71"/>
        <v>#REF!</v>
      </c>
    </row>
    <row r="544" spans="1:37" ht="24" customHeight="1">
      <c r="A544" s="424"/>
      <c r="B544" s="412"/>
      <c r="D544" s="412"/>
      <c r="H544" s="412">
        <v>9</v>
      </c>
      <c r="I544" s="414" t="e">
        <f t="shared" si="63"/>
        <v>#REF!</v>
      </c>
      <c r="J544" s="412">
        <f t="shared" si="64"/>
        <v>4.7699999999999996</v>
      </c>
      <c r="K544" s="417" t="e">
        <f t="shared" si="65"/>
        <v>#REF!</v>
      </c>
      <c r="N544" s="412"/>
      <c r="O544" s="412"/>
      <c r="Q544" s="412"/>
      <c r="S544" s="414"/>
      <c r="U544" s="412">
        <v>7</v>
      </c>
      <c r="V544" s="414" t="e">
        <f t="shared" si="66"/>
        <v>#REF!</v>
      </c>
      <c r="W544" s="413">
        <f t="shared" si="60"/>
        <v>4.7699999999999996</v>
      </c>
      <c r="X544" s="417" t="e">
        <f t="shared" si="67"/>
        <v>#REF!</v>
      </c>
      <c r="AA544" s="412">
        <v>7</v>
      </c>
      <c r="AB544" s="414" t="e">
        <f t="shared" si="68"/>
        <v>#REF!</v>
      </c>
      <c r="AC544" s="412">
        <f t="shared" si="61"/>
        <v>4.7699999999999996</v>
      </c>
      <c r="AD544" s="417" t="e">
        <f t="shared" si="69"/>
        <v>#REF!</v>
      </c>
      <c r="AH544" s="412">
        <v>7</v>
      </c>
      <c r="AI544" s="414" t="e">
        <f t="shared" si="70"/>
        <v>#REF!</v>
      </c>
      <c r="AJ544" s="412">
        <f t="shared" si="62"/>
        <v>4.7699999999999996</v>
      </c>
      <c r="AK544" s="417" t="e">
        <f t="shared" si="71"/>
        <v>#REF!</v>
      </c>
    </row>
    <row r="545" spans="1:37" ht="24" customHeight="1">
      <c r="A545" s="424"/>
      <c r="B545" s="412"/>
      <c r="D545" s="412"/>
      <c r="H545" s="412">
        <v>10</v>
      </c>
      <c r="I545" s="414" t="e">
        <f t="shared" si="63"/>
        <v>#REF!</v>
      </c>
      <c r="J545" s="412">
        <f t="shared" si="64"/>
        <v>4.7699999999999996</v>
      </c>
      <c r="K545" s="417" t="e">
        <f t="shared" si="65"/>
        <v>#REF!</v>
      </c>
      <c r="N545" s="412"/>
      <c r="O545" s="412"/>
      <c r="Q545" s="412"/>
      <c r="S545" s="414"/>
      <c r="U545" s="412">
        <v>8</v>
      </c>
      <c r="V545" s="414" t="e">
        <f t="shared" si="66"/>
        <v>#REF!</v>
      </c>
      <c r="W545" s="413">
        <f t="shared" si="60"/>
        <v>4.7699999999999996</v>
      </c>
      <c r="X545" s="417" t="e">
        <f t="shared" si="67"/>
        <v>#REF!</v>
      </c>
      <c r="AA545" s="412">
        <v>8</v>
      </c>
      <c r="AB545" s="414" t="e">
        <f t="shared" si="68"/>
        <v>#REF!</v>
      </c>
      <c r="AC545" s="412">
        <f t="shared" si="61"/>
        <v>4.7699999999999996</v>
      </c>
      <c r="AD545" s="417" t="e">
        <f t="shared" si="69"/>
        <v>#REF!</v>
      </c>
      <c r="AH545" s="412">
        <v>8</v>
      </c>
      <c r="AI545" s="414" t="e">
        <f t="shared" si="70"/>
        <v>#REF!</v>
      </c>
      <c r="AJ545" s="412">
        <f t="shared" si="62"/>
        <v>4.7699999999999996</v>
      </c>
      <c r="AK545" s="417" t="e">
        <f t="shared" si="71"/>
        <v>#REF!</v>
      </c>
    </row>
    <row r="546" spans="1:37" ht="24" customHeight="1">
      <c r="A546" s="424"/>
      <c r="B546" s="412"/>
      <c r="D546" s="412"/>
      <c r="H546" s="412">
        <v>11</v>
      </c>
      <c r="I546" s="414" t="e">
        <f>K545</f>
        <v>#REF!</v>
      </c>
      <c r="J546" s="412">
        <f t="shared" si="64"/>
        <v>4.7699999999999996</v>
      </c>
      <c r="K546" s="417" t="e">
        <f>I546+J546</f>
        <v>#REF!</v>
      </c>
      <c r="N546" s="412"/>
      <c r="O546" s="412"/>
      <c r="Q546" s="412"/>
      <c r="S546" s="414"/>
      <c r="U546" s="412">
        <v>9</v>
      </c>
      <c r="V546" s="414" t="e">
        <f t="shared" si="66"/>
        <v>#REF!</v>
      </c>
      <c r="W546" s="413">
        <f t="shared" si="60"/>
        <v>4.7699999999999996</v>
      </c>
      <c r="X546" s="417" t="e">
        <f t="shared" si="67"/>
        <v>#REF!</v>
      </c>
      <c r="AA546" s="412">
        <v>9</v>
      </c>
      <c r="AB546" s="414" t="e">
        <f t="shared" si="68"/>
        <v>#REF!</v>
      </c>
      <c r="AC546" s="412">
        <f t="shared" si="61"/>
        <v>4.7699999999999996</v>
      </c>
      <c r="AD546" s="417" t="e">
        <f t="shared" si="69"/>
        <v>#REF!</v>
      </c>
      <c r="AH546" s="412">
        <v>9</v>
      </c>
      <c r="AI546" s="414" t="e">
        <f t="shared" si="70"/>
        <v>#REF!</v>
      </c>
      <c r="AJ546" s="412">
        <f t="shared" si="62"/>
        <v>4.7699999999999996</v>
      </c>
      <c r="AK546" s="417" t="e">
        <f t="shared" si="71"/>
        <v>#REF!</v>
      </c>
    </row>
    <row r="547" spans="1:37" ht="24" customHeight="1">
      <c r="A547" s="424"/>
      <c r="B547" s="412"/>
      <c r="D547" s="412"/>
      <c r="H547" s="412">
        <v>12</v>
      </c>
      <c r="I547" s="414" t="e">
        <f>K546</f>
        <v>#REF!</v>
      </c>
      <c r="J547" s="412">
        <f t="shared" si="64"/>
        <v>4.7699999999999996</v>
      </c>
      <c r="K547" s="417" t="e">
        <f>I547+J547</f>
        <v>#REF!</v>
      </c>
      <c r="N547" s="412"/>
      <c r="O547" s="412"/>
      <c r="Q547" s="412"/>
      <c r="S547" s="414"/>
      <c r="U547" s="412">
        <v>10</v>
      </c>
      <c r="V547" s="414" t="e">
        <f t="shared" si="66"/>
        <v>#REF!</v>
      </c>
      <c r="W547" s="413">
        <f t="shared" si="60"/>
        <v>4.7699999999999996</v>
      </c>
      <c r="X547" s="417" t="e">
        <f t="shared" si="67"/>
        <v>#REF!</v>
      </c>
      <c r="AA547" s="412">
        <v>10</v>
      </c>
      <c r="AB547" s="414" t="e">
        <f t="shared" si="68"/>
        <v>#REF!</v>
      </c>
      <c r="AC547" s="412">
        <f t="shared" si="61"/>
        <v>4.7699999999999996</v>
      </c>
      <c r="AD547" s="417" t="e">
        <f t="shared" si="69"/>
        <v>#REF!</v>
      </c>
      <c r="AH547" s="412">
        <v>10</v>
      </c>
      <c r="AI547" s="414" t="e">
        <f t="shared" si="70"/>
        <v>#REF!</v>
      </c>
      <c r="AJ547" s="412">
        <f t="shared" si="62"/>
        <v>4.7699999999999996</v>
      </c>
      <c r="AK547" s="417" t="e">
        <f t="shared" si="71"/>
        <v>#REF!</v>
      </c>
    </row>
    <row r="548" spans="1:37" ht="24" customHeight="1">
      <c r="A548" s="424">
        <f>(A539+1)</f>
        <v>365</v>
      </c>
      <c r="B548" s="412" t="s">
        <v>907</v>
      </c>
      <c r="C548" s="414">
        <v>26.59</v>
      </c>
      <c r="D548" s="412" t="s">
        <v>701</v>
      </c>
      <c r="F548" s="413" t="s">
        <v>917</v>
      </c>
      <c r="G548" s="414" t="s">
        <v>1833</v>
      </c>
      <c r="H548" s="412" t="s">
        <v>201</v>
      </c>
      <c r="M548" s="414">
        <v>8</v>
      </c>
      <c r="N548" s="412" t="s">
        <v>701</v>
      </c>
      <c r="O548" s="412" t="s">
        <v>376</v>
      </c>
      <c r="P548" s="414">
        <f>(C52)</f>
        <v>28.05</v>
      </c>
      <c r="Q548" s="412" t="s">
        <v>701</v>
      </c>
      <c r="R548" s="414">
        <f>(M548*P548)</f>
        <v>224.4</v>
      </c>
      <c r="S548" s="414"/>
      <c r="U548" s="412">
        <v>11</v>
      </c>
      <c r="V548" s="414" t="e">
        <f>X547</f>
        <v>#REF!</v>
      </c>
      <c r="W548" s="413">
        <f t="shared" si="60"/>
        <v>0</v>
      </c>
      <c r="X548" s="417" t="e">
        <f>V548+W548</f>
        <v>#REF!</v>
      </c>
      <c r="AA548" s="412">
        <v>11</v>
      </c>
      <c r="AB548" s="414" t="e">
        <f>AD547</f>
        <v>#REF!</v>
      </c>
      <c r="AC548" s="412">
        <f t="shared" si="61"/>
        <v>0</v>
      </c>
      <c r="AD548" s="417" t="e">
        <f>AB548+AC548</f>
        <v>#REF!</v>
      </c>
      <c r="AE548" s="414">
        <f t="shared" si="59"/>
        <v>0</v>
      </c>
      <c r="AH548" s="412">
        <v>11</v>
      </c>
      <c r="AI548" s="414" t="e">
        <f>AK547</f>
        <v>#REF!</v>
      </c>
      <c r="AJ548" s="412">
        <f t="shared" si="62"/>
        <v>0</v>
      </c>
      <c r="AK548" s="417" t="e">
        <f>AI548+AJ548</f>
        <v>#REF!</v>
      </c>
    </row>
    <row r="549" spans="1:37" ht="24" customHeight="1">
      <c r="A549" s="424">
        <f t="shared" si="55"/>
        <v>366</v>
      </c>
      <c r="B549" s="412" t="s">
        <v>909</v>
      </c>
      <c r="C549" s="414">
        <v>39.909999999999997</v>
      </c>
      <c r="D549" s="412" t="s">
        <v>701</v>
      </c>
      <c r="H549" s="418" t="s">
        <v>1288</v>
      </c>
      <c r="M549" s="414">
        <v>3</v>
      </c>
      <c r="N549" s="412" t="s">
        <v>701</v>
      </c>
      <c r="O549" s="412" t="s">
        <v>1497</v>
      </c>
      <c r="P549" s="414">
        <f>(C41)</f>
        <v>738</v>
      </c>
      <c r="Q549" s="412" t="s">
        <v>701</v>
      </c>
      <c r="R549" s="414">
        <f>(M549*P549)</f>
        <v>2214</v>
      </c>
      <c r="S549" s="414"/>
      <c r="U549" s="412">
        <v>12</v>
      </c>
      <c r="V549" s="414" t="e">
        <f>X548</f>
        <v>#REF!</v>
      </c>
      <c r="W549" s="413">
        <f t="shared" si="60"/>
        <v>0</v>
      </c>
      <c r="X549" s="417" t="e">
        <f>V549+W549</f>
        <v>#REF!</v>
      </c>
      <c r="AA549" s="412">
        <v>12</v>
      </c>
      <c r="AB549" s="414" t="e">
        <f>AD548</f>
        <v>#REF!</v>
      </c>
      <c r="AC549" s="412">
        <f t="shared" si="61"/>
        <v>0</v>
      </c>
      <c r="AD549" s="417" t="e">
        <f>AB549+AC549</f>
        <v>#REF!</v>
      </c>
      <c r="AE549" s="414">
        <f t="shared" si="59"/>
        <v>0</v>
      </c>
      <c r="AH549" s="412">
        <v>12</v>
      </c>
      <c r="AI549" s="414" t="e">
        <f>AK548</f>
        <v>#REF!</v>
      </c>
      <c r="AJ549" s="412" t="e">
        <f>AD549</f>
        <v>#REF!</v>
      </c>
      <c r="AK549" s="417" t="e">
        <f>AI549+AJ549</f>
        <v>#REF!</v>
      </c>
    </row>
    <row r="550" spans="1:37" ht="24" customHeight="1">
      <c r="A550" s="424">
        <f t="shared" si="55"/>
        <v>367</v>
      </c>
      <c r="B550" s="412" t="s">
        <v>186</v>
      </c>
      <c r="C550" s="414">
        <v>66</v>
      </c>
      <c r="D550" s="412" t="s">
        <v>701</v>
      </c>
      <c r="F550" s="414">
        <v>0.03</v>
      </c>
      <c r="G550" s="414" t="s">
        <v>702</v>
      </c>
      <c r="H550" s="412" t="s">
        <v>808</v>
      </c>
      <c r="I550" s="414" t="e">
        <f>(K513)</f>
        <v>#REF!</v>
      </c>
      <c r="J550" s="412" t="s">
        <v>702</v>
      </c>
      <c r="K550" s="414" t="e">
        <f>(F550*I550)</f>
        <v>#REF!</v>
      </c>
      <c r="M550" s="414">
        <v>1</v>
      </c>
      <c r="N550" s="412" t="s">
        <v>701</v>
      </c>
      <c r="O550" s="412" t="s">
        <v>1498</v>
      </c>
      <c r="P550" s="414">
        <f>(C10)</f>
        <v>999</v>
      </c>
      <c r="Q550" s="412" t="s">
        <v>701</v>
      </c>
      <c r="R550" s="414">
        <f>(M550*P550)</f>
        <v>999</v>
      </c>
      <c r="S550" s="413" t="s">
        <v>917</v>
      </c>
      <c r="T550" s="414" t="s">
        <v>1833</v>
      </c>
      <c r="U550" s="426" t="s">
        <v>4309</v>
      </c>
      <c r="W550" s="413"/>
      <c r="Y550" s="413" t="s">
        <v>917</v>
      </c>
      <c r="Z550" s="414" t="s">
        <v>1833</v>
      </c>
      <c r="AA550" s="1241" t="s">
        <v>4310</v>
      </c>
      <c r="AB550" s="1241"/>
      <c r="AC550" s="412"/>
      <c r="AE550" s="414" t="str">
        <f t="shared" si="59"/>
        <v>*</v>
      </c>
      <c r="AF550" s="413" t="s">
        <v>917</v>
      </c>
      <c r="AG550" s="414" t="s">
        <v>1833</v>
      </c>
      <c r="AH550" s="1241" t="s">
        <v>4311</v>
      </c>
      <c r="AI550" s="1241"/>
      <c r="AJ550" s="412"/>
    </row>
    <row r="551" spans="1:37" ht="24" customHeight="1">
      <c r="A551" s="424">
        <f t="shared" si="55"/>
        <v>368</v>
      </c>
      <c r="B551" s="412" t="s">
        <v>918</v>
      </c>
      <c r="D551" s="412" t="s">
        <v>790</v>
      </c>
      <c r="F551" s="414">
        <v>0.5</v>
      </c>
      <c r="G551" s="414" t="s">
        <v>619</v>
      </c>
      <c r="H551" s="412" t="s">
        <v>1637</v>
      </c>
      <c r="I551" s="414">
        <f>(C10)</f>
        <v>999</v>
      </c>
      <c r="J551" s="412" t="s">
        <v>619</v>
      </c>
      <c r="K551" s="414">
        <f>(F551*I551)</f>
        <v>499.5</v>
      </c>
      <c r="M551" s="414">
        <v>2</v>
      </c>
      <c r="N551" s="412" t="s">
        <v>701</v>
      </c>
      <c r="O551" s="412" t="s">
        <v>1550</v>
      </c>
      <c r="P551" s="414">
        <f>(C12)</f>
        <v>651</v>
      </c>
      <c r="Q551" s="412" t="s">
        <v>701</v>
      </c>
      <c r="R551" s="414">
        <f>(M551*P551)</f>
        <v>1302</v>
      </c>
      <c r="S551" s="414"/>
      <c r="U551" s="418" t="s">
        <v>1288</v>
      </c>
      <c r="W551" s="413"/>
      <c r="AA551" s="418" t="s">
        <v>1288</v>
      </c>
      <c r="AC551" s="412"/>
      <c r="AE551" s="414">
        <f t="shared" si="59"/>
        <v>0</v>
      </c>
      <c r="AH551" s="418" t="s">
        <v>1288</v>
      </c>
      <c r="AJ551" s="412"/>
    </row>
    <row r="552" spans="1:37" ht="24" customHeight="1">
      <c r="A552" s="424">
        <f t="shared" si="55"/>
        <v>369</v>
      </c>
      <c r="B552" s="412" t="s">
        <v>770</v>
      </c>
      <c r="C552" s="414">
        <v>4.75</v>
      </c>
      <c r="D552" s="412" t="s">
        <v>701</v>
      </c>
      <c r="F552" s="414">
        <v>0.75</v>
      </c>
      <c r="G552" s="414" t="s">
        <v>619</v>
      </c>
      <c r="H552" s="412" t="s">
        <v>1550</v>
      </c>
      <c r="I552" s="414">
        <f>(C12)</f>
        <v>651</v>
      </c>
      <c r="J552" s="412" t="s">
        <v>619</v>
      </c>
      <c r="K552" s="414">
        <f>(F552*I552)</f>
        <v>488.25</v>
      </c>
      <c r="M552" s="414">
        <v>1</v>
      </c>
      <c r="N552" s="412" t="s">
        <v>701</v>
      </c>
      <c r="O552" s="412" t="s">
        <v>245</v>
      </c>
      <c r="P552" s="414">
        <f>(C13)</f>
        <v>534</v>
      </c>
      <c r="Q552" s="412" t="s">
        <v>701</v>
      </c>
      <c r="R552" s="414">
        <f>(M552*P552)</f>
        <v>534</v>
      </c>
      <c r="S552" s="414">
        <v>0.03</v>
      </c>
      <c r="T552" s="414" t="s">
        <v>702</v>
      </c>
      <c r="U552" s="412" t="s">
        <v>2408</v>
      </c>
      <c r="V552" s="414" t="e">
        <f>V528</f>
        <v>#REF!</v>
      </c>
      <c r="W552" s="413" t="s">
        <v>702</v>
      </c>
      <c r="X552" s="414" t="e">
        <f>(S552*V552)</f>
        <v>#REF!</v>
      </c>
      <c r="Y552" s="414">
        <v>0.03</v>
      </c>
      <c r="Z552" s="414" t="s">
        <v>702</v>
      </c>
      <c r="AA552" s="412" t="s">
        <v>2408</v>
      </c>
      <c r="AB552" s="414" t="e">
        <f>AB528</f>
        <v>#REF!</v>
      </c>
      <c r="AC552" s="412" t="s">
        <v>702</v>
      </c>
      <c r="AD552" s="414" t="e">
        <f>(Y552*AB552)</f>
        <v>#REF!</v>
      </c>
      <c r="AE552" s="414" t="str">
        <f t="shared" si="59"/>
        <v>CUM</v>
      </c>
      <c r="AF552" s="440">
        <v>7.3999999999999996E-2</v>
      </c>
      <c r="AG552" s="414" t="s">
        <v>702</v>
      </c>
      <c r="AH552" s="412" t="s">
        <v>2408</v>
      </c>
      <c r="AI552" s="414" t="e">
        <f>AI528</f>
        <v>#REF!</v>
      </c>
      <c r="AJ552" s="412" t="s">
        <v>702</v>
      </c>
      <c r="AK552" s="414" t="e">
        <f>(AF552*AI552)</f>
        <v>#REF!</v>
      </c>
    </row>
    <row r="553" spans="1:37" ht="24" customHeight="1">
      <c r="A553" s="424">
        <f t="shared" si="55"/>
        <v>370</v>
      </c>
      <c r="B553" s="412" t="s">
        <v>598</v>
      </c>
      <c r="C553" s="414">
        <v>6.89</v>
      </c>
      <c r="D553" s="412" t="s">
        <v>701</v>
      </c>
      <c r="E553" s="440">
        <f>0.03/40*75</f>
        <v>5.6300000000000003E-2</v>
      </c>
      <c r="G553" s="414" t="s">
        <v>358</v>
      </c>
      <c r="H553" s="412" t="s">
        <v>359</v>
      </c>
      <c r="J553" s="412" t="s">
        <v>358</v>
      </c>
      <c r="K553" s="414">
        <v>0</v>
      </c>
      <c r="N553" s="412" t="s">
        <v>358</v>
      </c>
      <c r="O553" s="412" t="s">
        <v>1499</v>
      </c>
      <c r="P553" s="412" t="s">
        <v>790</v>
      </c>
      <c r="Q553" s="412" t="s">
        <v>358</v>
      </c>
      <c r="R553" s="414">
        <f>(C56)</f>
        <v>12.1</v>
      </c>
      <c r="S553" s="414">
        <v>0.5</v>
      </c>
      <c r="T553" s="414" t="s">
        <v>619</v>
      </c>
      <c r="U553" s="412" t="s">
        <v>1637</v>
      </c>
      <c r="V553" s="414">
        <f>V529</f>
        <v>999</v>
      </c>
      <c r="W553" s="413" t="s">
        <v>619</v>
      </c>
      <c r="X553" s="414">
        <f>(S553*V553)</f>
        <v>499.5</v>
      </c>
      <c r="Y553" s="414">
        <v>0.5</v>
      </c>
      <c r="Z553" s="414" t="s">
        <v>619</v>
      </c>
      <c r="AA553" s="412" t="s">
        <v>1637</v>
      </c>
      <c r="AB553" s="414">
        <f>AB529</f>
        <v>999</v>
      </c>
      <c r="AC553" s="412" t="s">
        <v>619</v>
      </c>
      <c r="AD553" s="414">
        <f>(Y553*AB553)</f>
        <v>499.5</v>
      </c>
      <c r="AE553" s="414" t="str">
        <f t="shared" si="59"/>
        <v>NO</v>
      </c>
      <c r="AF553" s="414">
        <v>0.5</v>
      </c>
      <c r="AG553" s="414" t="s">
        <v>619</v>
      </c>
      <c r="AH553" s="412" t="s">
        <v>1637</v>
      </c>
      <c r="AI553" s="414">
        <f>AI529</f>
        <v>999</v>
      </c>
      <c r="AJ553" s="412" t="s">
        <v>619</v>
      </c>
      <c r="AK553" s="414">
        <f>(AF553*AI553)</f>
        <v>499.5</v>
      </c>
    </row>
    <row r="554" spans="1:37" ht="24" customHeight="1">
      <c r="A554" s="424">
        <f t="shared" si="55"/>
        <v>371</v>
      </c>
      <c r="B554" s="412" t="s">
        <v>1357</v>
      </c>
      <c r="C554" s="414">
        <v>6.18</v>
      </c>
      <c r="D554" s="412" t="s">
        <v>701</v>
      </c>
      <c r="K554" s="418" t="s">
        <v>1288</v>
      </c>
      <c r="O554" s="412" t="s">
        <v>1500</v>
      </c>
      <c r="P554" s="412" t="s">
        <v>790</v>
      </c>
      <c r="R554" s="412" t="s">
        <v>790</v>
      </c>
      <c r="S554" s="414">
        <v>0.75</v>
      </c>
      <c r="T554" s="414" t="s">
        <v>619</v>
      </c>
      <c r="U554" s="412" t="s">
        <v>1550</v>
      </c>
      <c r="V554" s="414">
        <f>V530</f>
        <v>651</v>
      </c>
      <c r="W554" s="413" t="s">
        <v>619</v>
      </c>
      <c r="X554" s="414">
        <f>(S554*V554)</f>
        <v>488.25</v>
      </c>
      <c r="Y554" s="414">
        <v>0.75</v>
      </c>
      <c r="Z554" s="414" t="s">
        <v>619</v>
      </c>
      <c r="AA554" s="412" t="s">
        <v>1550</v>
      </c>
      <c r="AB554" s="414">
        <f>AB530</f>
        <v>651</v>
      </c>
      <c r="AC554" s="412" t="s">
        <v>619</v>
      </c>
      <c r="AD554" s="414">
        <f>(Y554*AB554)</f>
        <v>488.25</v>
      </c>
      <c r="AE554" s="414" t="str">
        <f t="shared" si="59"/>
        <v>NO</v>
      </c>
      <c r="AF554" s="414">
        <v>0.75</v>
      </c>
      <c r="AG554" s="414" t="s">
        <v>619</v>
      </c>
      <c r="AH554" s="412" t="s">
        <v>1550</v>
      </c>
      <c r="AI554" s="414">
        <f>AI530</f>
        <v>651</v>
      </c>
      <c r="AJ554" s="412" t="s">
        <v>619</v>
      </c>
      <c r="AK554" s="414">
        <f>(AF554*AI554)</f>
        <v>488.25</v>
      </c>
    </row>
    <row r="555" spans="1:37" ht="24" customHeight="1">
      <c r="A555" s="424">
        <f t="shared" si="55"/>
        <v>372</v>
      </c>
      <c r="B555" s="412" t="s">
        <v>919</v>
      </c>
      <c r="C555" s="414">
        <v>13.29</v>
      </c>
      <c r="D555" s="412" t="s">
        <v>701</v>
      </c>
      <c r="H555" s="412" t="s">
        <v>1425</v>
      </c>
      <c r="K555" s="414" t="e">
        <f>SUM(K550:K553)</f>
        <v>#REF!</v>
      </c>
      <c r="N555" s="412" t="s">
        <v>358</v>
      </c>
      <c r="O555" s="412" t="s">
        <v>359</v>
      </c>
      <c r="Q555" s="412" t="s">
        <v>358</v>
      </c>
      <c r="R555" s="414">
        <v>0</v>
      </c>
      <c r="S555" s="414"/>
      <c r="T555" s="414" t="s">
        <v>358</v>
      </c>
      <c r="U555" s="412" t="s">
        <v>359</v>
      </c>
      <c r="V555" s="414">
        <f>V531</f>
        <v>0</v>
      </c>
      <c r="W555" s="413" t="s">
        <v>358</v>
      </c>
      <c r="X555" s="414">
        <v>0</v>
      </c>
      <c r="Z555" s="414" t="s">
        <v>358</v>
      </c>
      <c r="AA555" s="412" t="s">
        <v>359</v>
      </c>
      <c r="AB555" s="414">
        <f>AB531</f>
        <v>0</v>
      </c>
      <c r="AC555" s="412" t="s">
        <v>358</v>
      </c>
      <c r="AD555" s="414">
        <v>0</v>
      </c>
      <c r="AE555" s="414" t="str">
        <f t="shared" si="59"/>
        <v>L.S</v>
      </c>
      <c r="AG555" s="414" t="s">
        <v>358</v>
      </c>
      <c r="AH555" s="412" t="s">
        <v>359</v>
      </c>
      <c r="AI555" s="414">
        <f>AI531</f>
        <v>0</v>
      </c>
      <c r="AJ555" s="412" t="s">
        <v>358</v>
      </c>
      <c r="AK555" s="414">
        <v>0</v>
      </c>
    </row>
    <row r="556" spans="1:37" ht="24" customHeight="1">
      <c r="A556" s="424">
        <f t="shared" si="55"/>
        <v>373</v>
      </c>
      <c r="B556" s="412" t="s">
        <v>920</v>
      </c>
      <c r="C556" s="414">
        <v>14.11</v>
      </c>
      <c r="D556" s="412" t="s">
        <v>701</v>
      </c>
      <c r="K556" s="418" t="s">
        <v>1288</v>
      </c>
      <c r="R556" s="418" t="s">
        <v>1288</v>
      </c>
      <c r="S556" s="414"/>
      <c r="W556" s="413"/>
      <c r="X556" s="418" t="s">
        <v>1288</v>
      </c>
      <c r="AC556" s="412"/>
      <c r="AD556" s="418" t="s">
        <v>1288</v>
      </c>
      <c r="AE556" s="414">
        <f t="shared" si="59"/>
        <v>0</v>
      </c>
      <c r="AJ556" s="412"/>
      <c r="AK556" s="418" t="s">
        <v>1288</v>
      </c>
    </row>
    <row r="557" spans="1:37" ht="24" customHeight="1">
      <c r="A557" s="424">
        <f t="shared" si="55"/>
        <v>374</v>
      </c>
      <c r="B557" s="412" t="s">
        <v>921</v>
      </c>
      <c r="C557" s="414">
        <v>14.69</v>
      </c>
      <c r="D557" s="412" t="s">
        <v>701</v>
      </c>
      <c r="H557" s="412" t="s">
        <v>447</v>
      </c>
      <c r="K557" s="414" t="e">
        <f>(K555/0.743)</f>
        <v>#REF!</v>
      </c>
      <c r="O557" s="412" t="s">
        <v>1501</v>
      </c>
      <c r="R557" s="414">
        <f>SUM(R537:R555)</f>
        <v>5525.1</v>
      </c>
      <c r="S557" s="414"/>
      <c r="U557" s="412" t="s">
        <v>1425</v>
      </c>
      <c r="W557" s="413"/>
      <c r="X557" s="414" t="e">
        <f>SUM(X552:X555)</f>
        <v>#REF!</v>
      </c>
      <c r="AA557" s="412" t="s">
        <v>1425</v>
      </c>
      <c r="AC557" s="412"/>
      <c r="AD557" s="414" t="e">
        <f>SUM(AD552:AD555)</f>
        <v>#REF!</v>
      </c>
      <c r="AE557" s="414">
        <f t="shared" si="59"/>
        <v>0</v>
      </c>
      <c r="AH557" s="412" t="s">
        <v>1425</v>
      </c>
      <c r="AJ557" s="412"/>
      <c r="AK557" s="414" t="e">
        <f>SUM(AK552:AK555)</f>
        <v>#REF!</v>
      </c>
    </row>
    <row r="558" spans="1:37" ht="24" customHeight="1">
      <c r="A558" s="424">
        <f t="shared" si="55"/>
        <v>375</v>
      </c>
      <c r="B558" s="412" t="s">
        <v>1515</v>
      </c>
      <c r="D558" s="412" t="s">
        <v>790</v>
      </c>
      <c r="K558" s="418" t="s">
        <v>1676</v>
      </c>
      <c r="R558" s="418" t="s">
        <v>1288</v>
      </c>
      <c r="S558" s="414"/>
      <c r="W558" s="413"/>
      <c r="X558" s="418" t="s">
        <v>1288</v>
      </c>
      <c r="AC558" s="412"/>
      <c r="AD558" s="418" t="s">
        <v>1288</v>
      </c>
      <c r="AE558" s="414">
        <f t="shared" si="59"/>
        <v>0</v>
      </c>
      <c r="AJ558" s="412"/>
      <c r="AK558" s="418" t="s">
        <v>1288</v>
      </c>
    </row>
    <row r="559" spans="1:37" ht="24" customHeight="1">
      <c r="A559" s="424">
        <f t="shared" si="55"/>
        <v>376</v>
      </c>
      <c r="B559" s="412" t="s">
        <v>770</v>
      </c>
      <c r="C559" s="414">
        <v>10.3</v>
      </c>
      <c r="D559" s="412" t="s">
        <v>701</v>
      </c>
      <c r="H559" s="412" t="s">
        <v>307</v>
      </c>
      <c r="I559" s="414" t="e">
        <f>K557</f>
        <v>#REF!</v>
      </c>
      <c r="J559" s="412">
        <f>C22*0.03/0.743</f>
        <v>4.84</v>
      </c>
      <c r="K559" s="417" t="e">
        <f>I559+J559</f>
        <v>#REF!</v>
      </c>
      <c r="M559" s="414">
        <f>0.47*38.5</f>
        <v>18.100000000000001</v>
      </c>
      <c r="O559" s="412" t="s">
        <v>1253</v>
      </c>
      <c r="R559" s="414">
        <f>(R557/30)</f>
        <v>184.17</v>
      </c>
      <c r="S559" s="414"/>
      <c r="U559" s="412" t="s">
        <v>2409</v>
      </c>
      <c r="W559" s="413"/>
      <c r="X559" s="417" t="e">
        <f>(X557/0.743)</f>
        <v>#REF!</v>
      </c>
      <c r="AA559" s="412" t="s">
        <v>2409</v>
      </c>
      <c r="AC559" s="412"/>
      <c r="AD559" s="417" t="e">
        <f>(AD557/0.743)</f>
        <v>#REF!</v>
      </c>
      <c r="AE559" s="414">
        <f t="shared" si="59"/>
        <v>0</v>
      </c>
      <c r="AH559" s="412" t="s">
        <v>2409</v>
      </c>
      <c r="AJ559" s="412"/>
      <c r="AK559" s="417" t="e">
        <f>(AK557/0.743)</f>
        <v>#REF!</v>
      </c>
    </row>
    <row r="560" spans="1:37" ht="24" customHeight="1">
      <c r="A560" s="424">
        <f t="shared" si="55"/>
        <v>377</v>
      </c>
      <c r="B560" s="412" t="s">
        <v>598</v>
      </c>
      <c r="C560" s="414">
        <v>19.05</v>
      </c>
      <c r="D560" s="412" t="s">
        <v>701</v>
      </c>
      <c r="H560" s="412" t="s">
        <v>309</v>
      </c>
      <c r="I560" s="414" t="e">
        <f>K559</f>
        <v>#REF!</v>
      </c>
      <c r="J560" s="412">
        <f>C23*0.03/0.743</f>
        <v>9.5299999999999994</v>
      </c>
      <c r="K560" s="417" t="e">
        <f>I560+J560</f>
        <v>#REF!</v>
      </c>
      <c r="M560" s="414">
        <f>0.24*546</f>
        <v>131.04</v>
      </c>
      <c r="R560" s="418" t="s">
        <v>1288</v>
      </c>
      <c r="S560" s="414"/>
      <c r="W560" s="413"/>
      <c r="X560" s="418" t="s">
        <v>1676</v>
      </c>
      <c r="AC560" s="412"/>
      <c r="AD560" s="418" t="s">
        <v>1676</v>
      </c>
      <c r="AE560" s="414">
        <f t="shared" si="59"/>
        <v>0</v>
      </c>
      <c r="AJ560" s="412"/>
      <c r="AK560" s="418" t="s">
        <v>1676</v>
      </c>
    </row>
    <row r="561" spans="1:37" ht="24" customHeight="1">
      <c r="A561" s="424">
        <f t="shared" si="55"/>
        <v>378</v>
      </c>
      <c r="B561" s="412" t="s">
        <v>1357</v>
      </c>
      <c r="C561" s="414">
        <v>15.34</v>
      </c>
      <c r="D561" s="412" t="s">
        <v>701</v>
      </c>
      <c r="H561" s="412" t="s">
        <v>1818</v>
      </c>
      <c r="I561" s="414" t="e">
        <f>K560</f>
        <v>#REF!</v>
      </c>
      <c r="J561" s="412">
        <f>J560</f>
        <v>9.5299999999999994</v>
      </c>
      <c r="K561" s="417" t="e">
        <f>I561+J561</f>
        <v>#REF!</v>
      </c>
      <c r="M561" s="414">
        <f>0.24*143.6</f>
        <v>34.46</v>
      </c>
      <c r="N561" s="412" t="s">
        <v>1833</v>
      </c>
      <c r="O561" s="412" t="s">
        <v>1671</v>
      </c>
      <c r="S561" s="414"/>
      <c r="U561" s="412" t="s">
        <v>307</v>
      </c>
      <c r="V561" s="414" t="e">
        <f>X559</f>
        <v>#REF!</v>
      </c>
      <c r="W561" s="413">
        <f>J559</f>
        <v>4.84</v>
      </c>
      <c r="X561" s="417" t="e">
        <f>V561+W561</f>
        <v>#REF!</v>
      </c>
      <c r="AA561" s="412" t="s">
        <v>307</v>
      </c>
      <c r="AB561" s="414" t="e">
        <f>AD559</f>
        <v>#REF!</v>
      </c>
      <c r="AC561" s="412">
        <f t="shared" ref="AC561:AC566" si="72">W561</f>
        <v>4.84</v>
      </c>
      <c r="AD561" s="417" t="e">
        <f t="shared" ref="AD561:AD566" si="73">AB561+AC561</f>
        <v>#REF!</v>
      </c>
      <c r="AE561" s="414">
        <f t="shared" si="59"/>
        <v>0</v>
      </c>
      <c r="AH561" s="412" t="s">
        <v>307</v>
      </c>
      <c r="AI561" s="414" t="e">
        <f>AK559</f>
        <v>#REF!</v>
      </c>
      <c r="AJ561" s="412">
        <f t="shared" ref="AJ561:AJ566" si="74">AC561</f>
        <v>4.84</v>
      </c>
      <c r="AK561" s="417" t="e">
        <f t="shared" ref="AK561:AK566" si="75">AI561+AJ561</f>
        <v>#REF!</v>
      </c>
    </row>
    <row r="562" spans="1:37" ht="24" customHeight="1">
      <c r="A562" s="424">
        <f t="shared" si="55"/>
        <v>379</v>
      </c>
      <c r="B562" s="412" t="s">
        <v>1516</v>
      </c>
      <c r="C562" s="414">
        <v>29.41</v>
      </c>
      <c r="D562" s="412" t="s">
        <v>701</v>
      </c>
      <c r="H562" s="412" t="s">
        <v>301</v>
      </c>
      <c r="I562" s="414" t="e">
        <f>K561</f>
        <v>#REF!</v>
      </c>
      <c r="J562" s="412">
        <f>J561</f>
        <v>9.5299999999999994</v>
      </c>
      <c r="K562" s="417" t="e">
        <f>I562+J562</f>
        <v>#REF!</v>
      </c>
      <c r="M562" s="414">
        <f>0.79*328.9</f>
        <v>259.83</v>
      </c>
      <c r="O562" s="412" t="s">
        <v>1517</v>
      </c>
      <c r="S562" s="414"/>
      <c r="U562" s="412" t="s">
        <v>309</v>
      </c>
      <c r="V562" s="414" t="e">
        <f>X561</f>
        <v>#REF!</v>
      </c>
      <c r="W562" s="413">
        <f>J560</f>
        <v>9.5299999999999994</v>
      </c>
      <c r="X562" s="417" t="e">
        <f>V562+W562</f>
        <v>#REF!</v>
      </c>
      <c r="AA562" s="412" t="s">
        <v>309</v>
      </c>
      <c r="AB562" s="414" t="e">
        <f>AD561</f>
        <v>#REF!</v>
      </c>
      <c r="AC562" s="412">
        <f t="shared" si="72"/>
        <v>9.5299999999999994</v>
      </c>
      <c r="AD562" s="417" t="e">
        <f t="shared" si="73"/>
        <v>#REF!</v>
      </c>
      <c r="AE562" s="414">
        <f t="shared" si="59"/>
        <v>0</v>
      </c>
      <c r="AH562" s="412" t="s">
        <v>309</v>
      </c>
      <c r="AI562" s="414" t="e">
        <f>AK561</f>
        <v>#REF!</v>
      </c>
      <c r="AJ562" s="412">
        <f t="shared" si="74"/>
        <v>9.5299999999999994</v>
      </c>
      <c r="AK562" s="417" t="e">
        <f t="shared" si="75"/>
        <v>#REF!</v>
      </c>
    </row>
    <row r="563" spans="1:37" ht="24" customHeight="1">
      <c r="F563" s="412" t="s">
        <v>790</v>
      </c>
      <c r="H563" s="412" t="s">
        <v>309</v>
      </c>
      <c r="I563" s="414" t="e">
        <f>K562</f>
        <v>#REF!</v>
      </c>
      <c r="J563" s="412">
        <f>J562</f>
        <v>9.5299999999999994</v>
      </c>
      <c r="K563" s="417" t="e">
        <f>I563+J563</f>
        <v>#REF!</v>
      </c>
      <c r="M563" s="414">
        <f>SUM(M559:M562)</f>
        <v>443.43</v>
      </c>
      <c r="S563" s="414"/>
      <c r="U563" s="412" t="s">
        <v>1818</v>
      </c>
      <c r="V563" s="414" t="e">
        <f>X562</f>
        <v>#REF!</v>
      </c>
      <c r="W563" s="413">
        <f>J561</f>
        <v>9.5299999999999994</v>
      </c>
      <c r="X563" s="417" t="e">
        <f>V563+W563</f>
        <v>#REF!</v>
      </c>
      <c r="AA563" s="412" t="s">
        <v>1818</v>
      </c>
      <c r="AB563" s="414" t="e">
        <f>AD562</f>
        <v>#REF!</v>
      </c>
      <c r="AC563" s="412">
        <f t="shared" si="72"/>
        <v>9.5299999999999994</v>
      </c>
      <c r="AD563" s="417" t="e">
        <f t="shared" si="73"/>
        <v>#REF!</v>
      </c>
      <c r="AE563" s="414">
        <f t="shared" si="59"/>
        <v>0</v>
      </c>
      <c r="AH563" s="412" t="s">
        <v>1818</v>
      </c>
      <c r="AI563" s="414" t="e">
        <f>AK562</f>
        <v>#REF!</v>
      </c>
      <c r="AJ563" s="412">
        <f t="shared" si="74"/>
        <v>9.5299999999999994</v>
      </c>
      <c r="AK563" s="417" t="e">
        <f t="shared" si="75"/>
        <v>#REF!</v>
      </c>
    </row>
    <row r="564" spans="1:37" ht="24" customHeight="1">
      <c r="A564" s="424">
        <f>(A562+1)</f>
        <v>380</v>
      </c>
      <c r="B564" s="412" t="s">
        <v>920</v>
      </c>
      <c r="C564" s="414">
        <v>38.35</v>
      </c>
      <c r="D564" s="412" t="s">
        <v>701</v>
      </c>
      <c r="H564" s="412">
        <v>5</v>
      </c>
      <c r="I564" s="414" t="e">
        <f t="shared" ref="I564:I569" si="76">K563</f>
        <v>#REF!</v>
      </c>
      <c r="J564" s="412">
        <f t="shared" ref="J564:J571" si="77">J563</f>
        <v>9.5299999999999994</v>
      </c>
      <c r="K564" s="417" t="e">
        <f t="shared" ref="K564:K569" si="78">I564+J564</f>
        <v>#REF!</v>
      </c>
      <c r="O564" s="412" t="s">
        <v>124</v>
      </c>
      <c r="S564" s="414"/>
      <c r="U564" s="412" t="s">
        <v>301</v>
      </c>
      <c r="V564" s="414" t="e">
        <f>X563</f>
        <v>#REF!</v>
      </c>
      <c r="W564" s="413">
        <f>J562</f>
        <v>9.5299999999999994</v>
      </c>
      <c r="X564" s="417" t="e">
        <f>V564+W564</f>
        <v>#REF!</v>
      </c>
      <c r="AA564" s="412" t="s">
        <v>301</v>
      </c>
      <c r="AB564" s="414" t="e">
        <f>AD563</f>
        <v>#REF!</v>
      </c>
      <c r="AC564" s="412">
        <f t="shared" si="72"/>
        <v>9.5299999999999994</v>
      </c>
      <c r="AD564" s="417" t="e">
        <f t="shared" si="73"/>
        <v>#REF!</v>
      </c>
      <c r="AE564" s="414">
        <f t="shared" si="59"/>
        <v>0</v>
      </c>
      <c r="AH564" s="412" t="s">
        <v>301</v>
      </c>
      <c r="AI564" s="414" t="e">
        <f>AK563</f>
        <v>#REF!</v>
      </c>
      <c r="AJ564" s="412">
        <f t="shared" si="74"/>
        <v>9.5299999999999994</v>
      </c>
      <c r="AK564" s="417" t="e">
        <f t="shared" si="75"/>
        <v>#REF!</v>
      </c>
    </row>
    <row r="565" spans="1:37" ht="24" customHeight="1">
      <c r="A565" s="424"/>
      <c r="B565" s="412"/>
      <c r="D565" s="412"/>
      <c r="H565" s="412">
        <v>6</v>
      </c>
      <c r="I565" s="414" t="e">
        <f t="shared" si="76"/>
        <v>#REF!</v>
      </c>
      <c r="J565" s="412">
        <f t="shared" si="77"/>
        <v>9.5299999999999994</v>
      </c>
      <c r="K565" s="417" t="e">
        <f t="shared" si="78"/>
        <v>#REF!</v>
      </c>
      <c r="O565" s="412"/>
      <c r="S565" s="412" t="s">
        <v>790</v>
      </c>
      <c r="U565" s="412" t="s">
        <v>2421</v>
      </c>
      <c r="V565" s="414" t="e">
        <f>X564</f>
        <v>#REF!</v>
      </c>
      <c r="W565" s="413">
        <f>J563</f>
        <v>9.5299999999999994</v>
      </c>
      <c r="X565" s="417" t="e">
        <f>V565+W565</f>
        <v>#REF!</v>
      </c>
      <c r="AA565" s="412" t="s">
        <v>309</v>
      </c>
      <c r="AB565" s="414" t="e">
        <f>AD564</f>
        <v>#REF!</v>
      </c>
      <c r="AC565" s="412">
        <f t="shared" si="72"/>
        <v>9.5299999999999994</v>
      </c>
      <c r="AD565" s="417" t="e">
        <f t="shared" si="73"/>
        <v>#REF!</v>
      </c>
      <c r="AH565" s="412" t="s">
        <v>309</v>
      </c>
      <c r="AI565" s="414" t="e">
        <f>AK564</f>
        <v>#REF!</v>
      </c>
      <c r="AJ565" s="412">
        <f t="shared" si="74"/>
        <v>9.5299999999999994</v>
      </c>
      <c r="AK565" s="417" t="e">
        <f t="shared" si="75"/>
        <v>#REF!</v>
      </c>
    </row>
    <row r="566" spans="1:37" ht="24" customHeight="1">
      <c r="A566" s="424"/>
      <c r="B566" s="412"/>
      <c r="D566" s="412"/>
      <c r="H566" s="412">
        <v>7</v>
      </c>
      <c r="I566" s="414" t="e">
        <f t="shared" si="76"/>
        <v>#REF!</v>
      </c>
      <c r="J566" s="412">
        <f t="shared" si="77"/>
        <v>9.5299999999999994</v>
      </c>
      <c r="K566" s="417" t="e">
        <f t="shared" si="78"/>
        <v>#REF!</v>
      </c>
      <c r="O566" s="412"/>
      <c r="W566" s="413"/>
      <c r="AA566" s="412" t="s">
        <v>1818</v>
      </c>
      <c r="AB566" s="414" t="e">
        <f>AD565</f>
        <v>#REF!</v>
      </c>
      <c r="AC566" s="412">
        <f t="shared" si="72"/>
        <v>0</v>
      </c>
      <c r="AD566" s="417" t="e">
        <f t="shared" si="73"/>
        <v>#REF!</v>
      </c>
      <c r="AH566" s="412" t="s">
        <v>1818</v>
      </c>
      <c r="AI566" s="414" t="e">
        <f>AK565</f>
        <v>#REF!</v>
      </c>
      <c r="AJ566" s="412">
        <f t="shared" si="74"/>
        <v>0</v>
      </c>
      <c r="AK566" s="417" t="e">
        <f t="shared" si="75"/>
        <v>#REF!</v>
      </c>
    </row>
    <row r="567" spans="1:37" ht="24" customHeight="1">
      <c r="A567" s="424"/>
      <c r="B567" s="412"/>
      <c r="D567" s="412"/>
      <c r="H567" s="412">
        <v>8</v>
      </c>
      <c r="I567" s="414" t="e">
        <f t="shared" si="76"/>
        <v>#REF!</v>
      </c>
      <c r="J567" s="412">
        <f t="shared" si="77"/>
        <v>9.5299999999999994</v>
      </c>
      <c r="K567" s="417" t="e">
        <f t="shared" si="78"/>
        <v>#REF!</v>
      </c>
      <c r="O567" s="412"/>
      <c r="W567" s="413"/>
      <c r="AG567" s="412"/>
    </row>
    <row r="568" spans="1:37" ht="24" customHeight="1">
      <c r="A568" s="424"/>
      <c r="B568" s="412"/>
      <c r="D568" s="412"/>
      <c r="H568" s="412">
        <v>9</v>
      </c>
      <c r="I568" s="414" t="e">
        <f t="shared" si="76"/>
        <v>#REF!</v>
      </c>
      <c r="J568" s="412">
        <f t="shared" si="77"/>
        <v>9.5299999999999994</v>
      </c>
      <c r="K568" s="417" t="e">
        <f t="shared" si="78"/>
        <v>#REF!</v>
      </c>
      <c r="O568" s="412"/>
      <c r="W568" s="413"/>
      <c r="AG568" s="412"/>
    </row>
    <row r="569" spans="1:37" ht="24" customHeight="1">
      <c r="A569" s="424"/>
      <c r="B569" s="412"/>
      <c r="D569" s="412"/>
      <c r="H569" s="412">
        <v>10</v>
      </c>
      <c r="I569" s="414" t="e">
        <f t="shared" si="76"/>
        <v>#REF!</v>
      </c>
      <c r="J569" s="412">
        <f t="shared" si="77"/>
        <v>9.5299999999999994</v>
      </c>
      <c r="K569" s="417" t="e">
        <f t="shared" si="78"/>
        <v>#REF!</v>
      </c>
      <c r="O569" s="412"/>
      <c r="W569" s="413"/>
      <c r="AG569" s="412"/>
    </row>
    <row r="570" spans="1:37" ht="24" customHeight="1">
      <c r="A570" s="424"/>
      <c r="B570" s="412"/>
      <c r="D570" s="412"/>
      <c r="H570" s="412">
        <v>11</v>
      </c>
      <c r="I570" s="414" t="e">
        <f>K569</f>
        <v>#REF!</v>
      </c>
      <c r="J570" s="412">
        <f t="shared" si="77"/>
        <v>9.5299999999999994</v>
      </c>
      <c r="K570" s="417" t="e">
        <f>I570+J570</f>
        <v>#REF!</v>
      </c>
      <c r="O570" s="412"/>
      <c r="W570" s="413"/>
      <c r="AG570" s="412"/>
    </row>
    <row r="571" spans="1:37" ht="24" customHeight="1">
      <c r="A571" s="424"/>
      <c r="B571" s="412"/>
      <c r="D571" s="412"/>
      <c r="H571" s="412">
        <v>12</v>
      </c>
      <c r="I571" s="414" t="e">
        <f>K570</f>
        <v>#REF!</v>
      </c>
      <c r="J571" s="412">
        <f t="shared" si="77"/>
        <v>9.5299999999999994</v>
      </c>
      <c r="K571" s="417" t="e">
        <f>I571+J571</f>
        <v>#REF!</v>
      </c>
      <c r="O571" s="412"/>
      <c r="W571" s="413"/>
      <c r="AG571" s="412"/>
    </row>
    <row r="572" spans="1:37" ht="24" customHeight="1">
      <c r="A572" s="424">
        <f>(A564+1)</f>
        <v>381</v>
      </c>
      <c r="B572" s="412" t="s">
        <v>921</v>
      </c>
      <c r="C572" s="414">
        <v>37.96</v>
      </c>
      <c r="D572" s="412" t="s">
        <v>701</v>
      </c>
      <c r="F572" s="427"/>
      <c r="G572" s="414" t="s">
        <v>790</v>
      </c>
      <c r="H572" s="412" t="s">
        <v>106</v>
      </c>
      <c r="O572" s="418" t="s">
        <v>1288</v>
      </c>
      <c r="S572" s="432"/>
      <c r="T572" s="414" t="s">
        <v>790</v>
      </c>
      <c r="U572" s="412" t="s">
        <v>106</v>
      </c>
      <c r="W572" s="413"/>
      <c r="AA572" s="412" t="s">
        <v>301</v>
      </c>
      <c r="AB572" s="414">
        <f>AD571</f>
        <v>0</v>
      </c>
      <c r="AC572" s="412">
        <f>W572</f>
        <v>0</v>
      </c>
      <c r="AD572" s="417">
        <f>AB572+AC572</f>
        <v>0</v>
      </c>
      <c r="AE572" s="414" t="str">
        <f t="shared" si="59"/>
        <v>|</v>
      </c>
      <c r="AG572" s="412" t="s">
        <v>1841</v>
      </c>
    </row>
    <row r="573" spans="1:37" ht="24" customHeight="1">
      <c r="A573" s="424">
        <f t="shared" ref="A573:A587" si="79">(A572+1)</f>
        <v>382</v>
      </c>
      <c r="B573" s="412" t="s">
        <v>107</v>
      </c>
      <c r="D573" s="412" t="s">
        <v>790</v>
      </c>
      <c r="H573" s="412" t="s">
        <v>1031</v>
      </c>
      <c r="U573" s="412" t="s">
        <v>1031</v>
      </c>
      <c r="W573" s="413"/>
      <c r="AE573" s="414" t="str">
        <f t="shared" si="59"/>
        <v>|</v>
      </c>
      <c r="AG573" s="412" t="s">
        <v>1841</v>
      </c>
    </row>
    <row r="574" spans="1:37" ht="24" customHeight="1">
      <c r="A574" s="424">
        <f t="shared" si="79"/>
        <v>383</v>
      </c>
      <c r="B574" s="412" t="s">
        <v>770</v>
      </c>
      <c r="C574" s="414">
        <v>6.68</v>
      </c>
      <c r="D574" s="412" t="s">
        <v>701</v>
      </c>
      <c r="H574" s="412" t="s">
        <v>1032</v>
      </c>
      <c r="N574" s="412" t="s">
        <v>125</v>
      </c>
      <c r="O574" s="412" t="s">
        <v>831</v>
      </c>
      <c r="U574" s="412" t="s">
        <v>1032</v>
      </c>
      <c r="W574" s="413"/>
      <c r="AE574" s="414" t="str">
        <f t="shared" si="59"/>
        <v>|</v>
      </c>
      <c r="AG574" s="412" t="s">
        <v>1841</v>
      </c>
    </row>
    <row r="575" spans="1:37" ht="24" customHeight="1">
      <c r="A575" s="424">
        <f t="shared" si="79"/>
        <v>384</v>
      </c>
      <c r="B575" s="412" t="s">
        <v>598</v>
      </c>
      <c r="C575" s="414">
        <v>9.4499999999999993</v>
      </c>
      <c r="D575" s="412" t="s">
        <v>701</v>
      </c>
      <c r="H575" s="412" t="s">
        <v>832</v>
      </c>
      <c r="O575" s="418" t="s">
        <v>1288</v>
      </c>
      <c r="U575" s="412" t="s">
        <v>832</v>
      </c>
      <c r="W575" s="413"/>
      <c r="AE575" s="414" t="str">
        <f t="shared" si="59"/>
        <v>|</v>
      </c>
      <c r="AG575" s="412" t="s">
        <v>1841</v>
      </c>
    </row>
    <row r="576" spans="1:37" ht="24" customHeight="1">
      <c r="A576" s="424">
        <f t="shared" si="79"/>
        <v>385</v>
      </c>
      <c r="B576" s="412" t="s">
        <v>1357</v>
      </c>
      <c r="C576" s="414">
        <v>33.04</v>
      </c>
      <c r="D576" s="412" t="s">
        <v>701</v>
      </c>
      <c r="H576" s="412" t="s">
        <v>833</v>
      </c>
      <c r="M576" s="414">
        <v>8.1</v>
      </c>
      <c r="N576" s="412" t="s">
        <v>702</v>
      </c>
      <c r="O576" s="412" t="s">
        <v>493</v>
      </c>
      <c r="P576" s="414">
        <f>(C61)*2</f>
        <v>224.1</v>
      </c>
      <c r="Q576" s="412" t="s">
        <v>702</v>
      </c>
      <c r="R576" s="414">
        <f>(M576*P576)</f>
        <v>1815.21</v>
      </c>
      <c r="U576" s="412" t="s">
        <v>833</v>
      </c>
      <c r="W576" s="413"/>
      <c r="AE576" s="414" t="str">
        <f t="shared" si="59"/>
        <v>|</v>
      </c>
      <c r="AG576" s="412" t="s">
        <v>1841</v>
      </c>
    </row>
    <row r="577" spans="1:33" ht="24" customHeight="1">
      <c r="A577" s="424">
        <f t="shared" si="79"/>
        <v>386</v>
      </c>
      <c r="B577" s="412" t="s">
        <v>1516</v>
      </c>
      <c r="C577" s="414">
        <v>33.04</v>
      </c>
      <c r="D577" s="412" t="s">
        <v>701</v>
      </c>
      <c r="H577" s="412" t="s">
        <v>1015</v>
      </c>
      <c r="M577" s="414">
        <v>8.1</v>
      </c>
      <c r="N577" s="412" t="s">
        <v>702</v>
      </c>
      <c r="O577" s="412" t="s">
        <v>1755</v>
      </c>
      <c r="P577" s="414">
        <f>(C26)</f>
        <v>38.950000000000003</v>
      </c>
      <c r="Q577" s="412" t="s">
        <v>702</v>
      </c>
      <c r="R577" s="414">
        <f>(M577*P577)</f>
        <v>315.5</v>
      </c>
      <c r="U577" s="412" t="s">
        <v>1015</v>
      </c>
      <c r="W577" s="413"/>
      <c r="AE577" s="414" t="str">
        <f t="shared" si="59"/>
        <v>|</v>
      </c>
      <c r="AG577" s="412" t="s">
        <v>1841</v>
      </c>
    </row>
    <row r="578" spans="1:33" ht="24" customHeight="1">
      <c r="A578" s="424">
        <f t="shared" si="79"/>
        <v>387</v>
      </c>
      <c r="B578" s="412" t="s">
        <v>1016</v>
      </c>
      <c r="C578" s="414">
        <v>33.04</v>
      </c>
      <c r="D578" s="412" t="s">
        <v>701</v>
      </c>
      <c r="H578" s="412" t="s">
        <v>934</v>
      </c>
      <c r="M578" s="414">
        <v>30</v>
      </c>
      <c r="N578" s="412" t="s">
        <v>1443</v>
      </c>
      <c r="O578" s="412" t="s">
        <v>1756</v>
      </c>
      <c r="P578" s="414">
        <f>(C661)</f>
        <v>11.2</v>
      </c>
      <c r="Q578" s="412" t="s">
        <v>1443</v>
      </c>
      <c r="R578" s="414">
        <f>(M578*P578)</f>
        <v>336</v>
      </c>
      <c r="U578" s="412" t="s">
        <v>934</v>
      </c>
      <c r="W578" s="413"/>
      <c r="AE578" s="414" t="str">
        <f t="shared" si="59"/>
        <v>|</v>
      </c>
      <c r="AG578" s="412" t="s">
        <v>1841</v>
      </c>
    </row>
    <row r="579" spans="1:33" ht="24" customHeight="1">
      <c r="A579" s="424">
        <f t="shared" si="79"/>
        <v>388</v>
      </c>
      <c r="B579" s="412" t="s">
        <v>1017</v>
      </c>
      <c r="C579" s="414">
        <v>33.04</v>
      </c>
      <c r="D579" s="412" t="s">
        <v>701</v>
      </c>
      <c r="H579" s="418" t="s">
        <v>1288</v>
      </c>
      <c r="I579" s="418" t="s">
        <v>1288</v>
      </c>
      <c r="O579" s="412" t="s">
        <v>1018</v>
      </c>
      <c r="U579" s="418" t="s">
        <v>1288</v>
      </c>
      <c r="V579" s="418" t="s">
        <v>1288</v>
      </c>
      <c r="W579" s="413"/>
      <c r="AE579" s="414" t="str">
        <f t="shared" si="59"/>
        <v>|</v>
      </c>
      <c r="AG579" s="412" t="s">
        <v>1841</v>
      </c>
    </row>
    <row r="580" spans="1:33" ht="24" customHeight="1">
      <c r="A580" s="424">
        <f t="shared" si="79"/>
        <v>389</v>
      </c>
      <c r="B580" s="412" t="s">
        <v>489</v>
      </c>
      <c r="C580" s="414">
        <v>538</v>
      </c>
      <c r="D580" s="412" t="s">
        <v>701</v>
      </c>
      <c r="G580" s="414" t="s">
        <v>550</v>
      </c>
      <c r="H580" s="412" t="s">
        <v>490</v>
      </c>
      <c r="O580" s="412" t="s">
        <v>1758</v>
      </c>
      <c r="T580" s="414" t="s">
        <v>550</v>
      </c>
      <c r="U580" s="412" t="s">
        <v>1761</v>
      </c>
      <c r="W580" s="413"/>
      <c r="AE580" s="414" t="str">
        <f t="shared" si="59"/>
        <v>|</v>
      </c>
      <c r="AG580" s="412" t="s">
        <v>1841</v>
      </c>
    </row>
    <row r="581" spans="1:33" ht="24" customHeight="1">
      <c r="A581" s="424">
        <f t="shared" si="79"/>
        <v>390</v>
      </c>
      <c r="B581" s="412" t="s">
        <v>1858</v>
      </c>
      <c r="C581" s="414">
        <v>340</v>
      </c>
      <c r="D581" s="412" t="s">
        <v>701</v>
      </c>
      <c r="H581" s="412" t="s">
        <v>1859</v>
      </c>
      <c r="O581" s="412" t="s">
        <v>1759</v>
      </c>
      <c r="U581" s="412" t="s">
        <v>1859</v>
      </c>
      <c r="W581" s="413"/>
      <c r="AE581" s="414" t="str">
        <f t="shared" si="59"/>
        <v>|</v>
      </c>
      <c r="AG581" s="412" t="s">
        <v>1841</v>
      </c>
    </row>
    <row r="582" spans="1:33" ht="24" customHeight="1">
      <c r="A582" s="424">
        <f t="shared" si="79"/>
        <v>391</v>
      </c>
      <c r="B582" s="412" t="s">
        <v>1860</v>
      </c>
      <c r="C582" s="414">
        <v>1039</v>
      </c>
      <c r="D582" s="412" t="s">
        <v>701</v>
      </c>
      <c r="F582" s="414">
        <v>10</v>
      </c>
      <c r="G582" s="414" t="s">
        <v>1861</v>
      </c>
      <c r="H582" s="412" t="s">
        <v>452</v>
      </c>
      <c r="I582" s="414">
        <f>C751</f>
        <v>376.7</v>
      </c>
      <c r="J582" s="412" t="s">
        <v>1861</v>
      </c>
      <c r="K582" s="414">
        <f>(F582*I582)</f>
        <v>3767</v>
      </c>
      <c r="O582" s="412" t="s">
        <v>1762</v>
      </c>
      <c r="S582" s="416">
        <v>10</v>
      </c>
      <c r="T582" s="414" t="s">
        <v>1861</v>
      </c>
      <c r="U582" s="412" t="s">
        <v>452</v>
      </c>
      <c r="V582" s="414">
        <f>I604</f>
        <v>408</v>
      </c>
      <c r="W582" s="413" t="s">
        <v>1861</v>
      </c>
      <c r="X582" s="414">
        <f>(S582*V582)</f>
        <v>4080</v>
      </c>
      <c r="AE582" s="414" t="str">
        <f t="shared" si="59"/>
        <v>|</v>
      </c>
      <c r="AG582" s="412" t="s">
        <v>1841</v>
      </c>
    </row>
    <row r="583" spans="1:33" ht="24" customHeight="1">
      <c r="A583" s="424">
        <f t="shared" si="79"/>
        <v>392</v>
      </c>
      <c r="B583" s="412" t="s">
        <v>2969</v>
      </c>
      <c r="C583" s="414">
        <v>230.2</v>
      </c>
      <c r="D583" s="412" t="s">
        <v>701</v>
      </c>
      <c r="F583" s="414">
        <v>1</v>
      </c>
      <c r="G583" s="414" t="s">
        <v>453</v>
      </c>
      <c r="H583" s="412" t="s">
        <v>454</v>
      </c>
      <c r="I583" s="414">
        <f>C10</f>
        <v>999</v>
      </c>
      <c r="J583" s="412" t="s">
        <v>1134</v>
      </c>
      <c r="K583" s="414">
        <f>(F583*I583)</f>
        <v>999</v>
      </c>
      <c r="M583" s="414">
        <v>8</v>
      </c>
      <c r="N583" s="412" t="s">
        <v>619</v>
      </c>
      <c r="O583" s="412" t="s">
        <v>1744</v>
      </c>
      <c r="P583" s="414">
        <v>10.199999999999999</v>
      </c>
      <c r="Q583" s="412" t="s">
        <v>619</v>
      </c>
      <c r="R583" s="414">
        <f>(M583*P583)</f>
        <v>81.599999999999994</v>
      </c>
      <c r="S583" s="416">
        <v>1</v>
      </c>
      <c r="T583" s="414" t="s">
        <v>453</v>
      </c>
      <c r="U583" s="412" t="s">
        <v>454</v>
      </c>
      <c r="V583" s="414">
        <f>I583</f>
        <v>999</v>
      </c>
      <c r="W583" s="413" t="s">
        <v>1134</v>
      </c>
      <c r="X583" s="414">
        <f>(S583*V583)</f>
        <v>999</v>
      </c>
      <c r="AE583" s="414" t="str">
        <f t="shared" si="59"/>
        <v>|</v>
      </c>
      <c r="AG583" s="412" t="s">
        <v>1841</v>
      </c>
    </row>
    <row r="584" spans="1:33" ht="24" customHeight="1">
      <c r="A584" s="424">
        <f t="shared" si="79"/>
        <v>393</v>
      </c>
      <c r="B584" s="412" t="s">
        <v>666</v>
      </c>
      <c r="C584" s="414">
        <v>31</v>
      </c>
      <c r="D584" s="412" t="s">
        <v>939</v>
      </c>
      <c r="F584" s="414">
        <v>1</v>
      </c>
      <c r="G584" s="414" t="s">
        <v>453</v>
      </c>
      <c r="H584" s="412" t="s">
        <v>667</v>
      </c>
      <c r="I584" s="414">
        <f>C12</f>
        <v>651</v>
      </c>
      <c r="J584" s="412" t="s">
        <v>1134</v>
      </c>
      <c r="K584" s="414">
        <f>(F584*I584)</f>
        <v>651</v>
      </c>
      <c r="M584" s="414">
        <v>8</v>
      </c>
      <c r="N584" s="412" t="s">
        <v>619</v>
      </c>
      <c r="O584" s="412" t="s">
        <v>376</v>
      </c>
      <c r="P584" s="414">
        <v>28.5</v>
      </c>
      <c r="Q584" s="412" t="s">
        <v>619</v>
      </c>
      <c r="R584" s="414">
        <f>(M584*P584)</f>
        <v>228</v>
      </c>
      <c r="S584" s="416">
        <v>1</v>
      </c>
      <c r="T584" s="414" t="s">
        <v>453</v>
      </c>
      <c r="U584" s="412" t="s">
        <v>667</v>
      </c>
      <c r="V584" s="414">
        <f>I584</f>
        <v>651</v>
      </c>
      <c r="W584" s="413" t="s">
        <v>1134</v>
      </c>
      <c r="X584" s="414">
        <f>(S584*V584)</f>
        <v>651</v>
      </c>
      <c r="AE584" s="414" t="str">
        <f t="shared" si="59"/>
        <v>|</v>
      </c>
      <c r="AG584" s="412" t="s">
        <v>1841</v>
      </c>
    </row>
    <row r="585" spans="1:33" ht="24" customHeight="1">
      <c r="A585" s="424">
        <f t="shared" si="79"/>
        <v>394</v>
      </c>
      <c r="B585" s="412" t="s">
        <v>2970</v>
      </c>
      <c r="C585" s="414">
        <v>206</v>
      </c>
      <c r="D585" s="412" t="s">
        <v>701</v>
      </c>
      <c r="G585" s="414" t="s">
        <v>358</v>
      </c>
      <c r="H585" s="412" t="s">
        <v>42</v>
      </c>
      <c r="J585" s="412" t="s">
        <v>358</v>
      </c>
      <c r="K585" s="414">
        <v>120</v>
      </c>
      <c r="M585" s="414">
        <v>1</v>
      </c>
      <c r="N585" s="412" t="s">
        <v>358</v>
      </c>
      <c r="O585" s="412" t="s">
        <v>1373</v>
      </c>
      <c r="P585" s="414">
        <f>(C673)</f>
        <v>4</v>
      </c>
      <c r="Q585" s="412" t="s">
        <v>358</v>
      </c>
      <c r="R585" s="414">
        <f>(M585*P585)</f>
        <v>4</v>
      </c>
      <c r="T585" s="414" t="s">
        <v>358</v>
      </c>
      <c r="U585" s="412" t="s">
        <v>42</v>
      </c>
      <c r="V585" s="414">
        <f>I585</f>
        <v>0</v>
      </c>
      <c r="W585" s="413" t="s">
        <v>358</v>
      </c>
      <c r="X585" s="414">
        <v>120</v>
      </c>
      <c r="AE585" s="414" t="str">
        <f t="shared" si="59"/>
        <v>|</v>
      </c>
      <c r="AG585" s="412" t="s">
        <v>1841</v>
      </c>
    </row>
    <row r="586" spans="1:33" ht="24" customHeight="1">
      <c r="A586" s="424">
        <f t="shared" si="79"/>
        <v>395</v>
      </c>
      <c r="B586" s="412" t="s">
        <v>3161</v>
      </c>
      <c r="C586" s="414">
        <v>93.4</v>
      </c>
      <c r="D586" s="412" t="s">
        <v>701</v>
      </c>
      <c r="H586" s="412" t="s">
        <v>751</v>
      </c>
      <c r="K586" s="418" t="s">
        <v>1288</v>
      </c>
      <c r="M586" s="414">
        <v>1</v>
      </c>
      <c r="N586" s="412" t="s">
        <v>358</v>
      </c>
      <c r="O586" s="412" t="s">
        <v>359</v>
      </c>
      <c r="Q586" s="412" t="s">
        <v>358</v>
      </c>
      <c r="R586" s="414">
        <v>0</v>
      </c>
      <c r="U586" s="412" t="s">
        <v>751</v>
      </c>
      <c r="W586" s="413"/>
      <c r="X586" s="418" t="s">
        <v>1288</v>
      </c>
      <c r="AE586" s="414">
        <f t="shared" si="59"/>
        <v>0</v>
      </c>
    </row>
    <row r="587" spans="1:33" ht="24" customHeight="1">
      <c r="A587" s="424">
        <f t="shared" si="79"/>
        <v>396</v>
      </c>
      <c r="B587" s="412" t="s">
        <v>857</v>
      </c>
      <c r="C587" s="414">
        <v>57.51</v>
      </c>
      <c r="D587" s="412" t="s">
        <v>701</v>
      </c>
      <c r="H587" s="413" t="s">
        <v>858</v>
      </c>
      <c r="K587" s="414">
        <f>SUM(K582:K585)</f>
        <v>5537</v>
      </c>
      <c r="R587" s="418" t="s">
        <v>1288</v>
      </c>
      <c r="U587" s="413" t="s">
        <v>858</v>
      </c>
      <c r="W587" s="413"/>
      <c r="X587" s="414">
        <f>SUM(X582:X585)</f>
        <v>5850</v>
      </c>
      <c r="AE587" s="414" t="str">
        <f t="shared" si="59"/>
        <v>|</v>
      </c>
      <c r="AG587" s="412" t="s">
        <v>1841</v>
      </c>
    </row>
    <row r="588" spans="1:33" ht="24" customHeight="1">
      <c r="A588" s="424">
        <f>(A587+1)</f>
        <v>397</v>
      </c>
      <c r="B588" s="412" t="s">
        <v>738</v>
      </c>
      <c r="C588" s="414">
        <v>30</v>
      </c>
      <c r="D588" s="412" t="s">
        <v>701</v>
      </c>
      <c r="K588" s="418" t="s">
        <v>1288</v>
      </c>
      <c r="O588" s="412" t="s">
        <v>1252</v>
      </c>
      <c r="R588" s="414">
        <f>SUM(R576:R586)</f>
        <v>2780.31</v>
      </c>
      <c r="W588" s="413"/>
      <c r="X588" s="418" t="s">
        <v>1288</v>
      </c>
      <c r="AE588" s="414" t="str">
        <f t="shared" si="59"/>
        <v>|</v>
      </c>
      <c r="AG588" s="412" t="s">
        <v>1841</v>
      </c>
    </row>
    <row r="589" spans="1:33" ht="24" customHeight="1">
      <c r="A589" s="424">
        <f t="shared" ref="A589:A636" si="80">(A588+1)</f>
        <v>398</v>
      </c>
      <c r="B589" s="412" t="s">
        <v>401</v>
      </c>
      <c r="C589" s="414">
        <v>57.51</v>
      </c>
      <c r="D589" s="412" t="s">
        <v>701</v>
      </c>
      <c r="H589" s="413" t="s">
        <v>402</v>
      </c>
      <c r="K589" s="414">
        <f>K587/10</f>
        <v>553.70000000000005</v>
      </c>
      <c r="R589" s="418" t="s">
        <v>1288</v>
      </c>
      <c r="U589" s="413" t="s">
        <v>402</v>
      </c>
      <c r="W589" s="413"/>
      <c r="X589" s="414">
        <f>X587/10</f>
        <v>585</v>
      </c>
      <c r="AE589" s="414" t="str">
        <f t="shared" si="59"/>
        <v>|</v>
      </c>
      <c r="AG589" s="412" t="s">
        <v>1841</v>
      </c>
    </row>
    <row r="590" spans="1:33" ht="24" customHeight="1">
      <c r="A590" s="424">
        <f t="shared" si="80"/>
        <v>399</v>
      </c>
      <c r="B590" s="412" t="s">
        <v>1554</v>
      </c>
      <c r="C590" s="414">
        <v>20</v>
      </c>
      <c r="D590" s="412" t="s">
        <v>701</v>
      </c>
      <c r="H590" s="412" t="s">
        <v>307</v>
      </c>
      <c r="I590" s="414">
        <f t="shared" ref="I590:I599" si="81">K589</f>
        <v>553.70000000000005</v>
      </c>
      <c r="J590" s="412">
        <f>C22*0.02</f>
        <v>2.4</v>
      </c>
      <c r="K590" s="417">
        <f>I590+J590</f>
        <v>556.1</v>
      </c>
      <c r="O590" s="412" t="s">
        <v>1253</v>
      </c>
      <c r="R590" s="414">
        <f>(R588/30)</f>
        <v>92.68</v>
      </c>
      <c r="U590" s="412" t="s">
        <v>307</v>
      </c>
      <c r="V590" s="414">
        <f>J612</f>
        <v>4.79</v>
      </c>
      <c r="W590" s="413" t="e">
        <f>P22*0.02</f>
        <v>#REF!</v>
      </c>
      <c r="X590" s="417">
        <f>X589+V590</f>
        <v>589.79</v>
      </c>
      <c r="Y590" s="414">
        <f>X595+V594</f>
        <v>646.42999999999995</v>
      </c>
      <c r="AE590" s="414" t="str">
        <f t="shared" si="59"/>
        <v>|</v>
      </c>
      <c r="AG590" s="412" t="s">
        <v>1841</v>
      </c>
    </row>
    <row r="591" spans="1:33" ht="24" customHeight="1">
      <c r="A591" s="424">
        <f t="shared" si="80"/>
        <v>400</v>
      </c>
      <c r="B591" s="412" t="s">
        <v>1555</v>
      </c>
      <c r="C591" s="414">
        <v>21.92</v>
      </c>
      <c r="D591" s="412" t="s">
        <v>701</v>
      </c>
      <c r="H591" s="412" t="s">
        <v>309</v>
      </c>
      <c r="I591" s="414">
        <f t="shared" si="81"/>
        <v>556.1</v>
      </c>
      <c r="J591" s="412">
        <f>C23*0.02</f>
        <v>4.72</v>
      </c>
      <c r="K591" s="417">
        <f>I591+J591</f>
        <v>560.82000000000005</v>
      </c>
      <c r="N591" s="412" t="s">
        <v>1833</v>
      </c>
      <c r="O591" s="412" t="s">
        <v>1556</v>
      </c>
      <c r="U591" s="412" t="s">
        <v>309</v>
      </c>
      <c r="V591" s="414">
        <f>J613</f>
        <v>9.44</v>
      </c>
      <c r="W591" s="413" t="e">
        <f>P23*0.02</f>
        <v>#REF!</v>
      </c>
      <c r="X591" s="417">
        <f>X590+V591</f>
        <v>599.23</v>
      </c>
      <c r="Y591" s="414">
        <f>Y590+V594</f>
        <v>655.87</v>
      </c>
      <c r="AE591" s="414" t="str">
        <f t="shared" si="59"/>
        <v>|</v>
      </c>
      <c r="AG591" s="412" t="s">
        <v>1841</v>
      </c>
    </row>
    <row r="592" spans="1:33" ht="24" customHeight="1">
      <c r="A592" s="424">
        <f t="shared" si="80"/>
        <v>401</v>
      </c>
      <c r="B592" s="412" t="s">
        <v>3162</v>
      </c>
      <c r="C592" s="414">
        <v>145.15</v>
      </c>
      <c r="D592" s="412" t="s">
        <v>701</v>
      </c>
      <c r="H592" s="412" t="s">
        <v>1818</v>
      </c>
      <c r="I592" s="414">
        <f t="shared" si="81"/>
        <v>560.82000000000005</v>
      </c>
      <c r="J592" s="412">
        <f>C23*0.02</f>
        <v>4.72</v>
      </c>
      <c r="K592" s="417">
        <f>I592+J592</f>
        <v>565.54</v>
      </c>
      <c r="O592" s="412" t="s">
        <v>185</v>
      </c>
      <c r="U592" s="412" t="s">
        <v>1818</v>
      </c>
      <c r="V592" s="414">
        <f>J614</f>
        <v>9.44</v>
      </c>
      <c r="W592" s="413" t="e">
        <f>P23*0.02</f>
        <v>#REF!</v>
      </c>
      <c r="X592" s="417">
        <f>X591+V592</f>
        <v>608.66999999999996</v>
      </c>
      <c r="Y592" s="414">
        <f>Y591+V594</f>
        <v>665.31</v>
      </c>
      <c r="AE592" s="414" t="str">
        <f t="shared" si="59"/>
        <v>|</v>
      </c>
      <c r="AG592" s="412" t="s">
        <v>1841</v>
      </c>
    </row>
    <row r="593" spans="1:33" ht="24" customHeight="1">
      <c r="A593" s="424">
        <f t="shared" si="80"/>
        <v>402</v>
      </c>
      <c r="B593" s="412" t="s">
        <v>3163</v>
      </c>
      <c r="C593" s="414">
        <v>995</v>
      </c>
      <c r="D593" s="412" t="s">
        <v>701</v>
      </c>
      <c r="H593" s="412" t="s">
        <v>301</v>
      </c>
      <c r="I593" s="414">
        <f t="shared" si="81"/>
        <v>565.54</v>
      </c>
      <c r="J593" s="412">
        <f>C23*0.02</f>
        <v>4.72</v>
      </c>
      <c r="K593" s="417">
        <f>I593+J593</f>
        <v>570.26</v>
      </c>
      <c r="O593" s="418" t="s">
        <v>1288</v>
      </c>
      <c r="U593" s="412" t="s">
        <v>301</v>
      </c>
      <c r="V593" s="414">
        <f>J615</f>
        <v>9.44</v>
      </c>
      <c r="W593" s="413" t="e">
        <f>P23*0.02</f>
        <v>#REF!</v>
      </c>
      <c r="X593" s="417">
        <f>X592+V593</f>
        <v>618.11</v>
      </c>
      <c r="Y593" s="414">
        <f>Y592+V594</f>
        <v>674.75</v>
      </c>
      <c r="AE593" s="414" t="str">
        <f t="shared" si="59"/>
        <v>|</v>
      </c>
      <c r="AG593" s="412" t="s">
        <v>1841</v>
      </c>
    </row>
    <row r="594" spans="1:33" ht="24" customHeight="1">
      <c r="A594" s="424"/>
      <c r="B594" s="412"/>
      <c r="D594" s="412"/>
      <c r="H594" s="412" t="s">
        <v>1110</v>
      </c>
      <c r="I594" s="414">
        <f t="shared" si="81"/>
        <v>570.26</v>
      </c>
      <c r="J594" s="412">
        <f>C23*0.02</f>
        <v>4.72</v>
      </c>
      <c r="K594" s="417">
        <f t="shared" ref="K594:K599" si="82">I594+J594</f>
        <v>574.98</v>
      </c>
      <c r="O594" s="418"/>
      <c r="U594" s="412" t="s">
        <v>1110</v>
      </c>
      <c r="V594" s="414">
        <f>J616</f>
        <v>9.44</v>
      </c>
      <c r="W594" s="413" t="e">
        <f>P23*0.02</f>
        <v>#REF!</v>
      </c>
      <c r="X594" s="417">
        <f>X593+V594</f>
        <v>627.54999999999995</v>
      </c>
      <c r="Y594" s="414">
        <f>Y593+V594</f>
        <v>684.19</v>
      </c>
      <c r="AE594" s="414" t="str">
        <f t="shared" si="59"/>
        <v>|::</v>
      </c>
      <c r="AG594" s="412" t="s">
        <v>246</v>
      </c>
    </row>
    <row r="595" spans="1:33" ht="24" customHeight="1">
      <c r="A595" s="424">
        <f>(A593+1)</f>
        <v>403</v>
      </c>
      <c r="B595" s="412" t="s">
        <v>441</v>
      </c>
      <c r="C595" s="414">
        <v>21</v>
      </c>
      <c r="D595" s="412" t="s">
        <v>701</v>
      </c>
      <c r="H595" s="412" t="s">
        <v>2159</v>
      </c>
      <c r="I595" s="414">
        <f t="shared" si="81"/>
        <v>574.98</v>
      </c>
      <c r="J595" s="412">
        <f>C23*0.02</f>
        <v>4.72</v>
      </c>
      <c r="K595" s="417">
        <f t="shared" si="82"/>
        <v>579.70000000000005</v>
      </c>
      <c r="M595" s="414">
        <v>1.08</v>
      </c>
      <c r="N595" s="412" t="s">
        <v>702</v>
      </c>
      <c r="O595" s="412" t="s">
        <v>632</v>
      </c>
      <c r="P595" s="414">
        <f>(K88)</f>
        <v>237.08</v>
      </c>
      <c r="Q595" s="412" t="s">
        <v>702</v>
      </c>
      <c r="R595" s="414">
        <f>(M595*P595)</f>
        <v>256.05</v>
      </c>
      <c r="S595" s="432">
        <v>15.2</v>
      </c>
      <c r="T595" s="414" t="s">
        <v>550</v>
      </c>
      <c r="U595" s="412" t="s">
        <v>631</v>
      </c>
      <c r="W595" s="413"/>
      <c r="X595" s="417">
        <f>X594+V594</f>
        <v>636.99</v>
      </c>
      <c r="AE595" s="414">
        <f t="shared" si="59"/>
        <v>0</v>
      </c>
    </row>
    <row r="596" spans="1:33" ht="24" customHeight="1">
      <c r="A596" s="424">
        <f t="shared" si="80"/>
        <v>404</v>
      </c>
      <c r="B596" s="412" t="s">
        <v>633</v>
      </c>
      <c r="C596" s="414">
        <v>150</v>
      </c>
      <c r="D596" s="412" t="s">
        <v>701</v>
      </c>
      <c r="H596" s="412" t="s">
        <v>2160</v>
      </c>
      <c r="I596" s="414">
        <f t="shared" si="81"/>
        <v>579.70000000000005</v>
      </c>
      <c r="J596" s="412">
        <f>C23*0.02</f>
        <v>4.72</v>
      </c>
      <c r="K596" s="417">
        <f t="shared" si="82"/>
        <v>584.41999999999996</v>
      </c>
      <c r="M596" s="416">
        <v>0.216</v>
      </c>
      <c r="N596" s="412" t="s">
        <v>702</v>
      </c>
      <c r="O596" s="412" t="s">
        <v>634</v>
      </c>
      <c r="P596" s="414" t="e">
        <f>(R60)</f>
        <v>#REF!</v>
      </c>
      <c r="Q596" s="412" t="s">
        <v>702</v>
      </c>
      <c r="R596" s="414" t="e">
        <f>(M596*P596)</f>
        <v>#REF!</v>
      </c>
      <c r="W596" s="413"/>
      <c r="AE596" s="414">
        <f t="shared" si="59"/>
        <v>0</v>
      </c>
    </row>
    <row r="597" spans="1:33" ht="24" customHeight="1">
      <c r="A597" s="424">
        <f t="shared" si="80"/>
        <v>405</v>
      </c>
      <c r="B597" s="412" t="s">
        <v>2833</v>
      </c>
      <c r="C597" s="414">
        <v>21.6</v>
      </c>
      <c r="D597" s="412" t="s">
        <v>701</v>
      </c>
      <c r="H597" s="412" t="s">
        <v>2161</v>
      </c>
      <c r="I597" s="414">
        <f t="shared" si="81"/>
        <v>584.41999999999996</v>
      </c>
      <c r="J597" s="412">
        <f>C23*0.02</f>
        <v>4.72</v>
      </c>
      <c r="K597" s="417">
        <f t="shared" si="82"/>
        <v>589.14</v>
      </c>
      <c r="M597" s="416">
        <v>0.48699999999999999</v>
      </c>
      <c r="N597" s="412" t="s">
        <v>702</v>
      </c>
      <c r="O597" s="412" t="s">
        <v>1608</v>
      </c>
      <c r="P597" s="414" t="e">
        <f>AG321</f>
        <v>#REF!</v>
      </c>
      <c r="Q597" s="412" t="s">
        <v>702</v>
      </c>
      <c r="R597" s="414" t="e">
        <f>(M597*P597)</f>
        <v>#REF!</v>
      </c>
      <c r="W597" s="413"/>
      <c r="AE597" s="414" t="str">
        <f t="shared" ref="AE597:AE637" si="83">AG597</f>
        <v>|</v>
      </c>
      <c r="AG597" s="412" t="s">
        <v>1841</v>
      </c>
    </row>
    <row r="598" spans="1:33" ht="24" customHeight="1">
      <c r="A598" s="424">
        <f t="shared" si="80"/>
        <v>406</v>
      </c>
      <c r="B598" s="412" t="s">
        <v>3164</v>
      </c>
      <c r="C598" s="414">
        <v>57.65</v>
      </c>
      <c r="D598" s="414">
        <v>49.55</v>
      </c>
      <c r="E598" s="414" t="s">
        <v>2971</v>
      </c>
      <c r="H598" s="412" t="s">
        <v>2162</v>
      </c>
      <c r="I598" s="414">
        <f t="shared" si="81"/>
        <v>589.14</v>
      </c>
      <c r="J598" s="412">
        <f>C23*0.02</f>
        <v>4.72</v>
      </c>
      <c r="K598" s="417">
        <f t="shared" si="82"/>
        <v>593.86</v>
      </c>
      <c r="M598" s="416">
        <v>5.36</v>
      </c>
      <c r="N598" s="412" t="s">
        <v>488</v>
      </c>
      <c r="O598" s="412" t="s">
        <v>1609</v>
      </c>
      <c r="P598" s="414" t="e">
        <f>(R304)</f>
        <v>#REF!</v>
      </c>
      <c r="Q598" s="412" t="s">
        <v>488</v>
      </c>
      <c r="R598" s="414" t="e">
        <f>(M598*P598)</f>
        <v>#REF!</v>
      </c>
      <c r="W598" s="413"/>
      <c r="AE598" s="414" t="str">
        <f t="shared" si="83"/>
        <v>|</v>
      </c>
      <c r="AG598" s="412" t="s">
        <v>1841</v>
      </c>
    </row>
    <row r="599" spans="1:33" ht="24" customHeight="1">
      <c r="A599" s="424">
        <f t="shared" si="80"/>
        <v>407</v>
      </c>
      <c r="B599" s="412" t="s">
        <v>335</v>
      </c>
      <c r="C599" s="414">
        <v>208.5</v>
      </c>
      <c r="D599" s="412" t="s">
        <v>701</v>
      </c>
      <c r="H599" s="412">
        <v>9</v>
      </c>
      <c r="I599" s="414">
        <f t="shared" si="81"/>
        <v>593.86</v>
      </c>
      <c r="J599" s="412">
        <f>C23*0.02</f>
        <v>4.72</v>
      </c>
      <c r="K599" s="417">
        <f t="shared" si="82"/>
        <v>598.58000000000004</v>
      </c>
      <c r="M599" s="416">
        <v>3.2000000000000001E-2</v>
      </c>
      <c r="N599" s="412" t="s">
        <v>702</v>
      </c>
      <c r="O599" s="412" t="s">
        <v>626</v>
      </c>
      <c r="P599" s="414" t="e">
        <f>(K643)</f>
        <v>#REF!</v>
      </c>
      <c r="Q599" s="412" t="s">
        <v>702</v>
      </c>
      <c r="R599" s="414" t="e">
        <f>(M599*P599)</f>
        <v>#REF!</v>
      </c>
      <c r="W599" s="413"/>
      <c r="AE599" s="414" t="str">
        <f t="shared" si="83"/>
        <v>|</v>
      </c>
      <c r="AG599" s="412" t="s">
        <v>1841</v>
      </c>
    </row>
    <row r="600" spans="1:33" ht="24" customHeight="1">
      <c r="A600" s="424">
        <f t="shared" si="80"/>
        <v>408</v>
      </c>
      <c r="B600" s="412" t="s">
        <v>1665</v>
      </c>
      <c r="C600" s="414">
        <v>172</v>
      </c>
      <c r="D600" s="412" t="s">
        <v>701</v>
      </c>
      <c r="H600" s="412"/>
      <c r="K600" s="417"/>
      <c r="O600" s="412" t="s">
        <v>226</v>
      </c>
      <c r="R600" s="412" t="s">
        <v>790</v>
      </c>
      <c r="W600" s="413"/>
      <c r="AE600" s="414" t="str">
        <f t="shared" si="83"/>
        <v>|</v>
      </c>
      <c r="AG600" s="412" t="s">
        <v>1841</v>
      </c>
    </row>
    <row r="601" spans="1:33" ht="47.25" hidden="1" customHeight="1">
      <c r="A601" s="424">
        <f t="shared" si="80"/>
        <v>409</v>
      </c>
      <c r="B601" s="441" t="s">
        <v>2972</v>
      </c>
      <c r="C601" s="423">
        <f>ROUND(35.15/0.093025,2)</f>
        <v>377.86</v>
      </c>
      <c r="D601" s="412" t="s">
        <v>488</v>
      </c>
      <c r="H601" s="412"/>
      <c r="K601" s="417"/>
      <c r="N601" s="412" t="s">
        <v>358</v>
      </c>
      <c r="O601" s="412" t="s">
        <v>265</v>
      </c>
      <c r="Q601" s="412" t="s">
        <v>358</v>
      </c>
      <c r="R601" s="414">
        <v>2.66</v>
      </c>
      <c r="W601" s="413"/>
      <c r="AE601" s="414" t="str">
        <f t="shared" si="83"/>
        <v>|</v>
      </c>
      <c r="AG601" s="412" t="s">
        <v>1841</v>
      </c>
    </row>
    <row r="602" spans="1:33" ht="31.5">
      <c r="A602" s="424">
        <f t="shared" si="80"/>
        <v>410</v>
      </c>
      <c r="B602" s="426" t="s">
        <v>4312</v>
      </c>
      <c r="C602" s="414">
        <f>8.3/0.02</f>
        <v>415</v>
      </c>
      <c r="D602" s="412" t="s">
        <v>488</v>
      </c>
      <c r="E602" s="412">
        <f>7.25/0.02</f>
        <v>362.5</v>
      </c>
      <c r="F602" s="427">
        <v>15.2</v>
      </c>
      <c r="G602" s="414" t="s">
        <v>550</v>
      </c>
      <c r="H602" s="412" t="s">
        <v>631</v>
      </c>
      <c r="K602" s="417">
        <f>K594+J594</f>
        <v>579.70000000000005</v>
      </c>
      <c r="R602" s="418" t="s">
        <v>1288</v>
      </c>
      <c r="W602" s="413"/>
      <c r="AE602" s="414" t="str">
        <f t="shared" si="83"/>
        <v>|</v>
      </c>
      <c r="AG602" s="412" t="s">
        <v>1841</v>
      </c>
    </row>
    <row r="603" spans="1:33" ht="24" customHeight="1">
      <c r="A603" s="424">
        <f t="shared" si="80"/>
        <v>411</v>
      </c>
      <c r="B603" s="412" t="s">
        <v>266</v>
      </c>
      <c r="C603" s="414">
        <v>75</v>
      </c>
      <c r="D603" s="412" t="s">
        <v>701</v>
      </c>
      <c r="H603" s="412" t="s">
        <v>1859</v>
      </c>
      <c r="O603" s="412" t="s">
        <v>1428</v>
      </c>
      <c r="R603" s="414" t="e">
        <f>SUM(R595:R601)</f>
        <v>#REF!</v>
      </c>
      <c r="W603" s="413"/>
      <c r="AE603" s="414" t="str">
        <f t="shared" si="83"/>
        <v>|</v>
      </c>
      <c r="AG603" s="412" t="s">
        <v>1841</v>
      </c>
    </row>
    <row r="604" spans="1:33" ht="24" customHeight="1">
      <c r="A604" s="424">
        <f t="shared" si="80"/>
        <v>412</v>
      </c>
      <c r="B604" s="412" t="s">
        <v>1429</v>
      </c>
      <c r="C604" s="414">
        <v>125</v>
      </c>
      <c r="D604" s="412" t="s">
        <v>701</v>
      </c>
      <c r="F604" s="414">
        <v>1</v>
      </c>
      <c r="G604" s="414" t="s">
        <v>1861</v>
      </c>
      <c r="H604" s="412" t="s">
        <v>452</v>
      </c>
      <c r="I604" s="414">
        <f>D751</f>
        <v>408</v>
      </c>
      <c r="J604" s="412" t="s">
        <v>1861</v>
      </c>
      <c r="K604" s="414">
        <f>(F604*I604)</f>
        <v>408</v>
      </c>
      <c r="R604" s="418" t="s">
        <v>1288</v>
      </c>
      <c r="W604" s="413"/>
      <c r="AE604" s="414" t="str">
        <f t="shared" si="83"/>
        <v>|</v>
      </c>
      <c r="AG604" s="412" t="s">
        <v>1841</v>
      </c>
    </row>
    <row r="605" spans="1:33" ht="24" customHeight="1">
      <c r="A605" s="424">
        <f t="shared" si="80"/>
        <v>413</v>
      </c>
      <c r="B605" s="412" t="s">
        <v>1430</v>
      </c>
      <c r="C605" s="414">
        <v>190</v>
      </c>
      <c r="D605" s="412" t="s">
        <v>701</v>
      </c>
      <c r="F605" s="414">
        <v>0.75</v>
      </c>
      <c r="G605" s="414" t="s">
        <v>453</v>
      </c>
      <c r="H605" s="412" t="s">
        <v>454</v>
      </c>
      <c r="I605" s="414">
        <f>C10</f>
        <v>999</v>
      </c>
      <c r="J605" s="412" t="s">
        <v>1134</v>
      </c>
      <c r="K605" s="414">
        <f>(F605*I605)</f>
        <v>749.25</v>
      </c>
      <c r="N605" s="412" t="s">
        <v>1833</v>
      </c>
      <c r="O605" s="412" t="s">
        <v>1556</v>
      </c>
      <c r="W605" s="413"/>
      <c r="AE605" s="414" t="str">
        <f t="shared" si="83"/>
        <v>|</v>
      </c>
      <c r="AG605" s="412" t="s">
        <v>1841</v>
      </c>
    </row>
    <row r="606" spans="1:33" ht="24" customHeight="1">
      <c r="A606" s="424">
        <f t="shared" si="80"/>
        <v>414</v>
      </c>
      <c r="B606" s="412" t="s">
        <v>1431</v>
      </c>
      <c r="C606" s="414">
        <v>16</v>
      </c>
      <c r="D606" s="412" t="s">
        <v>701</v>
      </c>
      <c r="F606" s="414">
        <v>0.75</v>
      </c>
      <c r="G606" s="414" t="s">
        <v>453</v>
      </c>
      <c r="H606" s="412" t="s">
        <v>667</v>
      </c>
      <c r="I606" s="414">
        <f>C12</f>
        <v>651</v>
      </c>
      <c r="J606" s="412" t="s">
        <v>1134</v>
      </c>
      <c r="K606" s="414">
        <f>(F606*I606)</f>
        <v>488.25</v>
      </c>
      <c r="O606" s="412" t="s">
        <v>1432</v>
      </c>
      <c r="W606" s="413"/>
      <c r="AE606" s="414" t="str">
        <f t="shared" si="83"/>
        <v>|</v>
      </c>
      <c r="AG606" s="412" t="s">
        <v>1841</v>
      </c>
    </row>
    <row r="607" spans="1:33" ht="24" customHeight="1">
      <c r="A607" s="424">
        <f t="shared" si="80"/>
        <v>415</v>
      </c>
      <c r="B607" s="412" t="s">
        <v>3165</v>
      </c>
      <c r="C607" s="414">
        <v>11.8</v>
      </c>
      <c r="D607" s="412" t="s">
        <v>1341</v>
      </c>
      <c r="F607" s="414">
        <v>0.5</v>
      </c>
      <c r="G607" s="414" t="s">
        <v>453</v>
      </c>
      <c r="H607" s="412" t="s">
        <v>1666</v>
      </c>
      <c r="I607" s="414">
        <f>C41</f>
        <v>738</v>
      </c>
      <c r="J607" s="412" t="s">
        <v>1134</v>
      </c>
      <c r="K607" s="414">
        <f>(F607*I607)</f>
        <v>369</v>
      </c>
      <c r="O607" s="418" t="s">
        <v>1288</v>
      </c>
      <c r="W607" s="413"/>
      <c r="AE607" s="414" t="str">
        <f t="shared" si="83"/>
        <v>|</v>
      </c>
      <c r="AG607" s="412" t="s">
        <v>1841</v>
      </c>
    </row>
    <row r="608" spans="1:33" ht="24" customHeight="1">
      <c r="A608" s="424">
        <f t="shared" si="80"/>
        <v>416</v>
      </c>
      <c r="B608" s="412" t="s">
        <v>2973</v>
      </c>
      <c r="C608" s="414">
        <f>(22.6+27.25)/2</f>
        <v>24.93</v>
      </c>
      <c r="D608" s="412" t="s">
        <v>1341</v>
      </c>
      <c r="G608" s="414" t="s">
        <v>358</v>
      </c>
      <c r="H608" s="412" t="s">
        <v>42</v>
      </c>
      <c r="J608" s="412" t="s">
        <v>358</v>
      </c>
      <c r="K608" s="414">
        <v>53.5</v>
      </c>
      <c r="M608" s="414">
        <v>1.3</v>
      </c>
      <c r="N608" s="412" t="s">
        <v>702</v>
      </c>
      <c r="O608" s="412" t="s">
        <v>632</v>
      </c>
      <c r="P608" s="414">
        <f>(K88)</f>
        <v>237.08</v>
      </c>
      <c r="Q608" s="412" t="s">
        <v>702</v>
      </c>
      <c r="R608" s="414">
        <f>(M608*P608)</f>
        <v>308.2</v>
      </c>
      <c r="W608" s="413"/>
      <c r="AE608" s="414" t="str">
        <f t="shared" si="83"/>
        <v>|</v>
      </c>
      <c r="AG608" s="412" t="s">
        <v>1841</v>
      </c>
    </row>
    <row r="609" spans="1:33" ht="24" customHeight="1">
      <c r="A609" s="424"/>
      <c r="B609" s="412" t="s">
        <v>2974</v>
      </c>
      <c r="C609" s="414">
        <v>22.6</v>
      </c>
      <c r="D609" s="412" t="s">
        <v>1341</v>
      </c>
      <c r="H609" s="412" t="s">
        <v>751</v>
      </c>
      <c r="K609" s="418" t="s">
        <v>1288</v>
      </c>
      <c r="N609" s="412"/>
      <c r="O609" s="412"/>
      <c r="Q609" s="412"/>
      <c r="W609" s="413"/>
      <c r="AE609" s="414" t="str">
        <f t="shared" si="83"/>
        <v>|</v>
      </c>
      <c r="AG609" s="412" t="s">
        <v>1841</v>
      </c>
    </row>
    <row r="610" spans="1:33" ht="24" customHeight="1">
      <c r="A610" s="424">
        <f>(A608+1)</f>
        <v>417</v>
      </c>
      <c r="B610" s="412" t="s">
        <v>2975</v>
      </c>
      <c r="C610" s="414">
        <v>27.25</v>
      </c>
      <c r="D610" s="412" t="s">
        <v>1341</v>
      </c>
      <c r="H610" s="413" t="s">
        <v>1427</v>
      </c>
      <c r="K610" s="414">
        <f>SUM(K604:K608)</f>
        <v>2068</v>
      </c>
      <c r="M610" s="416">
        <v>0.216</v>
      </c>
      <c r="N610" s="412" t="s">
        <v>702</v>
      </c>
      <c r="O610" s="412" t="s">
        <v>634</v>
      </c>
      <c r="P610" s="414" t="e">
        <f>(R60)</f>
        <v>#REF!</v>
      </c>
      <c r="Q610" s="412" t="s">
        <v>702</v>
      </c>
      <c r="R610" s="414" t="e">
        <f>(M610*P610)</f>
        <v>#REF!</v>
      </c>
      <c r="W610" s="413"/>
      <c r="AE610" s="414">
        <f t="shared" si="83"/>
        <v>0</v>
      </c>
      <c r="AG610" s="412"/>
    </row>
    <row r="611" spans="1:33" ht="24" customHeight="1">
      <c r="A611" s="424">
        <f t="shared" si="80"/>
        <v>418</v>
      </c>
      <c r="B611" s="412" t="s">
        <v>2834</v>
      </c>
      <c r="C611" s="414">
        <v>7.5</v>
      </c>
      <c r="D611" s="412" t="s">
        <v>619</v>
      </c>
      <c r="K611" s="418" t="s">
        <v>1288</v>
      </c>
      <c r="M611" s="416">
        <v>0.60099999999999998</v>
      </c>
      <c r="N611" s="412" t="s">
        <v>702</v>
      </c>
      <c r="O611" s="412" t="s">
        <v>1608</v>
      </c>
      <c r="P611" s="414" t="e">
        <f>P597</f>
        <v>#REF!</v>
      </c>
      <c r="Q611" s="412" t="s">
        <v>702</v>
      </c>
      <c r="R611" s="414" t="e">
        <f>(M611*P611)</f>
        <v>#REF!</v>
      </c>
      <c r="W611" s="413"/>
      <c r="AE611" s="414" t="str">
        <f t="shared" si="83"/>
        <v>|</v>
      </c>
      <c r="AG611" s="412" t="s">
        <v>1841</v>
      </c>
    </row>
    <row r="612" spans="1:33" ht="24" customHeight="1">
      <c r="A612" s="424">
        <f t="shared" si="80"/>
        <v>419</v>
      </c>
      <c r="B612" s="412" t="s">
        <v>2835</v>
      </c>
      <c r="C612" s="414">
        <v>16</v>
      </c>
      <c r="D612" s="412" t="s">
        <v>619</v>
      </c>
      <c r="E612" s="414" t="s">
        <v>1265</v>
      </c>
      <c r="H612" s="412" t="s">
        <v>307</v>
      </c>
      <c r="I612" s="414">
        <f>K610</f>
        <v>2068</v>
      </c>
      <c r="J612" s="412">
        <f>C22*0.04</f>
        <v>4.79</v>
      </c>
      <c r="K612" s="417">
        <f>(K610+C22*0.04)</f>
        <v>2072.79</v>
      </c>
      <c r="M612" s="416">
        <v>6.35</v>
      </c>
      <c r="N612" s="412" t="s">
        <v>488</v>
      </c>
      <c r="O612" s="412" t="s">
        <v>1609</v>
      </c>
      <c r="P612" s="414" t="e">
        <f>(R304)</f>
        <v>#REF!</v>
      </c>
      <c r="Q612" s="412" t="s">
        <v>488</v>
      </c>
      <c r="R612" s="414" t="e">
        <f>(M612*P612)</f>
        <v>#REF!</v>
      </c>
      <c r="W612" s="413"/>
      <c r="AE612" s="414" t="str">
        <f t="shared" si="83"/>
        <v>|</v>
      </c>
      <c r="AG612" s="412" t="s">
        <v>1841</v>
      </c>
    </row>
    <row r="613" spans="1:33" ht="24" customHeight="1">
      <c r="A613" s="424">
        <f t="shared" si="80"/>
        <v>420</v>
      </c>
      <c r="B613" s="412" t="s">
        <v>3166</v>
      </c>
      <c r="C613" s="414">
        <v>3090</v>
      </c>
      <c r="D613" s="412" t="s">
        <v>628</v>
      </c>
      <c r="E613" s="414">
        <v>3484</v>
      </c>
      <c r="H613" s="412" t="s">
        <v>309</v>
      </c>
      <c r="I613" s="414">
        <f>K612</f>
        <v>2072.79</v>
      </c>
      <c r="J613" s="412">
        <f>C23*0.04</f>
        <v>9.44</v>
      </c>
      <c r="K613" s="417">
        <f>(K612+C23*0.04)</f>
        <v>2082.23</v>
      </c>
      <c r="M613" s="416">
        <v>3.2000000000000001E-2</v>
      </c>
      <c r="N613" s="412" t="s">
        <v>702</v>
      </c>
      <c r="O613" s="412" t="s">
        <v>626</v>
      </c>
      <c r="P613" s="414" t="e">
        <f>(K643)</f>
        <v>#REF!</v>
      </c>
      <c r="Q613" s="412" t="s">
        <v>702</v>
      </c>
      <c r="R613" s="414" t="e">
        <f>(M613*P613)</f>
        <v>#REF!</v>
      </c>
      <c r="W613" s="413"/>
      <c r="AE613" s="414" t="str">
        <f t="shared" si="83"/>
        <v>|</v>
      </c>
      <c r="AG613" s="412" t="s">
        <v>1841</v>
      </c>
    </row>
    <row r="614" spans="1:33" ht="24" customHeight="1">
      <c r="A614" s="424">
        <f t="shared" si="80"/>
        <v>421</v>
      </c>
      <c r="B614" s="412" t="s">
        <v>630</v>
      </c>
      <c r="C614" s="414">
        <v>805</v>
      </c>
      <c r="D614" s="412" t="s">
        <v>628</v>
      </c>
      <c r="H614" s="412" t="s">
        <v>1818</v>
      </c>
      <c r="I614" s="414">
        <f>K613</f>
        <v>2082.23</v>
      </c>
      <c r="J614" s="412">
        <f>C23*0.04</f>
        <v>9.44</v>
      </c>
      <c r="K614" s="417">
        <f>(K613+C24*0.04)</f>
        <v>2091.67</v>
      </c>
      <c r="O614" s="412" t="s">
        <v>226</v>
      </c>
      <c r="R614" s="412" t="s">
        <v>790</v>
      </c>
      <c r="W614" s="413"/>
      <c r="AE614" s="414" t="str">
        <f t="shared" si="83"/>
        <v>|</v>
      </c>
      <c r="AG614" s="412" t="s">
        <v>1841</v>
      </c>
    </row>
    <row r="615" spans="1:33" ht="24" customHeight="1">
      <c r="A615" s="424">
        <f t="shared" si="80"/>
        <v>422</v>
      </c>
      <c r="B615" s="412" t="s">
        <v>1681</v>
      </c>
      <c r="C615" s="414">
        <f>204+53</f>
        <v>257</v>
      </c>
      <c r="D615" s="412" t="s">
        <v>628</v>
      </c>
      <c r="H615" s="412" t="s">
        <v>301</v>
      </c>
      <c r="I615" s="414">
        <f>K614</f>
        <v>2091.67</v>
      </c>
      <c r="J615" s="412">
        <f>C23*0.04</f>
        <v>9.44</v>
      </c>
      <c r="K615" s="417">
        <f>(K614+C24*0.04)</f>
        <v>2101.11</v>
      </c>
      <c r="N615" s="412" t="s">
        <v>358</v>
      </c>
      <c r="O615" s="412" t="s">
        <v>265</v>
      </c>
      <c r="Q615" s="412" t="s">
        <v>358</v>
      </c>
      <c r="R615" s="414">
        <v>2</v>
      </c>
      <c r="W615" s="413"/>
      <c r="AE615" s="414" t="str">
        <f t="shared" si="83"/>
        <v>|</v>
      </c>
      <c r="AG615" s="412" t="s">
        <v>1841</v>
      </c>
    </row>
    <row r="616" spans="1:33" ht="24" customHeight="1">
      <c r="A616" s="424">
        <f t="shared" si="80"/>
        <v>423</v>
      </c>
      <c r="B616" s="412" t="s">
        <v>859</v>
      </c>
      <c r="C616" s="414">
        <v>53</v>
      </c>
      <c r="D616" s="412" t="s">
        <v>619</v>
      </c>
      <c r="H616" s="412" t="s">
        <v>1110</v>
      </c>
      <c r="I616" s="414">
        <f>K615</f>
        <v>2101.11</v>
      </c>
      <c r="J616" s="412">
        <f>C24*0.04</f>
        <v>9.44</v>
      </c>
      <c r="K616" s="417">
        <f>(K615+C24*0.04)</f>
        <v>2110.5500000000002</v>
      </c>
      <c r="R616" s="418" t="s">
        <v>1288</v>
      </c>
      <c r="W616" s="413"/>
      <c r="AE616" s="414" t="str">
        <f t="shared" si="83"/>
        <v>|</v>
      </c>
      <c r="AG616" s="412" t="s">
        <v>1841</v>
      </c>
    </row>
    <row r="617" spans="1:33" ht="24" customHeight="1">
      <c r="A617" s="424">
        <f t="shared" si="80"/>
        <v>424</v>
      </c>
      <c r="B617" s="412" t="s">
        <v>3167</v>
      </c>
      <c r="C617" s="414">
        <v>1672</v>
      </c>
      <c r="D617" s="412" t="s">
        <v>619</v>
      </c>
      <c r="F617" s="427">
        <v>15.1</v>
      </c>
      <c r="G617" s="414" t="s">
        <v>1433</v>
      </c>
      <c r="H617" s="412" t="s">
        <v>4313</v>
      </c>
      <c r="O617" s="412" t="s">
        <v>1428</v>
      </c>
      <c r="R617" s="414" t="e">
        <f>SUM(R608:R615)</f>
        <v>#REF!</v>
      </c>
      <c r="W617" s="413"/>
      <c r="AE617" s="414" t="str">
        <f t="shared" si="83"/>
        <v>|</v>
      </c>
      <c r="AG617" s="412" t="s">
        <v>1841</v>
      </c>
    </row>
    <row r="618" spans="1:33" ht="24" customHeight="1">
      <c r="A618" s="424">
        <f t="shared" si="80"/>
        <v>425</v>
      </c>
      <c r="B618" s="412" t="s">
        <v>321</v>
      </c>
      <c r="C618" s="414">
        <v>196</v>
      </c>
      <c r="D618" s="412" t="s">
        <v>619</v>
      </c>
      <c r="H618" s="412" t="s">
        <v>1859</v>
      </c>
      <c r="R618" s="418" t="s">
        <v>1288</v>
      </c>
      <c r="W618" s="413"/>
      <c r="AE618" s="414" t="str">
        <f t="shared" si="83"/>
        <v>|</v>
      </c>
      <c r="AG618" s="412" t="s">
        <v>1841</v>
      </c>
    </row>
    <row r="619" spans="1:33" ht="24" customHeight="1">
      <c r="A619" s="424">
        <f t="shared" si="80"/>
        <v>426</v>
      </c>
      <c r="B619" s="412" t="s">
        <v>2976</v>
      </c>
      <c r="C619" s="414">
        <v>940</v>
      </c>
      <c r="D619" s="412" t="s">
        <v>619</v>
      </c>
      <c r="F619" s="414">
        <v>10</v>
      </c>
      <c r="G619" s="414" t="s">
        <v>1861</v>
      </c>
      <c r="H619" s="412" t="s">
        <v>2485</v>
      </c>
      <c r="I619" s="414">
        <f>C751</f>
        <v>376.7</v>
      </c>
      <c r="J619" s="412" t="s">
        <v>1861</v>
      </c>
      <c r="K619" s="414">
        <f>(F619*I619)</f>
        <v>3767</v>
      </c>
      <c r="N619" s="412" t="s">
        <v>1833</v>
      </c>
      <c r="O619" s="412" t="s">
        <v>323</v>
      </c>
      <c r="W619" s="413"/>
      <c r="AE619" s="414" t="str">
        <f t="shared" si="83"/>
        <v>|</v>
      </c>
      <c r="AG619" s="412" t="s">
        <v>1841</v>
      </c>
    </row>
    <row r="620" spans="1:33" ht="24" customHeight="1">
      <c r="A620" s="424">
        <f t="shared" si="80"/>
        <v>427</v>
      </c>
      <c r="B620" s="412" t="s">
        <v>324</v>
      </c>
      <c r="C620" s="414">
        <v>193.05</v>
      </c>
      <c r="D620" s="412">
        <v>120.54</v>
      </c>
      <c r="F620" s="414">
        <v>0.12</v>
      </c>
      <c r="G620" s="414" t="s">
        <v>702</v>
      </c>
      <c r="H620" s="412" t="s">
        <v>629</v>
      </c>
      <c r="I620" s="414" t="e">
        <f>K32</f>
        <v>#REF!</v>
      </c>
      <c r="J620" s="412" t="s">
        <v>702</v>
      </c>
      <c r="K620" s="414" t="e">
        <f>(F620*I620)</f>
        <v>#REF!</v>
      </c>
      <c r="O620" s="412" t="s">
        <v>326</v>
      </c>
      <c r="W620" s="413"/>
      <c r="AE620" s="414" t="str">
        <f t="shared" si="83"/>
        <v>|</v>
      </c>
      <c r="AG620" s="412" t="s">
        <v>1841</v>
      </c>
    </row>
    <row r="621" spans="1:33" ht="24" customHeight="1">
      <c r="A621" s="424">
        <f t="shared" si="80"/>
        <v>428</v>
      </c>
      <c r="B621" s="412" t="s">
        <v>327</v>
      </c>
      <c r="C621" s="414">
        <v>115.85</v>
      </c>
      <c r="D621" s="412" t="s">
        <v>1443</v>
      </c>
      <c r="F621" s="414">
        <v>1</v>
      </c>
      <c r="G621" s="414" t="s">
        <v>453</v>
      </c>
      <c r="H621" s="412" t="s">
        <v>454</v>
      </c>
      <c r="I621" s="414">
        <f>C10</f>
        <v>999</v>
      </c>
      <c r="J621" s="412" t="s">
        <v>1134</v>
      </c>
      <c r="K621" s="414">
        <f>(F621*I621)</f>
        <v>999</v>
      </c>
      <c r="O621" s="418" t="s">
        <v>1288</v>
      </c>
      <c r="W621" s="413"/>
      <c r="AE621" s="414" t="str">
        <f t="shared" si="83"/>
        <v>|</v>
      </c>
      <c r="AG621" s="412" t="s">
        <v>1841</v>
      </c>
    </row>
    <row r="622" spans="1:33" ht="24" customHeight="1">
      <c r="A622" s="424">
        <f t="shared" si="80"/>
        <v>429</v>
      </c>
      <c r="B622" s="412" t="s">
        <v>328</v>
      </c>
      <c r="D622" s="412" t="s">
        <v>1443</v>
      </c>
      <c r="F622" s="414">
        <v>1</v>
      </c>
      <c r="G622" s="414" t="s">
        <v>453</v>
      </c>
      <c r="H622" s="412" t="s">
        <v>667</v>
      </c>
      <c r="I622" s="414">
        <f>C12</f>
        <v>651</v>
      </c>
      <c r="J622" s="412" t="s">
        <v>1134</v>
      </c>
      <c r="K622" s="414">
        <f>(F622*I622)</f>
        <v>651</v>
      </c>
      <c r="M622" s="414">
        <v>10.37</v>
      </c>
      <c r="N622" s="412" t="s">
        <v>702</v>
      </c>
      <c r="O622" s="412" t="s">
        <v>329</v>
      </c>
      <c r="P622" s="414">
        <f>(C61*2)</f>
        <v>224.1</v>
      </c>
      <c r="Q622" s="412" t="s">
        <v>702</v>
      </c>
      <c r="R622" s="414">
        <f t="shared" ref="R622:R630" si="84">(M622*P622)</f>
        <v>2323.92</v>
      </c>
      <c r="W622" s="413"/>
      <c r="AE622" s="414" t="str">
        <f t="shared" si="83"/>
        <v>|</v>
      </c>
      <c r="AG622" s="412" t="s">
        <v>1841</v>
      </c>
    </row>
    <row r="623" spans="1:33" ht="24" customHeight="1">
      <c r="A623" s="424">
        <f t="shared" si="80"/>
        <v>430</v>
      </c>
      <c r="B623" s="412" t="s">
        <v>4314</v>
      </c>
      <c r="C623" s="414">
        <v>76</v>
      </c>
      <c r="D623" s="412" t="s">
        <v>701</v>
      </c>
      <c r="G623" s="414" t="s">
        <v>358</v>
      </c>
      <c r="H623" s="412" t="s">
        <v>42</v>
      </c>
      <c r="J623" s="412" t="s">
        <v>358</v>
      </c>
      <c r="K623" s="414">
        <v>0.33</v>
      </c>
      <c r="M623" s="414">
        <v>0.65</v>
      </c>
      <c r="N623" s="412" t="s">
        <v>702</v>
      </c>
      <c r="O623" s="412" t="s">
        <v>1680</v>
      </c>
      <c r="P623" s="414" t="e">
        <f>R60</f>
        <v>#REF!</v>
      </c>
      <c r="Q623" s="412" t="s">
        <v>702</v>
      </c>
      <c r="R623" s="414" t="e">
        <f t="shared" si="84"/>
        <v>#REF!</v>
      </c>
      <c r="W623" s="413"/>
      <c r="AE623" s="414" t="str">
        <f t="shared" si="83"/>
        <v>|</v>
      </c>
      <c r="AG623" s="412" t="s">
        <v>1841</v>
      </c>
    </row>
    <row r="624" spans="1:33" ht="24" customHeight="1">
      <c r="A624" s="424">
        <f t="shared" si="80"/>
        <v>431</v>
      </c>
      <c r="B624" s="412" t="s">
        <v>1454</v>
      </c>
      <c r="C624" s="414">
        <v>45</v>
      </c>
      <c r="D624" s="412" t="s">
        <v>701</v>
      </c>
      <c r="H624" s="412" t="s">
        <v>751</v>
      </c>
      <c r="K624" s="418" t="s">
        <v>1288</v>
      </c>
      <c r="M624" s="414">
        <v>1.1399999999999999</v>
      </c>
      <c r="N624" s="412" t="s">
        <v>702</v>
      </c>
      <c r="O624" s="412" t="s">
        <v>251</v>
      </c>
      <c r="P624" s="414" t="e">
        <f>K321</f>
        <v>#REF!</v>
      </c>
      <c r="Q624" s="412" t="s">
        <v>702</v>
      </c>
      <c r="R624" s="414" t="e">
        <f t="shared" si="84"/>
        <v>#REF!</v>
      </c>
      <c r="W624" s="413"/>
      <c r="AE624" s="414" t="str">
        <f t="shared" si="83"/>
        <v>|</v>
      </c>
      <c r="AG624" s="412" t="s">
        <v>1841</v>
      </c>
    </row>
    <row r="625" spans="1:33" ht="24" customHeight="1">
      <c r="A625" s="424">
        <f t="shared" si="80"/>
        <v>432</v>
      </c>
      <c r="B625" s="412" t="s">
        <v>253</v>
      </c>
      <c r="C625" s="414">
        <v>34.299999999999997</v>
      </c>
      <c r="D625" s="412" t="s">
        <v>701</v>
      </c>
      <c r="H625" s="413" t="s">
        <v>322</v>
      </c>
      <c r="K625" s="414" t="e">
        <f>SUM(K619:K623)</f>
        <v>#REF!</v>
      </c>
      <c r="M625" s="414">
        <v>0.85</v>
      </c>
      <c r="N625" s="412" t="s">
        <v>702</v>
      </c>
      <c r="O625" s="412" t="s">
        <v>1310</v>
      </c>
      <c r="P625" s="414" t="e">
        <f>K321-K312/10</f>
        <v>#REF!</v>
      </c>
      <c r="Q625" s="412" t="s">
        <v>702</v>
      </c>
      <c r="R625" s="414" t="e">
        <f t="shared" si="84"/>
        <v>#REF!</v>
      </c>
      <c r="W625" s="413"/>
      <c r="AE625" s="414">
        <f t="shared" si="83"/>
        <v>0</v>
      </c>
      <c r="AG625" s="412"/>
    </row>
    <row r="626" spans="1:33" ht="24" customHeight="1">
      <c r="A626" s="424">
        <f t="shared" si="80"/>
        <v>433</v>
      </c>
      <c r="B626" s="412" t="s">
        <v>3168</v>
      </c>
      <c r="C626" s="414">
        <v>83.4</v>
      </c>
      <c r="D626" s="412" t="s">
        <v>701</v>
      </c>
      <c r="K626" s="418" t="s">
        <v>1288</v>
      </c>
      <c r="M626" s="414">
        <v>0.98</v>
      </c>
      <c r="N626" s="412" t="s">
        <v>702</v>
      </c>
      <c r="O626" s="412" t="s">
        <v>1806</v>
      </c>
      <c r="P626" s="414" t="e">
        <f>(C73)</f>
        <v>#REF!</v>
      </c>
      <c r="Q626" s="412" t="s">
        <v>702</v>
      </c>
      <c r="R626" s="414" t="e">
        <f t="shared" si="84"/>
        <v>#REF!</v>
      </c>
      <c r="W626" s="413"/>
      <c r="AE626" s="414" t="str">
        <f t="shared" si="83"/>
        <v>|</v>
      </c>
      <c r="AG626" s="412" t="s">
        <v>1841</v>
      </c>
    </row>
    <row r="627" spans="1:33" ht="24" customHeight="1">
      <c r="A627" s="424">
        <f t="shared" si="80"/>
        <v>434</v>
      </c>
      <c r="B627" s="412" t="s">
        <v>884</v>
      </c>
      <c r="C627" s="414">
        <v>36.520000000000003</v>
      </c>
      <c r="D627" s="412" t="s">
        <v>701</v>
      </c>
      <c r="H627" s="413" t="s">
        <v>325</v>
      </c>
      <c r="K627" s="414" t="e">
        <f>K625/10</f>
        <v>#REF!</v>
      </c>
      <c r="M627" s="414">
        <v>2.68</v>
      </c>
      <c r="N627" s="412" t="s">
        <v>702</v>
      </c>
      <c r="O627" s="412" t="s">
        <v>842</v>
      </c>
      <c r="P627" s="414" t="e">
        <f>(C79)</f>
        <v>#REF!</v>
      </c>
      <c r="Q627" s="412" t="s">
        <v>702</v>
      </c>
      <c r="R627" s="414" t="e">
        <f t="shared" si="84"/>
        <v>#REF!</v>
      </c>
      <c r="W627" s="413"/>
      <c r="AE627" s="414" t="str">
        <f t="shared" si="83"/>
        <v>|</v>
      </c>
      <c r="AG627" s="412" t="s">
        <v>1841</v>
      </c>
    </row>
    <row r="628" spans="1:33" ht="24" customHeight="1">
      <c r="A628" s="424">
        <f t="shared" si="80"/>
        <v>435</v>
      </c>
      <c r="B628" s="412" t="s">
        <v>1312</v>
      </c>
      <c r="D628" s="412" t="s">
        <v>701</v>
      </c>
      <c r="H628" s="412" t="s">
        <v>307</v>
      </c>
      <c r="I628" s="414" t="e">
        <f>K627</f>
        <v>#REF!</v>
      </c>
      <c r="J628" s="412">
        <f>C22*0.02</f>
        <v>2.4</v>
      </c>
      <c r="K628" s="417" t="e">
        <f>I628+J628</f>
        <v>#REF!</v>
      </c>
      <c r="M628" s="414">
        <v>7.24</v>
      </c>
      <c r="N628" s="412" t="s">
        <v>488</v>
      </c>
      <c r="O628" s="412" t="s">
        <v>1314</v>
      </c>
      <c r="P628" s="414" t="e">
        <f>(K1400)</f>
        <v>#REF!</v>
      </c>
      <c r="Q628" s="412" t="s">
        <v>488</v>
      </c>
      <c r="R628" s="414" t="e">
        <f t="shared" si="84"/>
        <v>#REF!</v>
      </c>
      <c r="W628" s="413"/>
      <c r="AE628" s="414" t="str">
        <f t="shared" si="83"/>
        <v>|</v>
      </c>
      <c r="AG628" s="412" t="s">
        <v>1841</v>
      </c>
    </row>
    <row r="629" spans="1:33" ht="24" customHeight="1">
      <c r="A629" s="424">
        <f t="shared" si="80"/>
        <v>436</v>
      </c>
      <c r="B629" s="412" t="s">
        <v>2836</v>
      </c>
      <c r="C629" s="414">
        <v>104.1</v>
      </c>
      <c r="D629" s="414">
        <v>93.72</v>
      </c>
      <c r="H629" s="412" t="s">
        <v>309</v>
      </c>
      <c r="I629" s="414" t="e">
        <f>K628</f>
        <v>#REF!</v>
      </c>
      <c r="J629" s="412">
        <f>C23*0.02</f>
        <v>4.72</v>
      </c>
      <c r="K629" s="417" t="e">
        <f>I629+J629</f>
        <v>#REF!</v>
      </c>
      <c r="M629" s="414">
        <v>1</v>
      </c>
      <c r="N629" s="412" t="s">
        <v>701</v>
      </c>
      <c r="O629" s="412" t="s">
        <v>1202</v>
      </c>
      <c r="P629" s="414">
        <f>(C203)</f>
        <v>128</v>
      </c>
      <c r="Q629" s="412" t="s">
        <v>701</v>
      </c>
      <c r="R629" s="414">
        <f t="shared" si="84"/>
        <v>128</v>
      </c>
      <c r="W629" s="413"/>
      <c r="AE629" s="414" t="str">
        <f t="shared" si="83"/>
        <v>|</v>
      </c>
      <c r="AG629" s="412" t="s">
        <v>1841</v>
      </c>
    </row>
    <row r="630" spans="1:33" ht="24" customHeight="1">
      <c r="A630" s="424">
        <f t="shared" si="80"/>
        <v>437</v>
      </c>
      <c r="B630" s="412" t="s">
        <v>1203</v>
      </c>
      <c r="C630" s="414">
        <v>69.599999999999994</v>
      </c>
      <c r="D630" s="412" t="s">
        <v>701</v>
      </c>
      <c r="H630" s="412" t="s">
        <v>1818</v>
      </c>
      <c r="I630" s="414" t="e">
        <f>K629</f>
        <v>#REF!</v>
      </c>
      <c r="J630" s="412">
        <f>J629</f>
        <v>4.72</v>
      </c>
      <c r="K630" s="417" t="e">
        <f>I630+J630</f>
        <v>#REF!</v>
      </c>
      <c r="M630" s="416">
        <v>0.13600000000000001</v>
      </c>
      <c r="N630" s="412" t="s">
        <v>702</v>
      </c>
      <c r="O630" s="412" t="s">
        <v>797</v>
      </c>
      <c r="P630" s="414" t="e">
        <f>(K643)</f>
        <v>#REF!</v>
      </c>
      <c r="Q630" s="412" t="s">
        <v>702</v>
      </c>
      <c r="R630" s="414" t="e">
        <f t="shared" si="84"/>
        <v>#REF!</v>
      </c>
      <c r="W630" s="413"/>
      <c r="AE630" s="414" t="str">
        <f t="shared" si="83"/>
        <v>|</v>
      </c>
      <c r="AG630" s="412" t="s">
        <v>1841</v>
      </c>
    </row>
    <row r="631" spans="1:33" ht="24" customHeight="1">
      <c r="A631" s="424">
        <f t="shared" si="80"/>
        <v>438</v>
      </c>
      <c r="B631" s="412" t="s">
        <v>798</v>
      </c>
      <c r="C631" s="414">
        <v>30.25</v>
      </c>
      <c r="D631" s="412" t="s">
        <v>701</v>
      </c>
      <c r="H631" s="412" t="s">
        <v>301</v>
      </c>
      <c r="I631" s="414" t="e">
        <f>K630</f>
        <v>#REF!</v>
      </c>
      <c r="J631" s="412">
        <f>J630</f>
        <v>4.72</v>
      </c>
      <c r="K631" s="417" t="e">
        <f>I631+J631</f>
        <v>#REF!</v>
      </c>
      <c r="O631" s="412" t="s">
        <v>102</v>
      </c>
      <c r="W631" s="413"/>
      <c r="AE631" s="414" t="str">
        <f t="shared" si="83"/>
        <v>|</v>
      </c>
      <c r="AG631" s="412" t="s">
        <v>1841</v>
      </c>
    </row>
    <row r="632" spans="1:33" ht="24" customHeight="1">
      <c r="A632" s="424">
        <f t="shared" si="80"/>
        <v>439</v>
      </c>
      <c r="B632" s="412" t="s">
        <v>2837</v>
      </c>
      <c r="C632" s="414">
        <v>167.1</v>
      </c>
      <c r="D632" s="412" t="s">
        <v>701</v>
      </c>
      <c r="H632" s="412" t="s">
        <v>1110</v>
      </c>
      <c r="I632" s="414" t="e">
        <f>K631</f>
        <v>#REF!</v>
      </c>
      <c r="J632" s="412">
        <f>J631</f>
        <v>4.72</v>
      </c>
      <c r="K632" s="417" t="e">
        <f>I632+J632</f>
        <v>#REF!</v>
      </c>
      <c r="N632" s="412" t="s">
        <v>358</v>
      </c>
      <c r="O632" s="412" t="s">
        <v>265</v>
      </c>
      <c r="Q632" s="412" t="s">
        <v>358</v>
      </c>
      <c r="R632" s="414">
        <v>2.2400000000000002</v>
      </c>
      <c r="W632" s="413"/>
      <c r="AE632" s="414" t="str">
        <f t="shared" si="83"/>
        <v>|</v>
      </c>
      <c r="AG632" s="412" t="s">
        <v>1841</v>
      </c>
    </row>
    <row r="633" spans="1:33" ht="24" customHeight="1">
      <c r="A633" s="424">
        <f t="shared" si="80"/>
        <v>440</v>
      </c>
      <c r="B633" s="412" t="s">
        <v>1210</v>
      </c>
      <c r="C633" s="414">
        <v>104.1</v>
      </c>
      <c r="D633" s="412" t="s">
        <v>701</v>
      </c>
      <c r="F633" s="413" t="s">
        <v>1311</v>
      </c>
      <c r="G633" s="414" t="s">
        <v>1833</v>
      </c>
      <c r="H633" s="412" t="s">
        <v>714</v>
      </c>
      <c r="R633" s="418" t="s">
        <v>1288</v>
      </c>
      <c r="W633" s="413"/>
      <c r="AE633" s="414" t="str">
        <f t="shared" si="83"/>
        <v>|</v>
      </c>
      <c r="AG633" s="412" t="s">
        <v>1841</v>
      </c>
    </row>
    <row r="634" spans="1:33" ht="24" customHeight="1">
      <c r="A634" s="424">
        <f t="shared" si="80"/>
        <v>441</v>
      </c>
      <c r="B634" s="412" t="s">
        <v>1211</v>
      </c>
      <c r="D634" s="412" t="s">
        <v>701</v>
      </c>
      <c r="H634" s="412" t="s">
        <v>885</v>
      </c>
      <c r="O634" s="412" t="s">
        <v>1428</v>
      </c>
      <c r="R634" s="414" t="e">
        <f>SUM(R622:R632)</f>
        <v>#REF!</v>
      </c>
      <c r="W634" s="413"/>
      <c r="AE634" s="414" t="str">
        <f t="shared" si="83"/>
        <v>|</v>
      </c>
      <c r="AG634" s="412" t="s">
        <v>1841</v>
      </c>
    </row>
    <row r="635" spans="1:33" ht="24" customHeight="1">
      <c r="A635" s="424">
        <f t="shared" si="80"/>
        <v>442</v>
      </c>
      <c r="B635" s="412" t="s">
        <v>2838</v>
      </c>
      <c r="C635" s="414">
        <v>195.2</v>
      </c>
      <c r="D635" s="412" t="s">
        <v>701</v>
      </c>
      <c r="H635" s="412" t="s">
        <v>1313</v>
      </c>
      <c r="R635" s="418" t="s">
        <v>1288</v>
      </c>
      <c r="W635" s="413"/>
      <c r="AE635" s="414" t="str">
        <f t="shared" si="83"/>
        <v>|</v>
      </c>
      <c r="AG635" s="412" t="s">
        <v>1841</v>
      </c>
    </row>
    <row r="636" spans="1:33" ht="24" customHeight="1">
      <c r="A636" s="424">
        <f t="shared" si="80"/>
        <v>443</v>
      </c>
      <c r="B636" s="412" t="s">
        <v>345</v>
      </c>
      <c r="C636" s="414">
        <v>125.2</v>
      </c>
      <c r="D636" s="412" t="s">
        <v>701</v>
      </c>
      <c r="H636" s="418" t="s">
        <v>1288</v>
      </c>
      <c r="N636" s="412" t="s">
        <v>1833</v>
      </c>
      <c r="O636" s="412" t="s">
        <v>346</v>
      </c>
      <c r="W636" s="413"/>
      <c r="AE636" s="414" t="str">
        <f t="shared" si="83"/>
        <v>|</v>
      </c>
      <c r="AG636" s="412" t="s">
        <v>1841</v>
      </c>
    </row>
    <row r="637" spans="1:33" ht="24" customHeight="1">
      <c r="F637" s="414">
        <v>0.01</v>
      </c>
      <c r="G637" s="414" t="s">
        <v>702</v>
      </c>
      <c r="H637" s="412" t="s">
        <v>1204</v>
      </c>
      <c r="I637" s="414" t="e">
        <f>(K280)</f>
        <v>#REF!</v>
      </c>
      <c r="J637" s="412" t="s">
        <v>702</v>
      </c>
      <c r="K637" s="414" t="e">
        <f>(F637*I637)</f>
        <v>#REF!</v>
      </c>
      <c r="W637" s="413"/>
      <c r="AE637" s="414" t="str">
        <f t="shared" si="83"/>
        <v>|</v>
      </c>
      <c r="AG637" s="412" t="s">
        <v>1841</v>
      </c>
    </row>
    <row r="638" spans="1:33" ht="24" customHeight="1">
      <c r="A638" s="424">
        <f>(A636+1)</f>
        <v>444</v>
      </c>
      <c r="B638" s="412" t="s">
        <v>889</v>
      </c>
      <c r="D638" s="412" t="s">
        <v>701</v>
      </c>
      <c r="F638" s="414">
        <v>0.01</v>
      </c>
      <c r="G638" s="414" t="s">
        <v>702</v>
      </c>
      <c r="H638" s="412" t="s">
        <v>799</v>
      </c>
      <c r="J638" s="412" t="s">
        <v>358</v>
      </c>
      <c r="K638" s="414">
        <v>1.1499999999999999</v>
      </c>
      <c r="O638" s="412" t="s">
        <v>890</v>
      </c>
      <c r="S638" s="413" t="s">
        <v>134</v>
      </c>
      <c r="T638" s="414" t="s">
        <v>1833</v>
      </c>
      <c r="U638" s="415" t="s">
        <v>2410</v>
      </c>
      <c r="W638" s="413"/>
      <c r="AA638" s="413" t="s">
        <v>134</v>
      </c>
      <c r="AB638" s="414" t="s">
        <v>1833</v>
      </c>
      <c r="AC638" s="415" t="s">
        <v>2529</v>
      </c>
      <c r="AE638" s="412"/>
    </row>
    <row r="639" spans="1:33" ht="24" customHeight="1">
      <c r="A639" s="424">
        <f t="shared" ref="A639:A702" si="85">(A638+1)</f>
        <v>445</v>
      </c>
      <c r="B639" s="412" t="s">
        <v>2590</v>
      </c>
      <c r="C639" s="414">
        <v>298.60000000000002</v>
      </c>
      <c r="D639" s="412" t="s">
        <v>701</v>
      </c>
      <c r="H639" s="412" t="s">
        <v>103</v>
      </c>
      <c r="O639" s="418" t="s">
        <v>1288</v>
      </c>
      <c r="S639" s="414"/>
      <c r="U639" s="412" t="s">
        <v>1123</v>
      </c>
      <c r="W639" s="413"/>
      <c r="AC639" s="412" t="s">
        <v>1123</v>
      </c>
      <c r="AE639" s="412"/>
    </row>
    <row r="640" spans="1:33" ht="24" customHeight="1">
      <c r="A640" s="424">
        <f t="shared" si="85"/>
        <v>446</v>
      </c>
      <c r="B640" s="412" t="s">
        <v>1348</v>
      </c>
      <c r="C640" s="414">
        <v>208.1</v>
      </c>
      <c r="D640" s="412" t="s">
        <v>701</v>
      </c>
      <c r="K640" s="418" t="s">
        <v>1288</v>
      </c>
      <c r="M640" s="414">
        <v>3</v>
      </c>
      <c r="N640" s="412" t="s">
        <v>702</v>
      </c>
      <c r="O640" s="412" t="s">
        <v>1350</v>
      </c>
      <c r="P640" s="414">
        <f>(C61*2)</f>
        <v>224.1</v>
      </c>
      <c r="Q640" s="412" t="s">
        <v>702</v>
      </c>
      <c r="R640" s="414">
        <f>(M640*P640)</f>
        <v>672.3</v>
      </c>
      <c r="S640" s="414"/>
      <c r="U640" s="412" t="s">
        <v>105</v>
      </c>
      <c r="W640" s="413"/>
      <c r="AC640" s="412" t="s">
        <v>105</v>
      </c>
      <c r="AE640" s="412"/>
    </row>
    <row r="641" spans="1:32" ht="24" customHeight="1">
      <c r="A641" s="424">
        <f t="shared" si="85"/>
        <v>447</v>
      </c>
      <c r="B641" s="412" t="s">
        <v>496</v>
      </c>
      <c r="D641" s="412" t="s">
        <v>701</v>
      </c>
      <c r="H641" s="412" t="s">
        <v>1212</v>
      </c>
      <c r="K641" s="414" t="e">
        <f>SUM(K637:K639)</f>
        <v>#REF!</v>
      </c>
      <c r="M641" s="414">
        <v>2.4</v>
      </c>
      <c r="N641" s="412" t="s">
        <v>702</v>
      </c>
      <c r="O641" s="412" t="s">
        <v>1331</v>
      </c>
      <c r="P641" s="414" t="e">
        <f>(C81)</f>
        <v>#REF!</v>
      </c>
      <c r="Q641" s="412" t="s">
        <v>702</v>
      </c>
      <c r="R641" s="414" t="e">
        <f>(M641*P641)</f>
        <v>#REF!</v>
      </c>
      <c r="S641" s="414"/>
      <c r="U641" s="418" t="s">
        <v>1288</v>
      </c>
      <c r="W641" s="413"/>
      <c r="AC641" s="418" t="s">
        <v>1288</v>
      </c>
      <c r="AE641" s="412"/>
    </row>
    <row r="642" spans="1:32" ht="24" customHeight="1">
      <c r="A642" s="424">
        <f t="shared" si="85"/>
        <v>448</v>
      </c>
      <c r="B642" s="412" t="s">
        <v>2840</v>
      </c>
      <c r="C642" s="414">
        <v>159.9</v>
      </c>
      <c r="D642" s="412" t="s">
        <v>701</v>
      </c>
      <c r="K642" s="418" t="s">
        <v>1288</v>
      </c>
      <c r="M642" s="414">
        <v>5</v>
      </c>
      <c r="N642" s="412" t="s">
        <v>701</v>
      </c>
      <c r="O642" s="412" t="s">
        <v>487</v>
      </c>
      <c r="P642" s="414">
        <f>(C204)</f>
        <v>63.4</v>
      </c>
      <c r="Q642" s="412" t="s">
        <v>701</v>
      </c>
      <c r="R642" s="414">
        <f>(M642*P642)</f>
        <v>317</v>
      </c>
      <c r="S642" s="416">
        <v>8.3000000000000007</v>
      </c>
      <c r="T642" s="414" t="s">
        <v>702</v>
      </c>
      <c r="U642" s="412" t="s">
        <v>2411</v>
      </c>
      <c r="V642" s="414" t="e">
        <f>AC11</f>
        <v>#REF!</v>
      </c>
      <c r="W642" s="413" t="s">
        <v>702</v>
      </c>
      <c r="X642" s="414" t="e">
        <f t="shared" ref="X642:X648" si="86">S642*V642</f>
        <v>#REF!</v>
      </c>
      <c r="AA642" s="416">
        <v>8.3000000000000007</v>
      </c>
      <c r="AB642" s="414" t="s">
        <v>702</v>
      </c>
      <c r="AC642" s="412" t="s">
        <v>2411</v>
      </c>
      <c r="AD642" s="414" t="e">
        <f>V642</f>
        <v>#REF!</v>
      </c>
      <c r="AE642" s="412" t="s">
        <v>702</v>
      </c>
      <c r="AF642" s="414" t="e">
        <f t="shared" ref="AF642:AF648" si="87">AA642*AD642</f>
        <v>#REF!</v>
      </c>
    </row>
    <row r="643" spans="1:32" ht="24" customHeight="1">
      <c r="A643" s="424">
        <f t="shared" si="85"/>
        <v>449</v>
      </c>
      <c r="B643" s="412" t="s">
        <v>1445</v>
      </c>
      <c r="C643" s="414">
        <v>97.3</v>
      </c>
      <c r="D643" s="412" t="s">
        <v>701</v>
      </c>
      <c r="H643" s="412" t="s">
        <v>621</v>
      </c>
      <c r="K643" s="414" t="e">
        <f>ROUND(K641*100,0)</f>
        <v>#REF!</v>
      </c>
      <c r="O643" s="412" t="s">
        <v>359</v>
      </c>
      <c r="Q643" s="412" t="s">
        <v>358</v>
      </c>
      <c r="R643" s="414">
        <v>0.08</v>
      </c>
      <c r="S643" s="416">
        <v>3.25</v>
      </c>
      <c r="T643" s="414" t="s">
        <v>694</v>
      </c>
      <c r="U643" s="412" t="s">
        <v>695</v>
      </c>
      <c r="V643" s="414" t="e">
        <f>I808</f>
        <v>#REF!</v>
      </c>
      <c r="W643" s="413" t="s">
        <v>694</v>
      </c>
      <c r="X643" s="414" t="e">
        <f t="shared" si="86"/>
        <v>#REF!</v>
      </c>
      <c r="AA643" s="416">
        <v>4</v>
      </c>
      <c r="AB643" s="414" t="s">
        <v>694</v>
      </c>
      <c r="AC643" s="412" t="s">
        <v>695</v>
      </c>
      <c r="AD643" s="414" t="e">
        <f t="shared" ref="AD643:AD648" si="88">V643</f>
        <v>#REF!</v>
      </c>
      <c r="AE643" s="412" t="s">
        <v>694</v>
      </c>
      <c r="AF643" s="414" t="e">
        <f t="shared" si="87"/>
        <v>#REF!</v>
      </c>
    </row>
    <row r="644" spans="1:32" ht="24" hidden="1" customHeight="1">
      <c r="A644" s="424">
        <f t="shared" si="85"/>
        <v>450</v>
      </c>
      <c r="B644" s="412" t="s">
        <v>1447</v>
      </c>
      <c r="D644" s="412" t="s">
        <v>701</v>
      </c>
      <c r="F644" s="412" t="s">
        <v>790</v>
      </c>
      <c r="R644" s="418" t="s">
        <v>1288</v>
      </c>
      <c r="S644" s="416">
        <v>4.79</v>
      </c>
      <c r="T644" s="414" t="s">
        <v>702</v>
      </c>
      <c r="U644" s="412" t="s">
        <v>703</v>
      </c>
      <c r="V644" s="414" t="e">
        <f>I809</f>
        <v>#REF!</v>
      </c>
      <c r="W644" s="413" t="s">
        <v>702</v>
      </c>
      <c r="X644" s="414" t="e">
        <f t="shared" si="86"/>
        <v>#REF!</v>
      </c>
      <c r="AA644" s="416">
        <v>4.79</v>
      </c>
      <c r="AB644" s="414" t="s">
        <v>702</v>
      </c>
      <c r="AC644" s="412" t="s">
        <v>703</v>
      </c>
      <c r="AD644" s="414" t="e">
        <f t="shared" si="88"/>
        <v>#REF!</v>
      </c>
      <c r="AE644" s="412" t="s">
        <v>702</v>
      </c>
      <c r="AF644" s="414" t="e">
        <f t="shared" si="87"/>
        <v>#REF!</v>
      </c>
    </row>
    <row r="645" spans="1:32" ht="24" customHeight="1">
      <c r="A645" s="424">
        <f t="shared" si="85"/>
        <v>451</v>
      </c>
      <c r="B645" s="412" t="s">
        <v>2839</v>
      </c>
      <c r="C645" s="414">
        <v>187.8</v>
      </c>
      <c r="D645" s="412" t="s">
        <v>701</v>
      </c>
      <c r="K645" s="418" t="s">
        <v>1676</v>
      </c>
      <c r="O645" s="412" t="s">
        <v>1428</v>
      </c>
      <c r="R645" s="414" t="e">
        <f>SUM(R640:R643)</f>
        <v>#REF!</v>
      </c>
      <c r="S645" s="416">
        <v>3.5</v>
      </c>
      <c r="T645" s="414" t="s">
        <v>701</v>
      </c>
      <c r="U645" s="412" t="s">
        <v>1392</v>
      </c>
      <c r="V645" s="414">
        <f>C11</f>
        <v>932</v>
      </c>
      <c r="W645" s="413" t="s">
        <v>701</v>
      </c>
      <c r="X645" s="414">
        <f t="shared" si="86"/>
        <v>3262</v>
      </c>
      <c r="AA645" s="416">
        <v>3.5</v>
      </c>
      <c r="AB645" s="414" t="s">
        <v>701</v>
      </c>
      <c r="AC645" s="412" t="s">
        <v>1392</v>
      </c>
      <c r="AD645" s="414">
        <f t="shared" si="88"/>
        <v>932</v>
      </c>
      <c r="AE645" s="412" t="s">
        <v>701</v>
      </c>
      <c r="AF645" s="414">
        <f t="shared" si="87"/>
        <v>3262</v>
      </c>
    </row>
    <row r="646" spans="1:32" ht="24" customHeight="1">
      <c r="A646" s="424">
        <f t="shared" si="85"/>
        <v>452</v>
      </c>
      <c r="B646" s="412" t="s">
        <v>1332</v>
      </c>
      <c r="C646" s="414">
        <v>125.2</v>
      </c>
      <c r="D646" s="412" t="s">
        <v>701</v>
      </c>
      <c r="G646" s="414" t="s">
        <v>544</v>
      </c>
      <c r="H646" s="412" t="s">
        <v>801</v>
      </c>
      <c r="R646" s="418" t="s">
        <v>1288</v>
      </c>
      <c r="S646" s="416">
        <v>21.2</v>
      </c>
      <c r="T646" s="414" t="s">
        <v>701</v>
      </c>
      <c r="U646" s="412" t="s">
        <v>1550</v>
      </c>
      <c r="V646" s="414">
        <f>C12</f>
        <v>651</v>
      </c>
      <c r="W646" s="413" t="s">
        <v>701</v>
      </c>
      <c r="X646" s="414">
        <f t="shared" si="86"/>
        <v>13801.2</v>
      </c>
      <c r="AA646" s="416">
        <v>21.2</v>
      </c>
      <c r="AB646" s="414" t="s">
        <v>701</v>
      </c>
      <c r="AC646" s="412" t="s">
        <v>1550</v>
      </c>
      <c r="AD646" s="414">
        <f t="shared" si="88"/>
        <v>651</v>
      </c>
      <c r="AE646" s="412" t="s">
        <v>701</v>
      </c>
      <c r="AF646" s="414">
        <f t="shared" si="87"/>
        <v>13801.2</v>
      </c>
    </row>
    <row r="647" spans="1:32" ht="24" customHeight="1">
      <c r="A647" s="424">
        <f t="shared" si="85"/>
        <v>453</v>
      </c>
      <c r="B647" s="412" t="s">
        <v>1333</v>
      </c>
      <c r="D647" s="412" t="s">
        <v>701</v>
      </c>
      <c r="H647" s="412" t="s">
        <v>1349</v>
      </c>
      <c r="S647" s="416">
        <v>35.299999999999997</v>
      </c>
      <c r="T647" s="414" t="s">
        <v>701</v>
      </c>
      <c r="U647" s="412" t="s">
        <v>245</v>
      </c>
      <c r="V647" s="414">
        <f>C13</f>
        <v>534</v>
      </c>
      <c r="W647" s="413" t="s">
        <v>701</v>
      </c>
      <c r="X647" s="414">
        <f t="shared" si="86"/>
        <v>18850.2</v>
      </c>
      <c r="AA647" s="416">
        <v>35.299999999999997</v>
      </c>
      <c r="AB647" s="414" t="s">
        <v>701</v>
      </c>
      <c r="AC647" s="412" t="s">
        <v>245</v>
      </c>
      <c r="AD647" s="414">
        <f t="shared" si="88"/>
        <v>534</v>
      </c>
      <c r="AE647" s="412" t="s">
        <v>701</v>
      </c>
      <c r="AF647" s="414">
        <f t="shared" si="87"/>
        <v>18850.2</v>
      </c>
    </row>
    <row r="648" spans="1:32" ht="24" customHeight="1">
      <c r="A648" s="424">
        <f t="shared" si="85"/>
        <v>454</v>
      </c>
      <c r="B648" s="412" t="s">
        <v>2841</v>
      </c>
      <c r="C648" s="414">
        <v>82.3</v>
      </c>
      <c r="D648" s="412" t="s">
        <v>701</v>
      </c>
      <c r="H648" s="418" t="s">
        <v>1288</v>
      </c>
      <c r="N648" s="412" t="s">
        <v>1833</v>
      </c>
      <c r="O648" s="412" t="s">
        <v>43</v>
      </c>
      <c r="S648" s="423">
        <v>19.5</v>
      </c>
      <c r="U648" s="412" t="s">
        <v>2412</v>
      </c>
      <c r="V648" s="414">
        <f>C149</f>
        <v>43.2</v>
      </c>
      <c r="W648" s="413" t="s">
        <v>358</v>
      </c>
      <c r="X648" s="414">
        <f t="shared" si="86"/>
        <v>842.4</v>
      </c>
      <c r="AA648" s="423">
        <v>40</v>
      </c>
      <c r="AC648" s="412" t="s">
        <v>2412</v>
      </c>
      <c r="AD648" s="414">
        <f t="shared" si="88"/>
        <v>43.2</v>
      </c>
      <c r="AE648" s="412" t="s">
        <v>358</v>
      </c>
      <c r="AF648" s="414">
        <f t="shared" si="87"/>
        <v>1728</v>
      </c>
    </row>
    <row r="649" spans="1:32" ht="24" customHeight="1">
      <c r="A649" s="424">
        <f t="shared" si="85"/>
        <v>455</v>
      </c>
      <c r="B649" s="412" t="s">
        <v>1595</v>
      </c>
      <c r="C649" s="414">
        <v>55.5</v>
      </c>
      <c r="D649" s="412" t="s">
        <v>701</v>
      </c>
      <c r="F649" s="416">
        <v>1.4E-2</v>
      </c>
      <c r="G649" s="414" t="s">
        <v>702</v>
      </c>
      <c r="H649" s="412" t="s">
        <v>1076</v>
      </c>
      <c r="I649" s="414" t="e">
        <f>(K643)</f>
        <v>#REF!</v>
      </c>
      <c r="J649" s="412" t="s">
        <v>702</v>
      </c>
      <c r="K649" s="414" t="e">
        <f>(F649*I649)</f>
        <v>#REF!</v>
      </c>
      <c r="O649" s="412" t="s">
        <v>1596</v>
      </c>
      <c r="S649" s="414"/>
      <c r="W649" s="413"/>
      <c r="X649" s="418" t="s">
        <v>1288</v>
      </c>
      <c r="AE649" s="412"/>
      <c r="AF649" s="418" t="s">
        <v>1288</v>
      </c>
    </row>
    <row r="650" spans="1:32" ht="24" customHeight="1">
      <c r="A650" s="424">
        <f t="shared" si="85"/>
        <v>456</v>
      </c>
      <c r="B650" s="412" t="s">
        <v>1597</v>
      </c>
      <c r="C650" s="414">
        <v>34.4</v>
      </c>
      <c r="D650" s="412" t="s">
        <v>701</v>
      </c>
      <c r="F650" s="416"/>
      <c r="H650" s="412" t="s">
        <v>1446</v>
      </c>
      <c r="K650" s="412" t="s">
        <v>790</v>
      </c>
      <c r="O650" s="412" t="s">
        <v>1598</v>
      </c>
      <c r="S650" s="414"/>
      <c r="U650" s="413" t="s">
        <v>492</v>
      </c>
      <c r="W650" s="413"/>
      <c r="X650" s="414" t="e">
        <f>SUM(X642:X648)</f>
        <v>#REF!</v>
      </c>
      <c r="AC650" s="413" t="s">
        <v>492</v>
      </c>
      <c r="AE650" s="412"/>
      <c r="AF650" s="414" t="e">
        <f>SUM(AF642:AF648)</f>
        <v>#REF!</v>
      </c>
    </row>
    <row r="651" spans="1:32" ht="24" customHeight="1">
      <c r="A651" s="424">
        <f t="shared" si="85"/>
        <v>457</v>
      </c>
      <c r="B651" s="412" t="s">
        <v>1599</v>
      </c>
      <c r="C651" s="414">
        <v>155.32</v>
      </c>
      <c r="D651" s="412" t="s">
        <v>701</v>
      </c>
      <c r="F651" s="414">
        <v>0.5</v>
      </c>
      <c r="G651" s="414" t="s">
        <v>619</v>
      </c>
      <c r="H651" s="412" t="s">
        <v>1637</v>
      </c>
      <c r="I651" s="414">
        <f>(C10)</f>
        <v>999</v>
      </c>
      <c r="J651" s="412" t="s">
        <v>619</v>
      </c>
      <c r="K651" s="414">
        <f>(F651*I651)</f>
        <v>499.5</v>
      </c>
      <c r="O651" s="418" t="s">
        <v>1288</v>
      </c>
      <c r="S651" s="414"/>
      <c r="W651" s="413"/>
      <c r="X651" s="418" t="s">
        <v>1676</v>
      </c>
      <c r="AE651" s="412"/>
      <c r="AF651" s="418" t="s">
        <v>1676</v>
      </c>
    </row>
    <row r="652" spans="1:32" ht="24" customHeight="1">
      <c r="A652" s="424">
        <f t="shared" si="85"/>
        <v>458</v>
      </c>
      <c r="B652" s="412" t="s">
        <v>1439</v>
      </c>
      <c r="C652" s="414">
        <v>91.08</v>
      </c>
      <c r="D652" s="412" t="s">
        <v>701</v>
      </c>
      <c r="F652" s="414">
        <v>0.75</v>
      </c>
      <c r="G652" s="414" t="s">
        <v>619</v>
      </c>
      <c r="H652" s="412" t="s">
        <v>1550</v>
      </c>
      <c r="I652" s="414">
        <f>(C12)</f>
        <v>651</v>
      </c>
      <c r="J652" s="412" t="s">
        <v>619</v>
      </c>
      <c r="K652" s="414">
        <f>(F652*I652)</f>
        <v>488.25</v>
      </c>
      <c r="M652" s="414">
        <v>9.5</v>
      </c>
      <c r="N652" s="412" t="s">
        <v>702</v>
      </c>
      <c r="O652" s="412" t="s">
        <v>1350</v>
      </c>
      <c r="P652" s="414">
        <f>(C61*2)</f>
        <v>224.1</v>
      </c>
      <c r="Q652" s="412" t="s">
        <v>702</v>
      </c>
      <c r="R652" s="414">
        <f t="shared" ref="R652:R660" si="89">(M652*P652)</f>
        <v>2128.9499999999998</v>
      </c>
      <c r="S652" s="414"/>
      <c r="U652" s="412" t="s">
        <v>621</v>
      </c>
      <c r="W652" s="413"/>
      <c r="X652" s="414" t="e">
        <f>X650/10</f>
        <v>#REF!</v>
      </c>
      <c r="AC652" s="412" t="s">
        <v>621</v>
      </c>
      <c r="AE652" s="412"/>
      <c r="AF652" s="414" t="e">
        <f>AF650/10</f>
        <v>#REF!</v>
      </c>
    </row>
    <row r="653" spans="1:32" ht="24" customHeight="1">
      <c r="A653" s="424">
        <f t="shared" si="85"/>
        <v>459</v>
      </c>
      <c r="B653" s="412" t="s">
        <v>2977</v>
      </c>
      <c r="C653" s="414">
        <v>42.7</v>
      </c>
      <c r="D653" s="412" t="s">
        <v>1341</v>
      </c>
      <c r="G653" s="414" t="s">
        <v>358</v>
      </c>
      <c r="H653" s="412" t="s">
        <v>359</v>
      </c>
      <c r="J653" s="412" t="s">
        <v>358</v>
      </c>
      <c r="K653" s="414">
        <v>0</v>
      </c>
      <c r="M653" s="414">
        <v>0.47</v>
      </c>
      <c r="N653" s="412" t="s">
        <v>702</v>
      </c>
      <c r="O653" s="412" t="s">
        <v>267</v>
      </c>
      <c r="P653" s="414" t="e">
        <f>(R74)</f>
        <v>#REF!</v>
      </c>
      <c r="Q653" s="412" t="s">
        <v>702</v>
      </c>
      <c r="R653" s="414" t="e">
        <f t="shared" si="89"/>
        <v>#REF!</v>
      </c>
      <c r="S653" s="414">
        <v>1</v>
      </c>
      <c r="T653" s="414" t="s">
        <v>702</v>
      </c>
      <c r="U653" s="412" t="s">
        <v>33</v>
      </c>
      <c r="W653" s="413"/>
      <c r="AA653" s="414">
        <v>1</v>
      </c>
      <c r="AB653" s="414" t="s">
        <v>702</v>
      </c>
      <c r="AC653" s="412" t="s">
        <v>33</v>
      </c>
      <c r="AE653" s="412"/>
    </row>
    <row r="654" spans="1:32" ht="24" customHeight="1">
      <c r="A654" s="424">
        <f t="shared" si="85"/>
        <v>460</v>
      </c>
      <c r="B654" s="412" t="s">
        <v>1495</v>
      </c>
      <c r="C654" s="414">
        <v>0.3</v>
      </c>
      <c r="D654" s="412" t="s">
        <v>701</v>
      </c>
      <c r="K654" s="418" t="s">
        <v>1288</v>
      </c>
      <c r="M654" s="414">
        <v>1.62</v>
      </c>
      <c r="N654" s="412" t="s">
        <v>702</v>
      </c>
      <c r="O654" s="412" t="s">
        <v>1608</v>
      </c>
      <c r="P654" s="414" t="e">
        <f>(R89)</f>
        <v>#REF!</v>
      </c>
      <c r="Q654" s="412" t="s">
        <v>702</v>
      </c>
      <c r="R654" s="414" t="e">
        <f t="shared" si="89"/>
        <v>#REF!</v>
      </c>
      <c r="W654" s="413"/>
      <c r="X654" s="414" t="e">
        <f>SUM(X652:X653)</f>
        <v>#REF!</v>
      </c>
      <c r="AA654" s="416"/>
      <c r="AF654" s="414" t="e">
        <f>SUM(AF652:AF653)</f>
        <v>#REF!</v>
      </c>
    </row>
    <row r="655" spans="1:32" ht="24" customHeight="1">
      <c r="A655" s="424">
        <f t="shared" si="85"/>
        <v>461</v>
      </c>
      <c r="B655" s="412" t="s">
        <v>2978</v>
      </c>
      <c r="C655" s="414">
        <v>189.65</v>
      </c>
      <c r="D655" s="412" t="s">
        <v>488</v>
      </c>
      <c r="H655" s="412" t="s">
        <v>79</v>
      </c>
      <c r="K655" s="414" t="e">
        <f>SUM(K649:K653)</f>
        <v>#REF!</v>
      </c>
      <c r="M655" s="414">
        <v>15.22</v>
      </c>
      <c r="N655" s="412" t="s">
        <v>488</v>
      </c>
      <c r="O655" s="412" t="s">
        <v>1738</v>
      </c>
      <c r="P655" s="414" t="e">
        <f>(R304)</f>
        <v>#REF!</v>
      </c>
      <c r="Q655" s="412" t="s">
        <v>488</v>
      </c>
      <c r="R655" s="414" t="e">
        <f t="shared" si="89"/>
        <v>#REF!</v>
      </c>
      <c r="S655" s="414"/>
      <c r="U655" s="414" t="s">
        <v>2413</v>
      </c>
      <c r="W655" s="413"/>
      <c r="X655" s="414" t="e">
        <f>X654*0.5%</f>
        <v>#REF!</v>
      </c>
      <c r="AC655" s="414" t="s">
        <v>2413</v>
      </c>
      <c r="AF655" s="414" t="e">
        <f>AF654*0.5%</f>
        <v>#REF!</v>
      </c>
    </row>
    <row r="656" spans="1:32" ht="24" customHeight="1">
      <c r="A656" s="424">
        <f t="shared" si="85"/>
        <v>462</v>
      </c>
      <c r="B656" s="412" t="s">
        <v>1645</v>
      </c>
      <c r="C656" s="414">
        <v>97.31</v>
      </c>
      <c r="D656" s="412" t="s">
        <v>488</v>
      </c>
      <c r="K656" s="418" t="s">
        <v>1288</v>
      </c>
      <c r="M656" s="414">
        <v>0.18</v>
      </c>
      <c r="N656" s="412" t="s">
        <v>702</v>
      </c>
      <c r="O656" s="412" t="s">
        <v>1081</v>
      </c>
      <c r="P656" s="414" t="e">
        <f>(K280)</f>
        <v>#REF!</v>
      </c>
      <c r="Q656" s="412" t="s">
        <v>702</v>
      </c>
      <c r="R656" s="414" t="e">
        <f t="shared" si="89"/>
        <v>#REF!</v>
      </c>
      <c r="S656" s="414"/>
      <c r="W656" s="413"/>
      <c r="X656" s="418"/>
      <c r="AE656" s="412"/>
      <c r="AF656" s="418"/>
    </row>
    <row r="657" spans="1:32" ht="24" customHeight="1">
      <c r="A657" s="424">
        <f t="shared" si="85"/>
        <v>463</v>
      </c>
      <c r="B657" s="412" t="s">
        <v>2979</v>
      </c>
      <c r="C657" s="414">
        <v>196.45</v>
      </c>
      <c r="D657" s="412" t="s">
        <v>939</v>
      </c>
      <c r="H657" s="412" t="s">
        <v>447</v>
      </c>
      <c r="K657" s="414" t="e">
        <f>(K655/0.372)</f>
        <v>#REF!</v>
      </c>
      <c r="M657" s="414">
        <v>0.36</v>
      </c>
      <c r="N657" s="412" t="s">
        <v>488</v>
      </c>
      <c r="O657" s="412" t="s">
        <v>613</v>
      </c>
      <c r="P657" s="414" t="e">
        <f>(K467)</f>
        <v>#REF!</v>
      </c>
      <c r="Q657" s="412" t="s">
        <v>488</v>
      </c>
      <c r="R657" s="414" t="e">
        <f t="shared" si="89"/>
        <v>#REF!</v>
      </c>
      <c r="S657" s="414"/>
      <c r="U657" s="414" t="s">
        <v>2170</v>
      </c>
      <c r="W657" s="413"/>
      <c r="X657" s="417" t="e">
        <f>SUM(X654:X656)</f>
        <v>#REF!</v>
      </c>
      <c r="AC657" s="414" t="s">
        <v>2170</v>
      </c>
      <c r="AE657" s="412"/>
      <c r="AF657" s="417" t="e">
        <f>SUM(AF654:AF656)</f>
        <v>#REF!</v>
      </c>
    </row>
    <row r="658" spans="1:32" ht="24" customHeight="1">
      <c r="A658" s="424">
        <f t="shared" si="85"/>
        <v>464</v>
      </c>
      <c r="B658" s="412" t="s">
        <v>2980</v>
      </c>
      <c r="C658" s="414">
        <f>C657</f>
        <v>196.45</v>
      </c>
      <c r="D658" s="412" t="s">
        <v>939</v>
      </c>
      <c r="K658" s="418" t="s">
        <v>1676</v>
      </c>
      <c r="M658" s="414">
        <v>1</v>
      </c>
      <c r="N658" s="412" t="s">
        <v>701</v>
      </c>
      <c r="O658" s="412" t="s">
        <v>949</v>
      </c>
      <c r="P658" s="414">
        <f>(C203)</f>
        <v>128</v>
      </c>
      <c r="Q658" s="412" t="s">
        <v>701</v>
      </c>
      <c r="R658" s="414">
        <f t="shared" si="89"/>
        <v>128</v>
      </c>
      <c r="S658" s="414"/>
      <c r="W658" s="413"/>
      <c r="X658" s="418" t="s">
        <v>1288</v>
      </c>
      <c r="AE658" s="412"/>
      <c r="AF658" s="418" t="s">
        <v>1288</v>
      </c>
    </row>
    <row r="659" spans="1:32" ht="24" customHeight="1">
      <c r="A659" s="424">
        <f t="shared" si="85"/>
        <v>465</v>
      </c>
      <c r="B659" s="412" t="s">
        <v>950</v>
      </c>
      <c r="C659" s="414">
        <v>3.91</v>
      </c>
      <c r="D659" s="412" t="s">
        <v>701</v>
      </c>
      <c r="E659" s="414" t="s">
        <v>121</v>
      </c>
      <c r="H659" s="412" t="s">
        <v>307</v>
      </c>
      <c r="I659" s="414" t="e">
        <f>K657</f>
        <v>#REF!</v>
      </c>
      <c r="J659" s="412">
        <f>C22*0.014/0.372</f>
        <v>4.51</v>
      </c>
      <c r="K659" s="417" t="e">
        <f>I659+J659</f>
        <v>#REF!</v>
      </c>
      <c r="M659" s="414">
        <v>1.8</v>
      </c>
      <c r="N659" s="412" t="s">
        <v>260</v>
      </c>
      <c r="O659" s="412" t="s">
        <v>261</v>
      </c>
      <c r="P659" s="414">
        <f>(C325)</f>
        <v>14.91</v>
      </c>
      <c r="Q659" s="412" t="s">
        <v>260</v>
      </c>
      <c r="R659" s="414">
        <f t="shared" si="89"/>
        <v>26.84</v>
      </c>
      <c r="S659" s="414"/>
      <c r="U659" s="412" t="s">
        <v>307</v>
      </c>
      <c r="W659" s="413"/>
      <c r="X659" s="417" t="e">
        <f>(X657+C23)</f>
        <v>#REF!</v>
      </c>
      <c r="AC659" s="412" t="s">
        <v>307</v>
      </c>
      <c r="AE659" s="412"/>
      <c r="AF659" s="417" t="e">
        <f>AF657+C23</f>
        <v>#REF!</v>
      </c>
    </row>
    <row r="660" spans="1:32" ht="24" customHeight="1">
      <c r="A660" s="424">
        <f t="shared" si="85"/>
        <v>466</v>
      </c>
      <c r="B660" s="412" t="s">
        <v>3169</v>
      </c>
      <c r="C660" s="414">
        <v>70.150000000000006</v>
      </c>
      <c r="D660" s="412">
        <v>69.599999999999994</v>
      </c>
      <c r="E660" s="414" t="s">
        <v>2842</v>
      </c>
      <c r="H660" s="412" t="s">
        <v>309</v>
      </c>
      <c r="I660" s="414" t="e">
        <f>K659</f>
        <v>#REF!</v>
      </c>
      <c r="J660" s="412">
        <f>C23*0.014/0.372</f>
        <v>8.89</v>
      </c>
      <c r="K660" s="417" t="e">
        <f>I660+J660</f>
        <v>#REF!</v>
      </c>
      <c r="M660" s="414">
        <v>1</v>
      </c>
      <c r="N660" s="412" t="s">
        <v>701</v>
      </c>
      <c r="O660" s="412" t="s">
        <v>1558</v>
      </c>
      <c r="P660" s="414">
        <f>(C371)</f>
        <v>13.29</v>
      </c>
      <c r="Q660" s="412" t="s">
        <v>701</v>
      </c>
      <c r="R660" s="414">
        <f t="shared" si="89"/>
        <v>13.29</v>
      </c>
      <c r="S660" s="414"/>
      <c r="U660" s="412" t="s">
        <v>309</v>
      </c>
      <c r="W660" s="413"/>
      <c r="X660" s="417" t="e">
        <f>X659+C24</f>
        <v>#REF!</v>
      </c>
      <c r="AC660" s="412" t="s">
        <v>309</v>
      </c>
      <c r="AE660" s="412"/>
      <c r="AF660" s="417" t="e">
        <f>AF659+C24</f>
        <v>#REF!</v>
      </c>
    </row>
    <row r="661" spans="1:32" ht="32.25" customHeight="1">
      <c r="A661" s="424">
        <f t="shared" si="85"/>
        <v>467</v>
      </c>
      <c r="B661" s="442" t="s">
        <v>2981</v>
      </c>
      <c r="C661" s="414">
        <v>11.2</v>
      </c>
      <c r="D661" s="412" t="s">
        <v>1443</v>
      </c>
      <c r="E661" s="414">
        <v>17.3</v>
      </c>
      <c r="H661" s="412" t="s">
        <v>1818</v>
      </c>
      <c r="I661" s="414" t="e">
        <f>K660</f>
        <v>#REF!</v>
      </c>
      <c r="J661" s="412">
        <f>J660</f>
        <v>8.89</v>
      </c>
      <c r="K661" s="417" t="e">
        <f>I661+J661</f>
        <v>#REF!</v>
      </c>
      <c r="N661" s="412" t="s">
        <v>358</v>
      </c>
      <c r="O661" s="412" t="s">
        <v>265</v>
      </c>
      <c r="Q661" s="412" t="s">
        <v>358</v>
      </c>
      <c r="R661" s="414">
        <v>1.72</v>
      </c>
      <c r="S661" s="414"/>
      <c r="U661" s="412" t="s">
        <v>1818</v>
      </c>
      <c r="W661" s="413"/>
      <c r="X661" s="417" t="e">
        <f>X660+C25</f>
        <v>#REF!</v>
      </c>
      <c r="AC661" s="412" t="s">
        <v>1818</v>
      </c>
      <c r="AE661" s="412"/>
      <c r="AF661" s="417" t="e">
        <f>AF660+C25</f>
        <v>#REF!</v>
      </c>
    </row>
    <row r="662" spans="1:32" ht="24" customHeight="1">
      <c r="A662" s="424">
        <f t="shared" si="85"/>
        <v>468</v>
      </c>
      <c r="B662" s="443" t="s">
        <v>2982</v>
      </c>
      <c r="C662" s="414">
        <v>17.3</v>
      </c>
      <c r="D662" s="412" t="s">
        <v>1443</v>
      </c>
      <c r="H662" s="412" t="s">
        <v>301</v>
      </c>
      <c r="I662" s="414" t="e">
        <f>K661</f>
        <v>#REF!</v>
      </c>
      <c r="J662" s="412">
        <f>J661</f>
        <v>8.89</v>
      </c>
      <c r="K662" s="417" t="e">
        <f>I662+J662</f>
        <v>#REF!</v>
      </c>
      <c r="R662" s="412" t="s">
        <v>790</v>
      </c>
      <c r="S662" s="414"/>
      <c r="U662" s="412" t="s">
        <v>301</v>
      </c>
      <c r="W662" s="413"/>
      <c r="X662" s="417" t="e">
        <f>X661+C25</f>
        <v>#REF!</v>
      </c>
      <c r="AC662" s="412" t="s">
        <v>301</v>
      </c>
      <c r="AE662" s="412"/>
      <c r="AF662" s="417" t="e">
        <f>AF661+C25</f>
        <v>#REF!</v>
      </c>
    </row>
    <row r="663" spans="1:32" ht="24" customHeight="1">
      <c r="A663" s="424">
        <f t="shared" si="85"/>
        <v>469</v>
      </c>
      <c r="B663" s="412" t="s">
        <v>2843</v>
      </c>
      <c r="C663" s="414">
        <v>8.9</v>
      </c>
      <c r="D663" s="412">
        <v>10.65</v>
      </c>
      <c r="E663" s="414">
        <v>2</v>
      </c>
      <c r="H663" s="412" t="s">
        <v>1110</v>
      </c>
      <c r="I663" s="414" t="e">
        <f>K662</f>
        <v>#REF!</v>
      </c>
      <c r="J663" s="412">
        <f>J662</f>
        <v>8.89</v>
      </c>
      <c r="K663" s="417" t="e">
        <f>I663+J663</f>
        <v>#REF!</v>
      </c>
      <c r="R663" s="418" t="s">
        <v>1288</v>
      </c>
      <c r="S663" s="414"/>
      <c r="U663" s="412" t="s">
        <v>1244</v>
      </c>
      <c r="W663" s="413"/>
      <c r="X663" s="417" t="e">
        <f>X662+C25</f>
        <v>#REF!</v>
      </c>
      <c r="AC663" s="412" t="s">
        <v>1244</v>
      </c>
      <c r="AE663" s="412"/>
      <c r="AF663" s="417" t="e">
        <f>AF662+K25</f>
        <v>#REF!</v>
      </c>
    </row>
    <row r="664" spans="1:32" ht="24" customHeight="1">
      <c r="A664" s="424"/>
      <c r="B664" s="412"/>
      <c r="D664" s="412"/>
      <c r="H664" s="412">
        <v>5</v>
      </c>
      <c r="I664" s="414" t="e">
        <f t="shared" ref="I664:I670" si="90">K663</f>
        <v>#REF!</v>
      </c>
      <c r="J664" s="412">
        <f t="shared" ref="J664:J670" si="91">J663</f>
        <v>8.89</v>
      </c>
      <c r="K664" s="417" t="e">
        <f t="shared" ref="K664:K670" si="92">I664+J664</f>
        <v>#REF!</v>
      </c>
      <c r="R664" s="418"/>
      <c r="S664" s="414"/>
      <c r="U664" s="412">
        <v>5</v>
      </c>
      <c r="W664" s="413"/>
      <c r="X664" s="417" t="e">
        <f>X663+C25</f>
        <v>#REF!</v>
      </c>
      <c r="AC664" s="412">
        <v>5</v>
      </c>
      <c r="AE664" s="412"/>
      <c r="AF664" s="417" t="e">
        <f>AF663+K25</f>
        <v>#REF!</v>
      </c>
    </row>
    <row r="665" spans="1:32" ht="24" customHeight="1">
      <c r="A665" s="424"/>
      <c r="B665" s="412"/>
      <c r="D665" s="412"/>
      <c r="H665" s="412">
        <v>6</v>
      </c>
      <c r="I665" s="414" t="e">
        <f t="shared" si="90"/>
        <v>#REF!</v>
      </c>
      <c r="J665" s="412">
        <f t="shared" si="91"/>
        <v>8.89</v>
      </c>
      <c r="K665" s="417" t="e">
        <f t="shared" si="92"/>
        <v>#REF!</v>
      </c>
      <c r="R665" s="418"/>
      <c r="W665" s="413"/>
      <c r="AA665" s="416"/>
    </row>
    <row r="666" spans="1:32" ht="24" customHeight="1">
      <c r="A666" s="424"/>
      <c r="B666" s="412"/>
      <c r="D666" s="412"/>
      <c r="H666" s="412">
        <v>7</v>
      </c>
      <c r="I666" s="414" t="e">
        <f t="shared" si="90"/>
        <v>#REF!</v>
      </c>
      <c r="J666" s="412">
        <f t="shared" si="91"/>
        <v>8.89</v>
      </c>
      <c r="K666" s="417" t="e">
        <f t="shared" si="92"/>
        <v>#REF!</v>
      </c>
      <c r="R666" s="418"/>
      <c r="W666" s="413"/>
      <c r="AA666" s="416"/>
    </row>
    <row r="667" spans="1:32" ht="24" customHeight="1">
      <c r="A667" s="424"/>
      <c r="B667" s="412"/>
      <c r="D667" s="412"/>
      <c r="H667" s="412">
        <v>8</v>
      </c>
      <c r="I667" s="414" t="e">
        <f t="shared" si="90"/>
        <v>#REF!</v>
      </c>
      <c r="J667" s="412">
        <f t="shared" si="91"/>
        <v>8.89</v>
      </c>
      <c r="K667" s="417" t="e">
        <f t="shared" si="92"/>
        <v>#REF!</v>
      </c>
      <c r="R667" s="418"/>
      <c r="W667" s="413"/>
      <c r="AA667" s="416"/>
    </row>
    <row r="668" spans="1:32" ht="24" customHeight="1">
      <c r="A668" s="424"/>
      <c r="B668" s="412"/>
      <c r="D668" s="412"/>
      <c r="H668" s="412">
        <v>9</v>
      </c>
      <c r="I668" s="414" t="e">
        <f t="shared" si="90"/>
        <v>#REF!</v>
      </c>
      <c r="J668" s="412">
        <f t="shared" si="91"/>
        <v>8.89</v>
      </c>
      <c r="K668" s="417" t="e">
        <f t="shared" si="92"/>
        <v>#REF!</v>
      </c>
      <c r="R668" s="418"/>
      <c r="W668" s="413"/>
      <c r="AA668" s="416"/>
    </row>
    <row r="669" spans="1:32" ht="24" customHeight="1">
      <c r="A669" s="424"/>
      <c r="B669" s="412"/>
      <c r="D669" s="412"/>
      <c r="H669" s="412">
        <v>10</v>
      </c>
      <c r="I669" s="414" t="e">
        <f t="shared" si="90"/>
        <v>#REF!</v>
      </c>
      <c r="J669" s="412">
        <f t="shared" si="91"/>
        <v>8.89</v>
      </c>
      <c r="K669" s="417" t="e">
        <f t="shared" si="92"/>
        <v>#REF!</v>
      </c>
      <c r="R669" s="418"/>
      <c r="W669" s="413"/>
      <c r="AA669" s="416"/>
    </row>
    <row r="670" spans="1:32" ht="24" customHeight="1">
      <c r="A670" s="424"/>
      <c r="B670" s="412"/>
      <c r="D670" s="412"/>
      <c r="H670" s="412">
        <v>11</v>
      </c>
      <c r="I670" s="414" t="e">
        <f t="shared" si="90"/>
        <v>#REF!</v>
      </c>
      <c r="J670" s="412">
        <f t="shared" si="91"/>
        <v>8.89</v>
      </c>
      <c r="K670" s="417" t="e">
        <f t="shared" si="92"/>
        <v>#REF!</v>
      </c>
      <c r="R670" s="418"/>
      <c r="W670" s="413"/>
      <c r="AA670" s="416"/>
    </row>
    <row r="671" spans="1:32" ht="24" customHeight="1">
      <c r="A671" s="424"/>
      <c r="B671" s="412"/>
      <c r="D671" s="412"/>
      <c r="H671" s="412"/>
      <c r="K671" s="417"/>
      <c r="R671" s="418"/>
      <c r="W671" s="413"/>
      <c r="AA671" s="416"/>
    </row>
    <row r="672" spans="1:32" ht="28.5" customHeight="1">
      <c r="A672" s="424">
        <f>(A663+1)</f>
        <v>470</v>
      </c>
      <c r="B672" s="412" t="s">
        <v>141</v>
      </c>
      <c r="C672" s="414">
        <v>12.65</v>
      </c>
      <c r="D672" s="412">
        <v>12.85</v>
      </c>
      <c r="E672" s="414">
        <v>3.7</v>
      </c>
      <c r="F672" s="413" t="s">
        <v>1082</v>
      </c>
      <c r="H672" s="412" t="s">
        <v>612</v>
      </c>
      <c r="O672" s="412" t="s">
        <v>1428</v>
      </c>
      <c r="R672" s="414" t="e">
        <f>SUM(R652:R662)</f>
        <v>#REF!</v>
      </c>
      <c r="W672" s="413"/>
      <c r="AA672" s="416"/>
    </row>
    <row r="673" spans="1:33" ht="24" customHeight="1">
      <c r="A673" s="424">
        <f t="shared" si="85"/>
        <v>471</v>
      </c>
      <c r="B673" s="412" t="s">
        <v>142</v>
      </c>
      <c r="C673" s="414">
        <v>4</v>
      </c>
      <c r="D673" s="412" t="s">
        <v>358</v>
      </c>
      <c r="H673" s="412" t="s">
        <v>1144</v>
      </c>
      <c r="R673" s="418" t="s">
        <v>1288</v>
      </c>
      <c r="W673" s="413"/>
      <c r="AE673" s="414" t="str">
        <f t="shared" ref="AE673:AE680" si="93">AG673</f>
        <v>|</v>
      </c>
      <c r="AG673" s="412" t="s">
        <v>1841</v>
      </c>
    </row>
    <row r="674" spans="1:33" ht="24" customHeight="1">
      <c r="A674" s="424">
        <f t="shared" si="85"/>
        <v>472</v>
      </c>
      <c r="B674" s="412" t="s">
        <v>332</v>
      </c>
      <c r="C674" s="414">
        <v>5</v>
      </c>
      <c r="D674" s="412" t="s">
        <v>358</v>
      </c>
      <c r="H674" s="412" t="s">
        <v>259</v>
      </c>
      <c r="O674" s="412" t="s">
        <v>1169</v>
      </c>
      <c r="T674" s="417">
        <v>4.2</v>
      </c>
      <c r="U674" s="417" t="s">
        <v>2406</v>
      </c>
      <c r="W674" s="413"/>
      <c r="AE674" s="414" t="str">
        <f t="shared" si="93"/>
        <v>|</v>
      </c>
      <c r="AG674" s="412" t="s">
        <v>1841</v>
      </c>
    </row>
    <row r="675" spans="1:33" ht="24" customHeight="1">
      <c r="A675" s="424">
        <f t="shared" si="85"/>
        <v>473</v>
      </c>
      <c r="B675" s="412" t="s">
        <v>1300</v>
      </c>
      <c r="C675" s="414">
        <v>96</v>
      </c>
      <c r="D675" s="412" t="s">
        <v>701</v>
      </c>
      <c r="H675" s="412" t="s">
        <v>1223</v>
      </c>
      <c r="N675" s="412" t="s">
        <v>1833</v>
      </c>
      <c r="O675" s="412" t="s">
        <v>1302</v>
      </c>
      <c r="S675" s="416">
        <v>5</v>
      </c>
      <c r="T675" s="414" t="s">
        <v>1089</v>
      </c>
      <c r="U675" s="414" t="s">
        <v>4315</v>
      </c>
      <c r="V675" s="414" t="e">
        <f>V705</f>
        <v>#REF!</v>
      </c>
      <c r="W675" s="413"/>
      <c r="X675" s="414" t="e">
        <f>V675*S675</f>
        <v>#REF!</v>
      </c>
      <c r="AE675" s="414" t="str">
        <f t="shared" si="93"/>
        <v>|</v>
      </c>
      <c r="AG675" s="412" t="s">
        <v>1841</v>
      </c>
    </row>
    <row r="676" spans="1:33" ht="24" customHeight="1">
      <c r="A676" s="424">
        <f t="shared" si="85"/>
        <v>474</v>
      </c>
      <c r="B676" s="412" t="s">
        <v>1303</v>
      </c>
      <c r="C676" s="414">
        <v>75</v>
      </c>
      <c r="D676" s="412" t="s">
        <v>701</v>
      </c>
      <c r="H676" s="412" t="s">
        <v>138</v>
      </c>
      <c r="O676" s="412" t="s">
        <v>1304</v>
      </c>
      <c r="S676" s="416">
        <v>3.3</v>
      </c>
      <c r="T676" s="414" t="s">
        <v>1089</v>
      </c>
      <c r="U676" s="414" t="s">
        <v>4316</v>
      </c>
      <c r="V676" s="414" t="e">
        <f t="shared" ref="V676:V685" si="94">V706</f>
        <v>#REF!</v>
      </c>
      <c r="W676" s="413"/>
      <c r="X676" s="414" t="e">
        <f t="shared" ref="X676:X682" si="95">V676*S676</f>
        <v>#REF!</v>
      </c>
      <c r="AE676" s="414" t="str">
        <f t="shared" si="93"/>
        <v>|</v>
      </c>
      <c r="AG676" s="412" t="s">
        <v>1841</v>
      </c>
    </row>
    <row r="677" spans="1:33" ht="24" customHeight="1">
      <c r="A677" s="424">
        <f t="shared" si="85"/>
        <v>475</v>
      </c>
      <c r="B677" s="412" t="s">
        <v>1305</v>
      </c>
      <c r="C677" s="414">
        <v>26.6</v>
      </c>
      <c r="D677" s="414">
        <v>40.9</v>
      </c>
      <c r="E677" s="414">
        <v>3</v>
      </c>
      <c r="H677" s="412" t="s">
        <v>139</v>
      </c>
      <c r="O677" s="418" t="s">
        <v>1288</v>
      </c>
      <c r="S677" s="416">
        <v>4.79</v>
      </c>
      <c r="T677" s="414" t="s">
        <v>1089</v>
      </c>
      <c r="U677" s="414" t="s">
        <v>4317</v>
      </c>
      <c r="V677" s="414" t="e">
        <f t="shared" si="94"/>
        <v>#REF!</v>
      </c>
      <c r="W677" s="413"/>
      <c r="X677" s="414" t="e">
        <f t="shared" si="95"/>
        <v>#REF!</v>
      </c>
      <c r="AE677" s="414" t="str">
        <f t="shared" si="93"/>
        <v>|</v>
      </c>
      <c r="AG677" s="412" t="s">
        <v>1841</v>
      </c>
    </row>
    <row r="678" spans="1:33" ht="24" customHeight="1">
      <c r="A678" s="424">
        <f t="shared" si="85"/>
        <v>476</v>
      </c>
      <c r="B678" s="412" t="s">
        <v>1283</v>
      </c>
      <c r="C678" s="414">
        <v>80</v>
      </c>
      <c r="D678" s="412" t="s">
        <v>701</v>
      </c>
      <c r="H678" s="412" t="s">
        <v>140</v>
      </c>
      <c r="M678" s="414">
        <v>1</v>
      </c>
      <c r="N678" s="412" t="s">
        <v>701</v>
      </c>
      <c r="O678" s="412" t="s">
        <v>1285</v>
      </c>
      <c r="P678" s="414">
        <f>(C383)</f>
        <v>14.91</v>
      </c>
      <c r="Q678" s="412" t="s">
        <v>701</v>
      </c>
      <c r="R678" s="414">
        <f>(M678*P678)</f>
        <v>14.91</v>
      </c>
      <c r="S678" s="416">
        <v>4</v>
      </c>
      <c r="T678" s="414" t="s">
        <v>427</v>
      </c>
      <c r="U678" s="414" t="s">
        <v>310</v>
      </c>
      <c r="V678" s="414" t="e">
        <f t="shared" si="94"/>
        <v>#REF!</v>
      </c>
      <c r="W678" s="413"/>
      <c r="X678" s="414" t="e">
        <f t="shared" si="95"/>
        <v>#REF!</v>
      </c>
      <c r="AE678" s="414" t="str">
        <f t="shared" si="93"/>
        <v>|</v>
      </c>
      <c r="AG678" s="412" t="s">
        <v>1841</v>
      </c>
    </row>
    <row r="679" spans="1:33" ht="24" customHeight="1">
      <c r="A679" s="424">
        <f t="shared" si="85"/>
        <v>477</v>
      </c>
      <c r="B679" s="412" t="s">
        <v>108</v>
      </c>
      <c r="C679" s="414">
        <v>64</v>
      </c>
      <c r="D679" s="412" t="s">
        <v>701</v>
      </c>
      <c r="H679" s="418" t="s">
        <v>1288</v>
      </c>
      <c r="I679" s="418" t="s">
        <v>1288</v>
      </c>
      <c r="N679" s="412" t="s">
        <v>358</v>
      </c>
      <c r="O679" s="412" t="s">
        <v>109</v>
      </c>
      <c r="Q679" s="412" t="s">
        <v>358</v>
      </c>
      <c r="R679" s="414">
        <v>2.09</v>
      </c>
      <c r="S679" s="416">
        <v>40</v>
      </c>
      <c r="T679" s="414" t="s">
        <v>1341</v>
      </c>
      <c r="U679" s="414" t="s">
        <v>2420</v>
      </c>
      <c r="V679" s="414">
        <f>V648</f>
        <v>43.2</v>
      </c>
      <c r="W679" s="413"/>
      <c r="X679" s="414">
        <f t="shared" si="95"/>
        <v>1728</v>
      </c>
      <c r="AE679" s="414" t="str">
        <f t="shared" si="93"/>
        <v>|</v>
      </c>
      <c r="AG679" s="412" t="s">
        <v>1841</v>
      </c>
    </row>
    <row r="680" spans="1:33" ht="24" customHeight="1">
      <c r="A680" s="424">
        <f t="shared" si="85"/>
        <v>478</v>
      </c>
      <c r="B680" s="412" t="s">
        <v>110</v>
      </c>
      <c r="C680" s="414">
        <v>40.5</v>
      </c>
      <c r="D680" s="412" t="s">
        <v>701</v>
      </c>
      <c r="F680" s="414">
        <v>1</v>
      </c>
      <c r="G680" s="414" t="s">
        <v>488</v>
      </c>
      <c r="H680" s="412" t="s">
        <v>143</v>
      </c>
      <c r="I680" s="414">
        <f>D76</f>
        <v>290</v>
      </c>
      <c r="J680" s="412" t="s">
        <v>488</v>
      </c>
      <c r="K680" s="414">
        <f>(F680*I680)</f>
        <v>290</v>
      </c>
      <c r="O680" s="412" t="s">
        <v>111</v>
      </c>
      <c r="R680" s="412" t="s">
        <v>790</v>
      </c>
      <c r="S680" s="416">
        <v>3.5</v>
      </c>
      <c r="T680" s="414" t="s">
        <v>1166</v>
      </c>
      <c r="U680" s="414" t="s">
        <v>374</v>
      </c>
      <c r="V680" s="414">
        <f t="shared" si="94"/>
        <v>932</v>
      </c>
      <c r="W680" s="413"/>
      <c r="X680" s="414">
        <f>V680*S680</f>
        <v>3262</v>
      </c>
      <c r="AE680" s="414" t="str">
        <f t="shared" si="93"/>
        <v>|</v>
      </c>
      <c r="AG680" s="412" t="s">
        <v>1841</v>
      </c>
    </row>
    <row r="681" spans="1:33" ht="24" customHeight="1">
      <c r="A681" s="424">
        <f t="shared" si="85"/>
        <v>479</v>
      </c>
      <c r="B681" s="412" t="s">
        <v>1189</v>
      </c>
      <c r="C681" s="414">
        <v>92</v>
      </c>
      <c r="D681" s="412" t="s">
        <v>701</v>
      </c>
      <c r="F681" s="414">
        <v>1</v>
      </c>
      <c r="G681" s="414" t="s">
        <v>488</v>
      </c>
      <c r="H681" s="412" t="s">
        <v>1168</v>
      </c>
      <c r="I681" s="414">
        <f>C75</f>
        <v>175</v>
      </c>
      <c r="J681" s="412" t="s">
        <v>488</v>
      </c>
      <c r="K681" s="414">
        <f>(F681*I681)</f>
        <v>175</v>
      </c>
      <c r="R681" s="418" t="s">
        <v>1288</v>
      </c>
      <c r="S681" s="416">
        <v>21.2</v>
      </c>
      <c r="T681" s="414" t="s">
        <v>1166</v>
      </c>
      <c r="U681" s="414" t="s">
        <v>2079</v>
      </c>
      <c r="V681" s="414">
        <f t="shared" si="94"/>
        <v>651</v>
      </c>
      <c r="W681" s="413"/>
      <c r="X681" s="414">
        <f t="shared" si="95"/>
        <v>13801.2</v>
      </c>
      <c r="AE681" s="414">
        <f>32.32*100</f>
        <v>3232</v>
      </c>
      <c r="AG681" s="412" t="s">
        <v>1841</v>
      </c>
    </row>
    <row r="682" spans="1:33" ht="24" customHeight="1">
      <c r="A682" s="424">
        <f t="shared" si="85"/>
        <v>480</v>
      </c>
      <c r="B682" s="412" t="s">
        <v>1268</v>
      </c>
      <c r="C682" s="414">
        <v>60</v>
      </c>
      <c r="D682" s="412" t="s">
        <v>701</v>
      </c>
      <c r="F682" s="414">
        <v>1</v>
      </c>
      <c r="G682" s="414" t="s">
        <v>358</v>
      </c>
      <c r="H682" s="412" t="s">
        <v>1301</v>
      </c>
      <c r="I682" s="414">
        <v>15</v>
      </c>
      <c r="J682" s="412" t="s">
        <v>358</v>
      </c>
      <c r="K682" s="414">
        <f>(F682*I682)</f>
        <v>15</v>
      </c>
      <c r="O682" s="412" t="s">
        <v>1269</v>
      </c>
      <c r="R682" s="414">
        <f>SUM(R678:R680)</f>
        <v>17</v>
      </c>
      <c r="S682" s="416">
        <v>35.299999999999997</v>
      </c>
      <c r="T682" s="414" t="s">
        <v>1166</v>
      </c>
      <c r="U682" s="414" t="s">
        <v>2080</v>
      </c>
      <c r="V682" s="414">
        <f>V712</f>
        <v>534</v>
      </c>
      <c r="W682" s="413"/>
      <c r="X682" s="414">
        <f t="shared" si="95"/>
        <v>18850.2</v>
      </c>
      <c r="AE682" s="414">
        <f>48.824*100</f>
        <v>4882.3999999999996</v>
      </c>
      <c r="AG682" s="412" t="s">
        <v>1841</v>
      </c>
    </row>
    <row r="683" spans="1:33" ht="24" customHeight="1">
      <c r="A683" s="424">
        <f t="shared" si="85"/>
        <v>481</v>
      </c>
      <c r="B683" s="412" t="s">
        <v>1109</v>
      </c>
      <c r="C683" s="414">
        <v>49.87</v>
      </c>
      <c r="D683" s="412" t="s">
        <v>701</v>
      </c>
      <c r="K683" s="418" t="s">
        <v>1288</v>
      </c>
      <c r="R683" s="418" t="s">
        <v>1288</v>
      </c>
      <c r="U683" s="417" t="s">
        <v>2415</v>
      </c>
      <c r="W683" s="413"/>
      <c r="X683" s="417" t="e">
        <f>SUM(X675:X682)</f>
        <v>#REF!</v>
      </c>
      <c r="AA683" s="416">
        <f>22.77+26.054</f>
        <v>48.823999999999998</v>
      </c>
      <c r="AE683" s="414">
        <f>0.52*100</f>
        <v>52</v>
      </c>
      <c r="AG683" s="412" t="s">
        <v>1841</v>
      </c>
    </row>
    <row r="684" spans="1:33" ht="24" customHeight="1">
      <c r="A684" s="424">
        <f t="shared" si="85"/>
        <v>482</v>
      </c>
      <c r="B684" s="412" t="s">
        <v>1472</v>
      </c>
      <c r="C684" s="414">
        <v>80</v>
      </c>
      <c r="D684" s="412" t="s">
        <v>701</v>
      </c>
      <c r="H684" s="412" t="s">
        <v>447</v>
      </c>
      <c r="K684" s="414">
        <f>SUM(K678:K682)</f>
        <v>480</v>
      </c>
      <c r="U684" s="417" t="s">
        <v>2416</v>
      </c>
      <c r="W684" s="413"/>
      <c r="X684" s="417" t="e">
        <f>X683/10</f>
        <v>#REF!</v>
      </c>
      <c r="Y684" s="414" t="e">
        <f>X684</f>
        <v>#REF!</v>
      </c>
      <c r="AC684" s="414">
        <f>26.19*0.02</f>
        <v>0.52</v>
      </c>
      <c r="AE684" s="414">
        <f>0.397*100</f>
        <v>39.700000000000003</v>
      </c>
      <c r="AF684" s="414">
        <f>AE681+AE682+AE683+AE684</f>
        <v>8206.1</v>
      </c>
      <c r="AG684" s="412" t="s">
        <v>1841</v>
      </c>
    </row>
    <row r="685" spans="1:33" ht="24" customHeight="1">
      <c r="A685" s="424">
        <f t="shared" si="85"/>
        <v>483</v>
      </c>
      <c r="B685" s="412" t="s">
        <v>1474</v>
      </c>
      <c r="C685" s="414">
        <v>52</v>
      </c>
      <c r="D685" s="412" t="s">
        <v>701</v>
      </c>
      <c r="H685" s="412" t="s">
        <v>1284</v>
      </c>
      <c r="K685" s="418" t="s">
        <v>1676</v>
      </c>
      <c r="N685" s="412" t="s">
        <v>1833</v>
      </c>
      <c r="O685" s="412" t="s">
        <v>724</v>
      </c>
      <c r="S685" s="416">
        <v>1</v>
      </c>
      <c r="T685" s="414" t="s">
        <v>1089</v>
      </c>
      <c r="U685" s="414" t="s">
        <v>2440</v>
      </c>
      <c r="V685" s="414">
        <f t="shared" si="94"/>
        <v>94.2</v>
      </c>
      <c r="W685" s="413"/>
      <c r="X685" s="414">
        <f>V685</f>
        <v>94.2</v>
      </c>
      <c r="AC685" s="416">
        <f>9.92*0.04</f>
        <v>0.39700000000000002</v>
      </c>
      <c r="AE685" s="414" t="str">
        <f t="shared" ref="AE685:AE748" si="96">AG685</f>
        <v>|</v>
      </c>
      <c r="AG685" s="412" t="s">
        <v>1841</v>
      </c>
    </row>
    <row r="686" spans="1:33" ht="24" customHeight="1">
      <c r="A686" s="424">
        <f t="shared" si="85"/>
        <v>484</v>
      </c>
      <c r="B686" s="412" t="s">
        <v>963</v>
      </c>
      <c r="C686" s="414">
        <v>39</v>
      </c>
      <c r="D686" s="412" t="s">
        <v>701</v>
      </c>
      <c r="H686" s="412" t="s">
        <v>307</v>
      </c>
      <c r="I686" s="414">
        <f>K684</f>
        <v>480</v>
      </c>
      <c r="J686" s="412">
        <f>C19*0.05</f>
        <v>3.95</v>
      </c>
      <c r="K686" s="417">
        <f>I686+J686</f>
        <v>483.95</v>
      </c>
      <c r="O686" s="412" t="s">
        <v>1304</v>
      </c>
      <c r="U686" s="414" t="s">
        <v>2417</v>
      </c>
      <c r="W686" s="413"/>
      <c r="X686" s="417" t="e">
        <f>SUM(X684:X685)</f>
        <v>#REF!</v>
      </c>
      <c r="Y686" s="414" t="e">
        <f>SUM(Y684:Y685)</f>
        <v>#REF!</v>
      </c>
      <c r="AE686" s="414" t="str">
        <f t="shared" si="96"/>
        <v>|</v>
      </c>
      <c r="AF686" s="414">
        <f>SUM(AF684:AF685)</f>
        <v>8206.1</v>
      </c>
      <c r="AG686" s="412" t="s">
        <v>1841</v>
      </c>
    </row>
    <row r="687" spans="1:33" ht="24" customHeight="1">
      <c r="A687" s="424">
        <f t="shared" si="85"/>
        <v>485</v>
      </c>
      <c r="B687" s="412" t="s">
        <v>1019</v>
      </c>
      <c r="C687" s="414">
        <v>90</v>
      </c>
      <c r="D687" s="412" t="s">
        <v>701</v>
      </c>
      <c r="H687" s="412" t="s">
        <v>309</v>
      </c>
      <c r="I687" s="414">
        <f>K686</f>
        <v>483.95</v>
      </c>
      <c r="J687" s="412">
        <f>C20*0.05</f>
        <v>7.96</v>
      </c>
      <c r="K687" s="417">
        <f>I687+J687</f>
        <v>491.91</v>
      </c>
      <c r="O687" s="418" t="s">
        <v>1288</v>
      </c>
      <c r="S687" s="444" t="s">
        <v>528</v>
      </c>
      <c r="U687" s="414" t="s">
        <v>2418</v>
      </c>
      <c r="V687" s="444" t="s">
        <v>528</v>
      </c>
      <c r="W687" s="413"/>
      <c r="X687" s="414" t="e">
        <f>X686*0.5%</f>
        <v>#REF!</v>
      </c>
      <c r="Y687" s="414" t="e">
        <f>Y686*0.5/100</f>
        <v>#REF!</v>
      </c>
      <c r="AE687" s="414" t="str">
        <f t="shared" si="96"/>
        <v>|</v>
      </c>
      <c r="AF687" s="414">
        <f>AF686/185.82</f>
        <v>44.16</v>
      </c>
      <c r="AG687" s="412" t="s">
        <v>1841</v>
      </c>
    </row>
    <row r="688" spans="1:33" ht="24" customHeight="1">
      <c r="A688" s="424">
        <f t="shared" si="85"/>
        <v>486</v>
      </c>
      <c r="B688" s="412" t="s">
        <v>1020</v>
      </c>
      <c r="C688" s="414">
        <v>60</v>
      </c>
      <c r="D688" s="412" t="s">
        <v>701</v>
      </c>
      <c r="H688" s="412" t="s">
        <v>1818</v>
      </c>
      <c r="I688" s="414">
        <f>K687</f>
        <v>491.91</v>
      </c>
      <c r="J688" s="412">
        <f>J687</f>
        <v>7.96</v>
      </c>
      <c r="K688" s="417">
        <f>I688+J688</f>
        <v>499.87</v>
      </c>
      <c r="M688" s="414">
        <v>1</v>
      </c>
      <c r="N688" s="412" t="s">
        <v>701</v>
      </c>
      <c r="O688" s="412" t="s">
        <v>875</v>
      </c>
      <c r="P688" s="414">
        <f>(C384)</f>
        <v>17.579999999999998</v>
      </c>
      <c r="Q688" s="412" t="s">
        <v>701</v>
      </c>
      <c r="R688" s="414">
        <f>(M688*P688)</f>
        <v>17.579999999999998</v>
      </c>
      <c r="U688" s="417" t="s">
        <v>2170</v>
      </c>
      <c r="W688" s="413"/>
      <c r="X688" s="417" t="e">
        <f>SUM(X686:X687)</f>
        <v>#REF!</v>
      </c>
      <c r="Y688" s="417" t="e">
        <f>SUM(Y686:Y687)</f>
        <v>#REF!</v>
      </c>
      <c r="Z688" s="445" t="s">
        <v>2426</v>
      </c>
      <c r="AE688" s="414" t="str">
        <f t="shared" si="96"/>
        <v>|</v>
      </c>
      <c r="AF688" s="414">
        <f>AF686/1000</f>
        <v>8.2100000000000009</v>
      </c>
      <c r="AG688" s="412" t="s">
        <v>1841</v>
      </c>
    </row>
    <row r="689" spans="1:33" ht="24" customHeight="1">
      <c r="A689" s="424">
        <f t="shared" si="85"/>
        <v>487</v>
      </c>
      <c r="B689" s="412" t="s">
        <v>876</v>
      </c>
      <c r="C689" s="414">
        <v>43.5</v>
      </c>
      <c r="D689" s="412" t="s">
        <v>701</v>
      </c>
      <c r="H689" s="412" t="s">
        <v>301</v>
      </c>
      <c r="I689" s="414">
        <f>K688</f>
        <v>499.87</v>
      </c>
      <c r="J689" s="412">
        <f>J688</f>
        <v>7.96</v>
      </c>
      <c r="K689" s="417">
        <f>I689+J689</f>
        <v>507.83</v>
      </c>
      <c r="N689" s="412" t="s">
        <v>358</v>
      </c>
      <c r="O689" s="412" t="s">
        <v>109</v>
      </c>
      <c r="Q689" s="412" t="s">
        <v>358</v>
      </c>
      <c r="R689" s="414">
        <v>2.09</v>
      </c>
      <c r="W689" s="413"/>
      <c r="X689" s="418" t="s">
        <v>1288</v>
      </c>
      <c r="AE689" s="414" t="str">
        <f t="shared" si="96"/>
        <v>|</v>
      </c>
      <c r="AF689" s="414">
        <f>185.82*10.764</f>
        <v>2000.17</v>
      </c>
      <c r="AG689" s="412" t="s">
        <v>1841</v>
      </c>
    </row>
    <row r="690" spans="1:33" ht="24" customHeight="1">
      <c r="A690" s="424">
        <f t="shared" si="85"/>
        <v>488</v>
      </c>
      <c r="B690" s="412" t="s">
        <v>191</v>
      </c>
      <c r="C690" s="414">
        <v>75</v>
      </c>
      <c r="D690" s="412" t="s">
        <v>701</v>
      </c>
      <c r="H690" s="412" t="s">
        <v>1110</v>
      </c>
      <c r="I690" s="414">
        <f>K689</f>
        <v>507.83</v>
      </c>
      <c r="J690" s="412">
        <f>J689</f>
        <v>7.96</v>
      </c>
      <c r="K690" s="417">
        <f>I690+J690</f>
        <v>515.79</v>
      </c>
      <c r="O690" s="412" t="s">
        <v>111</v>
      </c>
      <c r="R690" s="412" t="s">
        <v>790</v>
      </c>
      <c r="U690" s="412" t="s">
        <v>307</v>
      </c>
      <c r="W690" s="413"/>
      <c r="X690" s="417" t="e">
        <f>(X688+C22)</f>
        <v>#REF!</v>
      </c>
      <c r="AE690" s="414" t="str">
        <f t="shared" si="96"/>
        <v>|</v>
      </c>
      <c r="AF690" s="414">
        <f>AF686/AF689</f>
        <v>4.0999999999999996</v>
      </c>
      <c r="AG690" s="412" t="s">
        <v>1841</v>
      </c>
    </row>
    <row r="691" spans="1:33" ht="24" customHeight="1">
      <c r="A691" s="424">
        <f t="shared" si="85"/>
        <v>489</v>
      </c>
      <c r="B691" s="412" t="s">
        <v>1651</v>
      </c>
      <c r="C691" s="414">
        <v>52</v>
      </c>
      <c r="D691" s="412" t="s">
        <v>701</v>
      </c>
      <c r="F691" s="413" t="s">
        <v>1473</v>
      </c>
      <c r="H691" s="412" t="s">
        <v>612</v>
      </c>
      <c r="R691" s="418" t="s">
        <v>1288</v>
      </c>
      <c r="U691" s="412" t="s">
        <v>309</v>
      </c>
      <c r="W691" s="413"/>
      <c r="X691" s="417" t="e">
        <f>(X690+C24)</f>
        <v>#REF!</v>
      </c>
      <c r="AE691" s="414" t="str">
        <f t="shared" si="96"/>
        <v>|</v>
      </c>
      <c r="AF691" s="414">
        <f>924.2/8.21</f>
        <v>112.57</v>
      </c>
      <c r="AG691" s="412" t="s">
        <v>1841</v>
      </c>
    </row>
    <row r="692" spans="1:33" ht="24" customHeight="1">
      <c r="A692" s="424">
        <f t="shared" si="85"/>
        <v>490</v>
      </c>
      <c r="B692" s="412" t="s">
        <v>963</v>
      </c>
      <c r="C692" s="414">
        <v>35.25</v>
      </c>
      <c r="D692" s="412" t="s">
        <v>701</v>
      </c>
      <c r="H692" s="412" t="s">
        <v>1475</v>
      </c>
      <c r="O692" s="412" t="s">
        <v>1269</v>
      </c>
      <c r="R692" s="414">
        <f>SUM(R688:R690)</f>
        <v>19.670000000000002</v>
      </c>
      <c r="U692" s="412" t="s">
        <v>1818</v>
      </c>
      <c r="W692" s="413"/>
      <c r="X692" s="417" t="e">
        <f>(X691+C24)</f>
        <v>#REF!</v>
      </c>
      <c r="AE692" s="414" t="str">
        <f t="shared" si="96"/>
        <v>|</v>
      </c>
      <c r="AG692" s="412" t="s">
        <v>1841</v>
      </c>
    </row>
    <row r="693" spans="1:33" ht="24" customHeight="1">
      <c r="A693" s="424">
        <f t="shared" si="85"/>
        <v>491</v>
      </c>
      <c r="B693" s="412" t="s">
        <v>747</v>
      </c>
      <c r="C693" s="414">
        <v>37.5</v>
      </c>
      <c r="D693" s="412" t="s">
        <v>701</v>
      </c>
      <c r="H693" s="412" t="s">
        <v>259</v>
      </c>
      <c r="R693" s="418" t="s">
        <v>1288</v>
      </c>
      <c r="U693" s="412" t="s">
        <v>301</v>
      </c>
      <c r="W693" s="413"/>
      <c r="X693" s="417" t="e">
        <f>(X692+C24)</f>
        <v>#REF!</v>
      </c>
      <c r="AE693" s="414" t="str">
        <f t="shared" si="96"/>
        <v>|</v>
      </c>
      <c r="AG693" s="412" t="s">
        <v>1841</v>
      </c>
    </row>
    <row r="694" spans="1:33" ht="24" customHeight="1">
      <c r="A694" s="424">
        <f t="shared" si="85"/>
        <v>492</v>
      </c>
      <c r="B694" s="412" t="s">
        <v>748</v>
      </c>
      <c r="C694" s="414">
        <v>24</v>
      </c>
      <c r="D694" s="412" t="s">
        <v>701</v>
      </c>
      <c r="H694" s="412" t="s">
        <v>1223</v>
      </c>
      <c r="O694" s="414" t="s">
        <v>193</v>
      </c>
      <c r="U694" s="412" t="s">
        <v>1244</v>
      </c>
      <c r="W694" s="413"/>
      <c r="X694" s="417" t="e">
        <f>(X693+C24)</f>
        <v>#REF!</v>
      </c>
      <c r="AE694" s="414" t="str">
        <f t="shared" si="96"/>
        <v>|</v>
      </c>
      <c r="AG694" s="412" t="s">
        <v>1841</v>
      </c>
    </row>
    <row r="695" spans="1:33" ht="24" customHeight="1">
      <c r="A695" s="424">
        <f t="shared" si="85"/>
        <v>493</v>
      </c>
      <c r="B695" s="412" t="s">
        <v>749</v>
      </c>
      <c r="C695" s="414">
        <v>16</v>
      </c>
      <c r="D695" s="412" t="s">
        <v>701</v>
      </c>
      <c r="H695" s="412" t="s">
        <v>138</v>
      </c>
      <c r="N695" s="412" t="s">
        <v>1833</v>
      </c>
      <c r="O695" s="412" t="s">
        <v>384</v>
      </c>
      <c r="W695" s="413"/>
      <c r="X695" s="414" t="e">
        <f>X694+C24</f>
        <v>#REF!</v>
      </c>
      <c r="AE695" s="414" t="str">
        <f t="shared" si="96"/>
        <v>|</v>
      </c>
      <c r="AG695" s="412" t="s">
        <v>1841</v>
      </c>
    </row>
    <row r="696" spans="1:33" ht="24" customHeight="1">
      <c r="A696" s="424">
        <f t="shared" si="85"/>
        <v>494</v>
      </c>
      <c r="B696" s="412" t="s">
        <v>2983</v>
      </c>
      <c r="C696" s="414">
        <v>32.1</v>
      </c>
      <c r="D696" s="412" t="s">
        <v>701</v>
      </c>
      <c r="H696" s="412" t="s">
        <v>139</v>
      </c>
      <c r="O696" s="412" t="s">
        <v>1304</v>
      </c>
      <c r="W696" s="413"/>
      <c r="X696" s="414" t="e">
        <f>X695+C24</f>
        <v>#REF!</v>
      </c>
      <c r="AE696" s="414" t="str">
        <f t="shared" si="96"/>
        <v>|</v>
      </c>
      <c r="AG696" s="412" t="s">
        <v>1841</v>
      </c>
    </row>
    <row r="697" spans="1:33" ht="24" customHeight="1">
      <c r="A697" s="424">
        <f t="shared" si="85"/>
        <v>495</v>
      </c>
      <c r="B697" s="412" t="s">
        <v>2343</v>
      </c>
      <c r="C697" s="414">
        <v>6</v>
      </c>
      <c r="D697" s="412" t="s">
        <v>701</v>
      </c>
      <c r="H697" s="412" t="s">
        <v>1682</v>
      </c>
      <c r="O697" s="418" t="s">
        <v>1288</v>
      </c>
      <c r="W697" s="413"/>
      <c r="X697" s="414" t="e">
        <f>X696+C24</f>
        <v>#REF!</v>
      </c>
      <c r="AE697" s="414" t="str">
        <f t="shared" si="96"/>
        <v>|</v>
      </c>
      <c r="AG697" s="412" t="s">
        <v>1841</v>
      </c>
    </row>
    <row r="698" spans="1:33" ht="24" customHeight="1">
      <c r="A698" s="424">
        <f t="shared" si="85"/>
        <v>496</v>
      </c>
      <c r="B698" s="412" t="s">
        <v>100</v>
      </c>
      <c r="C698" s="414">
        <v>152.5</v>
      </c>
      <c r="D698" s="412" t="s">
        <v>1443</v>
      </c>
      <c r="E698" s="414">
        <v>98.6</v>
      </c>
      <c r="F698" s="414" t="s">
        <v>2844</v>
      </c>
      <c r="H698" s="418" t="s">
        <v>1288</v>
      </c>
      <c r="I698" s="418" t="s">
        <v>1288</v>
      </c>
      <c r="M698" s="414">
        <v>1</v>
      </c>
      <c r="N698" s="412" t="s">
        <v>701</v>
      </c>
      <c r="O698" s="412" t="s">
        <v>385</v>
      </c>
      <c r="P698" s="414">
        <f>(C385)</f>
        <v>19.3</v>
      </c>
      <c r="Q698" s="412" t="s">
        <v>701</v>
      </c>
      <c r="R698" s="414">
        <f>(M698*P698)</f>
        <v>19.3</v>
      </c>
      <c r="W698" s="413"/>
      <c r="X698" s="414" t="e">
        <f>X697+C24</f>
        <v>#REF!</v>
      </c>
      <c r="AE698" s="414" t="str">
        <f t="shared" si="96"/>
        <v>|</v>
      </c>
      <c r="AG698" s="412" t="s">
        <v>1841</v>
      </c>
    </row>
    <row r="699" spans="1:33" ht="24" customHeight="1">
      <c r="A699" s="424">
        <f t="shared" si="85"/>
        <v>497</v>
      </c>
      <c r="B699" s="412" t="s">
        <v>2984</v>
      </c>
      <c r="C699" s="414">
        <v>366</v>
      </c>
      <c r="D699" s="412" t="s">
        <v>701</v>
      </c>
      <c r="F699" s="414">
        <v>1</v>
      </c>
      <c r="G699" s="414" t="s">
        <v>488</v>
      </c>
      <c r="H699" s="412" t="s">
        <v>746</v>
      </c>
      <c r="I699" s="414">
        <f>C76</f>
        <v>460</v>
      </c>
      <c r="J699" s="412" t="s">
        <v>488</v>
      </c>
      <c r="K699" s="414">
        <f>(F699*I699)</f>
        <v>460</v>
      </c>
      <c r="N699" s="412" t="s">
        <v>358</v>
      </c>
      <c r="O699" s="412" t="s">
        <v>109</v>
      </c>
      <c r="Q699" s="412" t="s">
        <v>358</v>
      </c>
      <c r="R699" s="414">
        <v>2.09</v>
      </c>
      <c r="W699" s="413"/>
      <c r="X699" s="414" t="e">
        <f>X698+C24</f>
        <v>#REF!</v>
      </c>
      <c r="AE699" s="414" t="str">
        <f t="shared" si="96"/>
        <v>|</v>
      </c>
      <c r="AG699" s="412" t="s">
        <v>1841</v>
      </c>
    </row>
    <row r="700" spans="1:33" ht="24" customHeight="1">
      <c r="A700" s="424">
        <f t="shared" si="85"/>
        <v>498</v>
      </c>
      <c r="B700" s="412" t="s">
        <v>443</v>
      </c>
      <c r="C700" s="414">
        <v>256</v>
      </c>
      <c r="D700" s="412" t="s">
        <v>701</v>
      </c>
      <c r="F700" s="414">
        <v>1</v>
      </c>
      <c r="G700" s="414" t="s">
        <v>488</v>
      </c>
      <c r="H700" s="412" t="s">
        <v>1168</v>
      </c>
      <c r="I700" s="414">
        <f>C75</f>
        <v>175</v>
      </c>
      <c r="J700" s="412" t="s">
        <v>488</v>
      </c>
      <c r="K700" s="414">
        <f>(F700*I700)</f>
        <v>175</v>
      </c>
      <c r="O700" s="412" t="s">
        <v>111</v>
      </c>
      <c r="R700" s="412" t="s">
        <v>790</v>
      </c>
      <c r="W700" s="413"/>
      <c r="X700" s="414" t="e">
        <f>X699+C24</f>
        <v>#REF!</v>
      </c>
      <c r="AE700" s="414" t="str">
        <f t="shared" si="96"/>
        <v>|</v>
      </c>
      <c r="AG700" s="412" t="s">
        <v>1841</v>
      </c>
    </row>
    <row r="701" spans="1:33" ht="24" customHeight="1">
      <c r="A701" s="424">
        <f t="shared" si="85"/>
        <v>499</v>
      </c>
      <c r="B701" s="412" t="s">
        <v>444</v>
      </c>
      <c r="C701" s="414">
        <v>768.6</v>
      </c>
      <c r="D701" s="412" t="s">
        <v>701</v>
      </c>
      <c r="F701" s="414">
        <v>1</v>
      </c>
      <c r="G701" s="414" t="s">
        <v>358</v>
      </c>
      <c r="H701" s="412" t="s">
        <v>1301</v>
      </c>
      <c r="I701" s="414">
        <v>15</v>
      </c>
      <c r="J701" s="412" t="s">
        <v>358</v>
      </c>
      <c r="K701" s="414">
        <f>(F701*I701)</f>
        <v>15</v>
      </c>
      <c r="R701" s="418" t="s">
        <v>1288</v>
      </c>
      <c r="W701" s="413"/>
      <c r="X701" s="414" t="e">
        <f>X700+C24</f>
        <v>#REF!</v>
      </c>
      <c r="AE701" s="414" t="str">
        <f t="shared" si="96"/>
        <v>|</v>
      </c>
      <c r="AG701" s="412" t="s">
        <v>1841</v>
      </c>
    </row>
    <row r="702" spans="1:33" ht="24" customHeight="1">
      <c r="A702" s="424">
        <f t="shared" si="85"/>
        <v>500</v>
      </c>
      <c r="B702" s="412" t="s">
        <v>445</v>
      </c>
      <c r="C702" s="414">
        <v>129</v>
      </c>
      <c r="D702" s="412" t="s">
        <v>701</v>
      </c>
      <c r="H702" s="412" t="s">
        <v>359</v>
      </c>
      <c r="J702" s="412" t="s">
        <v>358</v>
      </c>
      <c r="K702" s="414">
        <v>0</v>
      </c>
      <c r="O702" s="412" t="s">
        <v>1269</v>
      </c>
      <c r="R702" s="414">
        <f>SUM(R698:R700)</f>
        <v>21.39</v>
      </c>
      <c r="W702" s="413"/>
      <c r="X702" s="414" t="e">
        <f>X701+C24</f>
        <v>#REF!</v>
      </c>
      <c r="AE702" s="414" t="str">
        <f t="shared" si="96"/>
        <v>|</v>
      </c>
      <c r="AG702" s="412" t="s">
        <v>1841</v>
      </c>
    </row>
    <row r="703" spans="1:33" ht="24" customHeight="1">
      <c r="A703" s="424">
        <f>(A702+1)</f>
        <v>501</v>
      </c>
      <c r="B703" s="412" t="s">
        <v>150</v>
      </c>
      <c r="C703" s="414">
        <v>515.54999999999995</v>
      </c>
      <c r="D703" s="412" t="s">
        <v>701</v>
      </c>
      <c r="K703" s="418" t="s">
        <v>1288</v>
      </c>
      <c r="R703" s="418" t="s">
        <v>1288</v>
      </c>
      <c r="W703" s="413"/>
      <c r="AE703" s="414" t="str">
        <f t="shared" si="96"/>
        <v>|</v>
      </c>
      <c r="AG703" s="412" t="s">
        <v>1841</v>
      </c>
    </row>
    <row r="704" spans="1:33" ht="24" customHeight="1">
      <c r="B704" s="414" t="s">
        <v>2985</v>
      </c>
      <c r="C704" s="414">
        <v>3325</v>
      </c>
      <c r="D704" s="414" t="s">
        <v>488</v>
      </c>
      <c r="H704" s="412" t="s">
        <v>447</v>
      </c>
      <c r="K704" s="414">
        <f>SUM(K699:K702)</f>
        <v>650</v>
      </c>
      <c r="U704" s="417" t="s">
        <v>2407</v>
      </c>
      <c r="W704" s="413"/>
      <c r="AE704" s="414" t="str">
        <f t="shared" si="96"/>
        <v>|</v>
      </c>
      <c r="AG704" s="412" t="s">
        <v>1841</v>
      </c>
    </row>
    <row r="705" spans="1:33" ht="24" customHeight="1">
      <c r="A705" s="424">
        <f>(A703+1)</f>
        <v>502</v>
      </c>
      <c r="B705" s="412" t="s">
        <v>151</v>
      </c>
      <c r="C705" s="414">
        <v>254</v>
      </c>
      <c r="D705" s="412" t="s">
        <v>701</v>
      </c>
      <c r="H705" s="412" t="s">
        <v>1284</v>
      </c>
      <c r="K705" s="418" t="s">
        <v>1676</v>
      </c>
      <c r="S705" s="416">
        <v>5</v>
      </c>
      <c r="T705" s="414" t="s">
        <v>1089</v>
      </c>
      <c r="U705" s="414" t="s">
        <v>4315</v>
      </c>
      <c r="V705" s="414" t="e">
        <f>AC14</f>
        <v>#REF!</v>
      </c>
      <c r="W705" s="413"/>
      <c r="X705" s="414" t="e">
        <f>V705*S705</f>
        <v>#REF!</v>
      </c>
      <c r="Z705" s="414" t="e">
        <f>X705</f>
        <v>#REF!</v>
      </c>
      <c r="AE705" s="414" t="str">
        <f t="shared" si="96"/>
        <v>|</v>
      </c>
      <c r="AG705" s="412" t="s">
        <v>1841</v>
      </c>
    </row>
    <row r="706" spans="1:33" ht="24" customHeight="1">
      <c r="A706" s="424">
        <f t="shared" ref="A706:A763" si="97">(A705+1)</f>
        <v>503</v>
      </c>
      <c r="B706" s="412" t="s">
        <v>152</v>
      </c>
      <c r="C706" s="414">
        <v>315</v>
      </c>
      <c r="D706" s="412" t="s">
        <v>701</v>
      </c>
      <c r="H706" s="412" t="s">
        <v>307</v>
      </c>
      <c r="I706" s="414">
        <f>K704</f>
        <v>650</v>
      </c>
      <c r="J706" s="412">
        <f>C19*0.11</f>
        <v>8.68</v>
      </c>
      <c r="K706" s="417">
        <f>I706+J706</f>
        <v>658.68</v>
      </c>
      <c r="N706" s="412" t="s">
        <v>1833</v>
      </c>
      <c r="O706" s="412" t="s">
        <v>1180</v>
      </c>
      <c r="S706" s="416">
        <v>3.3</v>
      </c>
      <c r="T706" s="414" t="s">
        <v>1089</v>
      </c>
      <c r="U706" s="414" t="s">
        <v>4316</v>
      </c>
      <c r="V706" s="414" t="e">
        <f>(AC12+AC13)/2</f>
        <v>#REF!</v>
      </c>
      <c r="W706" s="413"/>
      <c r="X706" s="414" t="e">
        <f t="shared" ref="X706:X712" si="98">V706*S706</f>
        <v>#REF!</v>
      </c>
      <c r="Z706" s="414" t="e">
        <f t="shared" ref="Z706:Z714" si="99">X706</f>
        <v>#REF!</v>
      </c>
      <c r="AE706" s="414" t="str">
        <f t="shared" si="96"/>
        <v>|</v>
      </c>
      <c r="AG706" s="412" t="s">
        <v>1841</v>
      </c>
    </row>
    <row r="707" spans="1:33" ht="24" customHeight="1">
      <c r="A707" s="424">
        <f t="shared" si="97"/>
        <v>504</v>
      </c>
      <c r="B707" s="412" t="s">
        <v>1181</v>
      </c>
      <c r="C707" s="414">
        <v>306</v>
      </c>
      <c r="D707" s="412" t="s">
        <v>701</v>
      </c>
      <c r="H707" s="412" t="s">
        <v>309</v>
      </c>
      <c r="I707" s="414">
        <f>K706</f>
        <v>658.68</v>
      </c>
      <c r="J707" s="412">
        <f>C20*0.11</f>
        <v>17.510000000000002</v>
      </c>
      <c r="K707" s="417">
        <f>I707+J707</f>
        <v>676.19</v>
      </c>
      <c r="O707" s="412" t="s">
        <v>1183</v>
      </c>
      <c r="S707" s="416">
        <v>4.79</v>
      </c>
      <c r="T707" s="414" t="s">
        <v>1089</v>
      </c>
      <c r="U707" s="414" t="s">
        <v>4317</v>
      </c>
      <c r="V707" s="414" t="e">
        <f>V644</f>
        <v>#REF!</v>
      </c>
      <c r="W707" s="413"/>
      <c r="X707" s="414" t="e">
        <f t="shared" si="98"/>
        <v>#REF!</v>
      </c>
      <c r="Z707" s="414" t="e">
        <f t="shared" si="99"/>
        <v>#REF!</v>
      </c>
      <c r="AE707" s="414" t="str">
        <f t="shared" si="96"/>
        <v>|</v>
      </c>
      <c r="AG707" s="412" t="s">
        <v>1841</v>
      </c>
    </row>
    <row r="708" spans="1:33" ht="24" customHeight="1">
      <c r="A708" s="424">
        <f t="shared" si="97"/>
        <v>505</v>
      </c>
      <c r="B708" s="412" t="s">
        <v>1184</v>
      </c>
      <c r="C708" s="414">
        <v>274</v>
      </c>
      <c r="D708" s="412" t="s">
        <v>701</v>
      </c>
      <c r="H708" s="412" t="s">
        <v>1818</v>
      </c>
      <c r="I708" s="414">
        <f>K707</f>
        <v>676.19</v>
      </c>
      <c r="J708" s="412">
        <f>J707</f>
        <v>17.510000000000002</v>
      </c>
      <c r="K708" s="417">
        <f>I708+J708</f>
        <v>693.7</v>
      </c>
      <c r="O708" s="418" t="s">
        <v>1288</v>
      </c>
      <c r="S708" s="416">
        <v>3.25</v>
      </c>
      <c r="T708" s="414" t="s">
        <v>427</v>
      </c>
      <c r="U708" s="414" t="s">
        <v>310</v>
      </c>
      <c r="V708" s="414" t="e">
        <f>V643</f>
        <v>#REF!</v>
      </c>
      <c r="W708" s="413"/>
      <c r="X708" s="414" t="e">
        <f t="shared" si="98"/>
        <v>#REF!</v>
      </c>
      <c r="Z708" s="414" t="e">
        <f t="shared" si="99"/>
        <v>#REF!</v>
      </c>
      <c r="AE708" s="414" t="str">
        <f t="shared" si="96"/>
        <v>|</v>
      </c>
      <c r="AG708" s="412" t="s">
        <v>1841</v>
      </c>
    </row>
    <row r="709" spans="1:33" ht="24" customHeight="1">
      <c r="A709" s="424">
        <f t="shared" si="97"/>
        <v>506</v>
      </c>
      <c r="B709" s="412" t="s">
        <v>986</v>
      </c>
      <c r="C709" s="414">
        <v>266</v>
      </c>
      <c r="D709" s="412" t="s">
        <v>701</v>
      </c>
      <c r="H709" s="412" t="s">
        <v>301</v>
      </c>
      <c r="I709" s="414">
        <f>K708</f>
        <v>693.7</v>
      </c>
      <c r="J709" s="412">
        <f>J708</f>
        <v>17.510000000000002</v>
      </c>
      <c r="K709" s="417">
        <f>I709+J709</f>
        <v>711.21</v>
      </c>
      <c r="M709" s="414">
        <v>1</v>
      </c>
      <c r="N709" s="412" t="s">
        <v>701</v>
      </c>
      <c r="O709" s="412" t="s">
        <v>987</v>
      </c>
      <c r="P709" s="414">
        <f>(C393/1*0.3)</f>
        <v>38.4</v>
      </c>
      <c r="Q709" s="412" t="s">
        <v>701</v>
      </c>
      <c r="R709" s="414">
        <f>(M709*P709)</f>
        <v>38.4</v>
      </c>
      <c r="S709" s="416">
        <f>3250*0.6%</f>
        <v>19.5</v>
      </c>
      <c r="T709" s="414" t="s">
        <v>1341</v>
      </c>
      <c r="U709" s="431" t="s">
        <v>2414</v>
      </c>
      <c r="V709" s="414">
        <f>V648</f>
        <v>43.2</v>
      </c>
      <c r="W709" s="413"/>
      <c r="X709" s="414">
        <f t="shared" si="98"/>
        <v>842.4</v>
      </c>
      <c r="Z709" s="414">
        <f t="shared" si="99"/>
        <v>842.4</v>
      </c>
      <c r="AE709" s="414" t="str">
        <f t="shared" si="96"/>
        <v>|</v>
      </c>
      <c r="AG709" s="412" t="s">
        <v>1841</v>
      </c>
    </row>
    <row r="710" spans="1:33" ht="24" customHeight="1">
      <c r="A710" s="424">
        <f t="shared" si="97"/>
        <v>507</v>
      </c>
      <c r="B710" s="412" t="s">
        <v>988</v>
      </c>
      <c r="C710" s="414">
        <v>107.64</v>
      </c>
      <c r="D710" s="412" t="s">
        <v>488</v>
      </c>
      <c r="H710" s="412" t="s">
        <v>1110</v>
      </c>
      <c r="I710" s="414">
        <f>K709</f>
        <v>711.21</v>
      </c>
      <c r="J710" s="412">
        <f>J709</f>
        <v>17.510000000000002</v>
      </c>
      <c r="K710" s="417">
        <f>I710+J710</f>
        <v>728.72</v>
      </c>
      <c r="N710" s="412" t="s">
        <v>358</v>
      </c>
      <c r="O710" s="412" t="s">
        <v>109</v>
      </c>
      <c r="Q710" s="412" t="s">
        <v>358</v>
      </c>
      <c r="R710" s="414">
        <v>1.65</v>
      </c>
      <c r="S710" s="416">
        <v>3.5</v>
      </c>
      <c r="T710" s="414" t="s">
        <v>1166</v>
      </c>
      <c r="U710" s="414" t="s">
        <v>374</v>
      </c>
      <c r="V710" s="414">
        <f>C11</f>
        <v>932</v>
      </c>
      <c r="W710" s="413">
        <f>J719</f>
        <v>0</v>
      </c>
      <c r="X710" s="414">
        <f t="shared" si="98"/>
        <v>3262</v>
      </c>
      <c r="Z710" s="414">
        <f t="shared" si="99"/>
        <v>3262</v>
      </c>
      <c r="AE710" s="414" t="str">
        <f t="shared" si="96"/>
        <v>|</v>
      </c>
      <c r="AG710" s="412" t="s">
        <v>1841</v>
      </c>
    </row>
    <row r="711" spans="1:33" ht="24" customHeight="1">
      <c r="A711" s="424">
        <f t="shared" si="97"/>
        <v>508</v>
      </c>
      <c r="B711" s="412" t="s">
        <v>990</v>
      </c>
      <c r="F711" s="412" t="s">
        <v>790</v>
      </c>
      <c r="O711" s="412" t="s">
        <v>111</v>
      </c>
      <c r="R711" s="412" t="s">
        <v>790</v>
      </c>
      <c r="S711" s="416">
        <v>21.2</v>
      </c>
      <c r="T711" s="414" t="s">
        <v>1166</v>
      </c>
      <c r="U711" s="414" t="s">
        <v>2079</v>
      </c>
      <c r="V711" s="414">
        <f>C12</f>
        <v>651</v>
      </c>
      <c r="W711" s="413"/>
      <c r="X711" s="414">
        <f t="shared" si="98"/>
        <v>13801.2</v>
      </c>
      <c r="Z711" s="414">
        <f t="shared" si="99"/>
        <v>13801.2</v>
      </c>
      <c r="AE711" s="414" t="str">
        <f t="shared" si="96"/>
        <v>|</v>
      </c>
      <c r="AG711" s="412" t="s">
        <v>1841</v>
      </c>
    </row>
    <row r="712" spans="1:33" ht="24" hidden="1" customHeight="1">
      <c r="A712" s="424">
        <f t="shared" si="97"/>
        <v>509</v>
      </c>
      <c r="B712" s="412" t="s">
        <v>1724</v>
      </c>
      <c r="C712" s="414">
        <v>11.55</v>
      </c>
      <c r="D712" s="412" t="s">
        <v>701</v>
      </c>
      <c r="R712" s="418" t="s">
        <v>1288</v>
      </c>
      <c r="S712" s="416">
        <v>35.299999999999997</v>
      </c>
      <c r="T712" s="414" t="s">
        <v>1166</v>
      </c>
      <c r="U712" s="414" t="s">
        <v>2080</v>
      </c>
      <c r="V712" s="414">
        <f>C13</f>
        <v>534</v>
      </c>
      <c r="W712" s="413"/>
      <c r="X712" s="414">
        <f t="shared" si="98"/>
        <v>18850.2</v>
      </c>
      <c r="Z712" s="414">
        <f t="shared" si="99"/>
        <v>18850.2</v>
      </c>
      <c r="AE712" s="414" t="str">
        <f t="shared" si="96"/>
        <v>|</v>
      </c>
      <c r="AG712" s="412" t="s">
        <v>1841</v>
      </c>
    </row>
    <row r="713" spans="1:33" ht="24" customHeight="1">
      <c r="A713" s="424">
        <f t="shared" si="97"/>
        <v>510</v>
      </c>
      <c r="B713" s="412" t="s">
        <v>905</v>
      </c>
      <c r="C713" s="414">
        <v>16.399999999999999</v>
      </c>
      <c r="D713" s="412" t="s">
        <v>701</v>
      </c>
      <c r="F713" s="413" t="s">
        <v>1102</v>
      </c>
      <c r="H713" s="412" t="s">
        <v>153</v>
      </c>
      <c r="O713" s="412" t="s">
        <v>1269</v>
      </c>
      <c r="R713" s="414">
        <f>SUM(R709:R711)</f>
        <v>40.049999999999997</v>
      </c>
      <c r="U713" s="414" t="s">
        <v>2415</v>
      </c>
      <c r="V713" s="414">
        <f>V683</f>
        <v>0</v>
      </c>
      <c r="W713" s="413"/>
      <c r="X713" s="417" t="e">
        <f>SUM(X705:X712)</f>
        <v>#REF!</v>
      </c>
      <c r="Z713" s="414" t="e">
        <f t="shared" si="99"/>
        <v>#REF!</v>
      </c>
      <c r="AE713" s="414" t="str">
        <f t="shared" si="96"/>
        <v>|</v>
      </c>
      <c r="AG713" s="412" t="s">
        <v>1841</v>
      </c>
    </row>
    <row r="714" spans="1:33" ht="27" customHeight="1">
      <c r="A714" s="424">
        <f t="shared" si="97"/>
        <v>511</v>
      </c>
      <c r="B714" s="412" t="s">
        <v>906</v>
      </c>
      <c r="C714" s="414">
        <v>27.85</v>
      </c>
      <c r="D714" s="412" t="s">
        <v>701</v>
      </c>
      <c r="H714" s="412" t="s">
        <v>1182</v>
      </c>
      <c r="R714" s="418" t="s">
        <v>1288</v>
      </c>
      <c r="U714" s="414" t="s">
        <v>2416</v>
      </c>
      <c r="V714" s="414">
        <f>V684</f>
        <v>0</v>
      </c>
      <c r="W714" s="413"/>
      <c r="X714" s="417" t="e">
        <f>X713/10</f>
        <v>#REF!</v>
      </c>
      <c r="Z714" s="414" t="e">
        <f t="shared" si="99"/>
        <v>#REF!</v>
      </c>
      <c r="AE714" s="414" t="str">
        <f t="shared" si="96"/>
        <v>|</v>
      </c>
      <c r="AG714" s="412" t="s">
        <v>1841</v>
      </c>
    </row>
    <row r="715" spans="1:33" ht="24" customHeight="1">
      <c r="A715" s="424">
        <f t="shared" si="97"/>
        <v>512</v>
      </c>
      <c r="B715" s="412" t="s">
        <v>907</v>
      </c>
      <c r="C715" s="414">
        <v>49.9</v>
      </c>
      <c r="D715" s="412" t="s">
        <v>701</v>
      </c>
      <c r="H715" s="412" t="s">
        <v>1185</v>
      </c>
      <c r="O715" s="413" t="s">
        <v>532</v>
      </c>
      <c r="R715" s="412" t="s">
        <v>790</v>
      </c>
      <c r="S715" s="416">
        <v>1</v>
      </c>
      <c r="T715" s="414" t="s">
        <v>1089</v>
      </c>
      <c r="U715" s="414" t="s">
        <v>2440</v>
      </c>
      <c r="V715" s="414">
        <f>C25</f>
        <v>94.2</v>
      </c>
      <c r="W715" s="413"/>
      <c r="X715" s="414">
        <f>V715*S715</f>
        <v>94.2</v>
      </c>
      <c r="AE715" s="414" t="str">
        <f t="shared" si="96"/>
        <v>|</v>
      </c>
      <c r="AG715" s="412" t="s">
        <v>1841</v>
      </c>
    </row>
    <row r="716" spans="1:33" ht="24" customHeight="1">
      <c r="A716" s="424">
        <f t="shared" si="97"/>
        <v>513</v>
      </c>
      <c r="B716" s="412" t="s">
        <v>909</v>
      </c>
      <c r="C716" s="414">
        <v>69.25</v>
      </c>
      <c r="D716" s="412" t="s">
        <v>701</v>
      </c>
      <c r="H716" s="418" t="s">
        <v>1288</v>
      </c>
      <c r="M716" s="440"/>
      <c r="O716" s="413" t="s">
        <v>1694</v>
      </c>
      <c r="U716" s="414" t="s">
        <v>2417</v>
      </c>
      <c r="V716" s="414">
        <f>V686</f>
        <v>0</v>
      </c>
      <c r="W716" s="413"/>
      <c r="X716" s="417" t="e">
        <f>SUM(X714:X715)</f>
        <v>#REF!</v>
      </c>
      <c r="Z716" s="414" t="e">
        <f>Z714</f>
        <v>#REF!</v>
      </c>
      <c r="AE716" s="414" t="str">
        <f t="shared" si="96"/>
        <v>|</v>
      </c>
      <c r="AG716" s="412" t="s">
        <v>1841</v>
      </c>
    </row>
    <row r="717" spans="1:33" ht="24" customHeight="1">
      <c r="A717" s="424">
        <f t="shared" si="97"/>
        <v>514</v>
      </c>
      <c r="B717" s="412" t="s">
        <v>1551</v>
      </c>
      <c r="D717" s="412" t="s">
        <v>790</v>
      </c>
      <c r="F717" s="414">
        <v>0.4</v>
      </c>
      <c r="G717" s="414" t="s">
        <v>702</v>
      </c>
      <c r="H717" s="412" t="s">
        <v>989</v>
      </c>
      <c r="I717" s="414">
        <f>(C268)</f>
        <v>17600</v>
      </c>
      <c r="J717" s="412" t="s">
        <v>702</v>
      </c>
      <c r="K717" s="414">
        <f>(F717*I717)</f>
        <v>7040</v>
      </c>
      <c r="M717" s="413" t="s">
        <v>1249</v>
      </c>
      <c r="N717" s="412" t="s">
        <v>1552</v>
      </c>
      <c r="O717" s="412" t="s">
        <v>255</v>
      </c>
      <c r="S717" s="444" t="s">
        <v>528</v>
      </c>
      <c r="U717" s="414" t="s">
        <v>2418</v>
      </c>
      <c r="V717" s="414" t="str">
        <f>V687</f>
        <v>LS</v>
      </c>
      <c r="W717" s="413"/>
      <c r="X717" s="414" t="e">
        <f>X716*0.5%</f>
        <v>#REF!</v>
      </c>
      <c r="Z717" s="414" t="e">
        <f>Z716*0.5/100</f>
        <v>#REF!</v>
      </c>
      <c r="AE717" s="414" t="str">
        <f t="shared" si="96"/>
        <v>|::</v>
      </c>
      <c r="AG717" s="412" t="s">
        <v>246</v>
      </c>
    </row>
    <row r="718" spans="1:33" ht="24" customHeight="1">
      <c r="A718" s="424">
        <f t="shared" si="97"/>
        <v>515</v>
      </c>
      <c r="B718" s="412" t="s">
        <v>187</v>
      </c>
      <c r="C718" s="414">
        <v>20</v>
      </c>
      <c r="D718" s="412" t="s">
        <v>701</v>
      </c>
      <c r="F718" s="414">
        <v>0.12</v>
      </c>
      <c r="G718" s="414" t="s">
        <v>702</v>
      </c>
      <c r="H718" s="412" t="s">
        <v>955</v>
      </c>
      <c r="I718" s="414">
        <f>(C269)</f>
        <v>15500</v>
      </c>
      <c r="J718" s="412" t="s">
        <v>702</v>
      </c>
      <c r="K718" s="414">
        <f>(F718*I718)</f>
        <v>1860</v>
      </c>
      <c r="O718" s="418" t="s">
        <v>1288</v>
      </c>
      <c r="U718" s="417" t="s">
        <v>2170</v>
      </c>
      <c r="W718" s="413"/>
      <c r="X718" s="417" t="e">
        <f>SUM(X716:X717)</f>
        <v>#REF!</v>
      </c>
      <c r="Z718" s="417" t="e">
        <f>SUM(Z716:Z717)</f>
        <v>#REF!</v>
      </c>
      <c r="AE718" s="414">
        <f t="shared" si="96"/>
        <v>0</v>
      </c>
    </row>
    <row r="719" spans="1:33" ht="24" customHeight="1">
      <c r="A719" s="424">
        <f t="shared" si="97"/>
        <v>516</v>
      </c>
      <c r="B719" s="412" t="s">
        <v>399</v>
      </c>
      <c r="C719" s="414">
        <v>45</v>
      </c>
      <c r="D719" s="412" t="s">
        <v>701</v>
      </c>
      <c r="H719" s="412" t="s">
        <v>1725</v>
      </c>
      <c r="I719" s="412" t="s">
        <v>790</v>
      </c>
      <c r="K719" s="412" t="s">
        <v>790</v>
      </c>
      <c r="M719" s="440">
        <v>2.69E-2</v>
      </c>
      <c r="N719" s="412" t="s">
        <v>702</v>
      </c>
      <c r="O719" s="412" t="s">
        <v>386</v>
      </c>
      <c r="P719" s="414" t="e">
        <f>C86</f>
        <v>#REF!</v>
      </c>
      <c r="Q719" s="412" t="s">
        <v>702</v>
      </c>
      <c r="R719" s="414" t="e">
        <f t="shared" ref="R719:R725" si="100">M719*P719</f>
        <v>#REF!</v>
      </c>
      <c r="W719" s="413"/>
      <c r="X719" s="418" t="s">
        <v>1288</v>
      </c>
      <c r="AE719" s="414">
        <f t="shared" si="96"/>
        <v>0</v>
      </c>
    </row>
    <row r="720" spans="1:33" ht="24" customHeight="1">
      <c r="A720" s="424">
        <f t="shared" si="97"/>
        <v>517</v>
      </c>
      <c r="B720" s="412" t="s">
        <v>1070</v>
      </c>
      <c r="D720" s="412" t="s">
        <v>193</v>
      </c>
      <c r="F720" s="414">
        <v>98.5</v>
      </c>
      <c r="G720" s="414" t="s">
        <v>1443</v>
      </c>
      <c r="H720" s="412" t="s">
        <v>1160</v>
      </c>
      <c r="I720" s="414">
        <f>(C270)</f>
        <v>25.2</v>
      </c>
      <c r="J720" s="412" t="s">
        <v>1443</v>
      </c>
      <c r="K720" s="414">
        <f>(F720*I720)</f>
        <v>2482.1999999999998</v>
      </c>
      <c r="M720" s="440">
        <v>1.2949999999999999</v>
      </c>
      <c r="N720" s="412" t="s">
        <v>488</v>
      </c>
      <c r="O720" s="412" t="s">
        <v>1056</v>
      </c>
      <c r="P720" s="414">
        <f>C783</f>
        <v>387.4</v>
      </c>
      <c r="Q720" s="412" t="s">
        <v>488</v>
      </c>
      <c r="R720" s="414">
        <f t="shared" si="100"/>
        <v>501.68</v>
      </c>
      <c r="U720" s="412" t="s">
        <v>307</v>
      </c>
      <c r="W720" s="413"/>
      <c r="X720" s="417" t="e">
        <f>(X718+C22)</f>
        <v>#REF!</v>
      </c>
      <c r="AE720" s="414">
        <f t="shared" si="96"/>
        <v>0</v>
      </c>
    </row>
    <row r="721" spans="1:33" ht="23.45" customHeight="1">
      <c r="A721" s="424">
        <f t="shared" si="97"/>
        <v>518</v>
      </c>
      <c r="B721" s="412" t="s">
        <v>187</v>
      </c>
      <c r="C721" s="414">
        <v>19.09</v>
      </c>
      <c r="D721" s="412" t="s">
        <v>701</v>
      </c>
      <c r="H721" s="412" t="s">
        <v>237</v>
      </c>
      <c r="I721" s="412" t="s">
        <v>790</v>
      </c>
      <c r="K721" s="412" t="s">
        <v>193</v>
      </c>
      <c r="M721" s="440">
        <v>1.8149999999999999</v>
      </c>
      <c r="N721" s="412" t="s">
        <v>488</v>
      </c>
      <c r="O721" s="412" t="s">
        <v>1701</v>
      </c>
      <c r="P721" s="414">
        <f>C31</f>
        <v>1537</v>
      </c>
      <c r="Q721" s="412" t="s">
        <v>488</v>
      </c>
      <c r="R721" s="414">
        <f t="shared" si="100"/>
        <v>2789.66</v>
      </c>
      <c r="U721" s="412" t="s">
        <v>309</v>
      </c>
      <c r="W721" s="413"/>
      <c r="X721" s="417" t="e">
        <f>(X720+C24)</f>
        <v>#REF!</v>
      </c>
      <c r="AE721" s="414" t="str">
        <f t="shared" si="96"/>
        <v>|</v>
      </c>
      <c r="AG721" s="412" t="s">
        <v>1841</v>
      </c>
    </row>
    <row r="722" spans="1:33" ht="24" customHeight="1">
      <c r="A722" s="424">
        <f t="shared" si="97"/>
        <v>519</v>
      </c>
      <c r="B722" s="412" t="s">
        <v>399</v>
      </c>
      <c r="C722" s="414">
        <v>50.66</v>
      </c>
      <c r="D722" s="412" t="s">
        <v>701</v>
      </c>
      <c r="K722" s="418" t="s">
        <v>1288</v>
      </c>
      <c r="M722" s="414">
        <v>2</v>
      </c>
      <c r="N722" s="412" t="s">
        <v>701</v>
      </c>
      <c r="O722" s="412" t="s">
        <v>1401</v>
      </c>
      <c r="P722" s="414">
        <f>C299</f>
        <v>10.5</v>
      </c>
      <c r="Q722" s="412" t="s">
        <v>701</v>
      </c>
      <c r="R722" s="414">
        <f t="shared" si="100"/>
        <v>21</v>
      </c>
      <c r="U722" s="412" t="s">
        <v>1818</v>
      </c>
      <c r="W722" s="413"/>
      <c r="X722" s="417" t="e">
        <f>(X721+C24)</f>
        <v>#REF!</v>
      </c>
      <c r="AE722" s="414" t="str">
        <f t="shared" si="96"/>
        <v>|</v>
      </c>
      <c r="AG722" s="412" t="s">
        <v>1841</v>
      </c>
    </row>
    <row r="723" spans="1:33" ht="24" customHeight="1">
      <c r="A723" s="424">
        <f t="shared" si="97"/>
        <v>520</v>
      </c>
      <c r="B723" s="412" t="s">
        <v>1318</v>
      </c>
      <c r="C723" s="414">
        <v>1183.82</v>
      </c>
      <c r="D723" s="412" t="s">
        <v>488</v>
      </c>
      <c r="H723" s="412" t="s">
        <v>533</v>
      </c>
      <c r="K723" s="414">
        <f>SUM(K717:K721)</f>
        <v>11382.2</v>
      </c>
      <c r="M723" s="414">
        <v>3</v>
      </c>
      <c r="N723" s="412" t="s">
        <v>701</v>
      </c>
      <c r="O723" s="412" t="s">
        <v>1319</v>
      </c>
      <c r="P723" s="414">
        <f>C295</f>
        <v>8.5</v>
      </c>
      <c r="Q723" s="412" t="s">
        <v>701</v>
      </c>
      <c r="R723" s="414">
        <f t="shared" si="100"/>
        <v>25.5</v>
      </c>
      <c r="U723" s="412" t="s">
        <v>301</v>
      </c>
      <c r="W723" s="413"/>
      <c r="X723" s="417" t="e">
        <f>(X722+C24)</f>
        <v>#REF!</v>
      </c>
      <c r="AE723" s="414" t="str">
        <f t="shared" si="96"/>
        <v>|</v>
      </c>
      <c r="AG723" s="412" t="s">
        <v>1841</v>
      </c>
    </row>
    <row r="724" spans="1:33" ht="24" customHeight="1">
      <c r="A724" s="424">
        <f t="shared" si="97"/>
        <v>521</v>
      </c>
      <c r="B724" s="412" t="s">
        <v>1320</v>
      </c>
      <c r="C724" s="414">
        <v>1605</v>
      </c>
      <c r="D724" s="412" t="s">
        <v>488</v>
      </c>
      <c r="H724" s="412" t="s">
        <v>790</v>
      </c>
      <c r="K724" s="418" t="s">
        <v>1288</v>
      </c>
      <c r="M724" s="414">
        <v>1</v>
      </c>
      <c r="N724" s="412" t="s">
        <v>701</v>
      </c>
      <c r="O724" s="412" t="s">
        <v>1388</v>
      </c>
      <c r="P724" s="414">
        <f>C301</f>
        <v>21</v>
      </c>
      <c r="Q724" s="412" t="s">
        <v>701</v>
      </c>
      <c r="R724" s="414">
        <f t="shared" si="100"/>
        <v>21</v>
      </c>
      <c r="U724" s="412" t="s">
        <v>1244</v>
      </c>
      <c r="W724" s="413"/>
      <c r="X724" s="417" t="e">
        <f>(X723+C24)</f>
        <v>#REF!</v>
      </c>
      <c r="AE724" s="414" t="str">
        <f t="shared" si="96"/>
        <v>|</v>
      </c>
      <c r="AG724" s="412" t="s">
        <v>1841</v>
      </c>
    </row>
    <row r="725" spans="1:33" ht="24" customHeight="1">
      <c r="A725" s="424">
        <f t="shared" si="97"/>
        <v>522</v>
      </c>
      <c r="B725" s="412" t="s">
        <v>3170</v>
      </c>
      <c r="C725" s="423">
        <v>10.050000000000001</v>
      </c>
      <c r="D725" s="412" t="s">
        <v>37</v>
      </c>
      <c r="F725" s="414">
        <v>10</v>
      </c>
      <c r="G725" s="414" t="s">
        <v>488</v>
      </c>
      <c r="H725" s="412" t="s">
        <v>398</v>
      </c>
      <c r="I725" s="414">
        <f>(K723/50)</f>
        <v>227.64</v>
      </c>
      <c r="J725" s="412" t="s">
        <v>488</v>
      </c>
      <c r="K725" s="414">
        <f>(F725*I725)</f>
        <v>2276.4</v>
      </c>
      <c r="M725" s="414">
        <v>1</v>
      </c>
      <c r="N725" s="412" t="s">
        <v>701</v>
      </c>
      <c r="O725" s="412" t="s">
        <v>1612</v>
      </c>
      <c r="P725" s="414">
        <f>C303</f>
        <v>4</v>
      </c>
      <c r="Q725" s="412" t="s">
        <v>701</v>
      </c>
      <c r="R725" s="414">
        <f t="shared" si="100"/>
        <v>4</v>
      </c>
      <c r="W725" s="413"/>
      <c r="AE725" s="414" t="str">
        <f t="shared" si="96"/>
        <v>|</v>
      </c>
      <c r="AG725" s="412" t="s">
        <v>1841</v>
      </c>
    </row>
    <row r="726" spans="1:33" ht="24" customHeight="1">
      <c r="A726" s="424">
        <f t="shared" si="97"/>
        <v>523</v>
      </c>
      <c r="B726" s="412" t="s">
        <v>1396</v>
      </c>
      <c r="C726" s="414">
        <v>147.6</v>
      </c>
      <c r="D726" s="412" t="s">
        <v>1443</v>
      </c>
      <c r="F726" s="414">
        <v>3.8</v>
      </c>
      <c r="G726" s="414" t="s">
        <v>619</v>
      </c>
      <c r="H726" s="412" t="s">
        <v>400</v>
      </c>
      <c r="I726" s="414">
        <f>(C16)</f>
        <v>976</v>
      </c>
      <c r="J726" s="412" t="s">
        <v>619</v>
      </c>
      <c r="K726" s="414">
        <f>(F726*I726)</f>
        <v>3708.8</v>
      </c>
      <c r="N726" s="412" t="s">
        <v>358</v>
      </c>
      <c r="O726" s="412" t="s">
        <v>359</v>
      </c>
      <c r="Q726" s="412" t="s">
        <v>358</v>
      </c>
      <c r="R726" s="414">
        <v>0</v>
      </c>
      <c r="W726" s="413"/>
      <c r="AE726" s="414" t="str">
        <f t="shared" si="96"/>
        <v>|</v>
      </c>
      <c r="AG726" s="412" t="s">
        <v>1841</v>
      </c>
    </row>
    <row r="727" spans="1:33" ht="24" customHeight="1">
      <c r="A727" s="424">
        <f t="shared" si="97"/>
        <v>524</v>
      </c>
      <c r="B727" s="412" t="s">
        <v>1397</v>
      </c>
      <c r="C727" s="414">
        <v>147.6</v>
      </c>
      <c r="D727" s="412" t="s">
        <v>1443</v>
      </c>
      <c r="F727" s="414">
        <v>5.4</v>
      </c>
      <c r="G727" s="414" t="s">
        <v>619</v>
      </c>
      <c r="H727" s="412" t="s">
        <v>1550</v>
      </c>
      <c r="I727" s="414">
        <f>(C12)</f>
        <v>651</v>
      </c>
      <c r="J727" s="412" t="s">
        <v>619</v>
      </c>
      <c r="K727" s="414">
        <f>(F727*I727)</f>
        <v>3515.4</v>
      </c>
      <c r="R727" s="418" t="s">
        <v>1288</v>
      </c>
      <c r="W727" s="413"/>
      <c r="AE727" s="414" t="str">
        <f t="shared" si="96"/>
        <v>|</v>
      </c>
      <c r="AG727" s="412" t="s">
        <v>1841</v>
      </c>
    </row>
    <row r="728" spans="1:33" ht="24" customHeight="1">
      <c r="A728" s="424">
        <f t="shared" si="97"/>
        <v>525</v>
      </c>
      <c r="B728" s="412" t="s">
        <v>1398</v>
      </c>
      <c r="C728" s="414">
        <v>147.6</v>
      </c>
      <c r="D728" s="412" t="s">
        <v>1443</v>
      </c>
      <c r="G728" s="414" t="s">
        <v>358</v>
      </c>
      <c r="H728" s="412" t="s">
        <v>1057</v>
      </c>
      <c r="J728" s="412" t="s">
        <v>358</v>
      </c>
      <c r="K728" s="414">
        <v>5</v>
      </c>
      <c r="O728" s="413" t="s">
        <v>7</v>
      </c>
      <c r="R728" s="414" t="e">
        <f>SUM(R719:R726)</f>
        <v>#REF!</v>
      </c>
      <c r="T728" s="417">
        <v>4.2</v>
      </c>
      <c r="U728" s="417" t="s">
        <v>2870</v>
      </c>
      <c r="W728" s="413"/>
      <c r="AE728" s="414" t="str">
        <f t="shared" si="96"/>
        <v>|</v>
      </c>
      <c r="AG728" s="412" t="s">
        <v>1841</v>
      </c>
    </row>
    <row r="729" spans="1:33" ht="24" customHeight="1">
      <c r="A729" s="424">
        <f t="shared" si="97"/>
        <v>526</v>
      </c>
      <c r="B729" s="412" t="s">
        <v>519</v>
      </c>
      <c r="C729" s="414">
        <v>1250</v>
      </c>
      <c r="D729" s="412" t="s">
        <v>488</v>
      </c>
      <c r="K729" s="418" t="s">
        <v>1288</v>
      </c>
      <c r="R729" s="418" t="s">
        <v>1288</v>
      </c>
      <c r="S729" s="416">
        <v>5</v>
      </c>
      <c r="T729" s="414" t="s">
        <v>1089</v>
      </c>
      <c r="U729" s="414" t="s">
        <v>4315</v>
      </c>
      <c r="V729" s="414" t="e">
        <f>V675</f>
        <v>#REF!</v>
      </c>
      <c r="W729" s="413"/>
      <c r="X729" s="414" t="e">
        <f t="shared" ref="X729:X736" si="101">V729*S729</f>
        <v>#REF!</v>
      </c>
      <c r="AE729" s="414" t="str">
        <f t="shared" si="96"/>
        <v>|</v>
      </c>
      <c r="AG729" s="412" t="s">
        <v>1841</v>
      </c>
    </row>
    <row r="730" spans="1:33" ht="24" customHeight="1">
      <c r="A730" s="424">
        <f t="shared" si="97"/>
        <v>527</v>
      </c>
      <c r="B730" s="412" t="s">
        <v>521</v>
      </c>
      <c r="C730" s="414">
        <v>1250</v>
      </c>
      <c r="D730" s="412" t="s">
        <v>488</v>
      </c>
      <c r="H730" s="412" t="s">
        <v>351</v>
      </c>
      <c r="K730" s="414">
        <f>SUM(K725:K728)</f>
        <v>9505.6</v>
      </c>
      <c r="N730" s="412" t="s">
        <v>790</v>
      </c>
      <c r="O730" s="413" t="s">
        <v>447</v>
      </c>
      <c r="R730" s="414" t="e">
        <f>R728/M720</f>
        <v>#REF!</v>
      </c>
      <c r="S730" s="416">
        <v>3.3</v>
      </c>
      <c r="T730" s="414" t="s">
        <v>1089</v>
      </c>
      <c r="U730" s="414" t="s">
        <v>4316</v>
      </c>
      <c r="V730" s="414" t="e">
        <f t="shared" ref="V730:V739" si="102">V676</f>
        <v>#REF!</v>
      </c>
      <c r="W730" s="413"/>
      <c r="X730" s="414" t="e">
        <f t="shared" si="101"/>
        <v>#REF!</v>
      </c>
      <c r="AE730" s="414" t="str">
        <f t="shared" si="96"/>
        <v>|</v>
      </c>
      <c r="AG730" s="412" t="s">
        <v>1841</v>
      </c>
    </row>
    <row r="731" spans="1:33" ht="24" customHeight="1">
      <c r="A731" s="424">
        <f t="shared" si="97"/>
        <v>528</v>
      </c>
      <c r="B731" s="412" t="s">
        <v>1005</v>
      </c>
      <c r="C731" s="414">
        <v>1250</v>
      </c>
      <c r="D731" s="412" t="s">
        <v>488</v>
      </c>
      <c r="K731" s="418" t="s">
        <v>1288</v>
      </c>
      <c r="R731" s="418" t="s">
        <v>1676</v>
      </c>
      <c r="S731" s="416">
        <v>4.79</v>
      </c>
      <c r="T731" s="414" t="s">
        <v>1089</v>
      </c>
      <c r="U731" s="414" t="s">
        <v>4317</v>
      </c>
      <c r="V731" s="414" t="e">
        <f t="shared" si="102"/>
        <v>#REF!</v>
      </c>
      <c r="W731" s="413"/>
      <c r="X731" s="414" t="e">
        <f t="shared" si="101"/>
        <v>#REF!</v>
      </c>
      <c r="AE731" s="414" t="str">
        <f t="shared" si="96"/>
        <v>|</v>
      </c>
      <c r="AG731" s="412" t="s">
        <v>1841</v>
      </c>
    </row>
    <row r="732" spans="1:33" ht="24" customHeight="1">
      <c r="A732" s="424">
        <f t="shared" si="97"/>
        <v>529</v>
      </c>
      <c r="B732" s="412" t="s">
        <v>417</v>
      </c>
      <c r="C732" s="414">
        <v>1250</v>
      </c>
      <c r="D732" s="412" t="s">
        <v>488</v>
      </c>
      <c r="H732" s="412" t="s">
        <v>447</v>
      </c>
      <c r="K732" s="414">
        <f>(K730/10)</f>
        <v>950.56</v>
      </c>
      <c r="M732" s="413" t="s">
        <v>1249</v>
      </c>
      <c r="N732" s="412" t="s">
        <v>419</v>
      </c>
      <c r="O732" s="412" t="s">
        <v>420</v>
      </c>
      <c r="S732" s="416">
        <v>3.5</v>
      </c>
      <c r="T732" s="414" t="s">
        <v>427</v>
      </c>
      <c r="U732" s="414" t="s">
        <v>310</v>
      </c>
      <c r="V732" s="414" t="e">
        <f t="shared" si="102"/>
        <v>#REF!</v>
      </c>
      <c r="W732" s="413"/>
      <c r="X732" s="414" t="e">
        <f t="shared" si="101"/>
        <v>#REF!</v>
      </c>
      <c r="AE732" s="414" t="str">
        <f t="shared" si="96"/>
        <v>|</v>
      </c>
      <c r="AG732" s="412" t="s">
        <v>1841</v>
      </c>
    </row>
    <row r="733" spans="1:33" ht="24" customHeight="1">
      <c r="A733" s="424">
        <f t="shared" si="97"/>
        <v>530</v>
      </c>
      <c r="B733" s="412" t="s">
        <v>421</v>
      </c>
      <c r="C733" s="414">
        <v>1250</v>
      </c>
      <c r="D733" s="412" t="s">
        <v>488</v>
      </c>
      <c r="K733" s="418" t="s">
        <v>1676</v>
      </c>
      <c r="O733" s="418" t="s">
        <v>1288</v>
      </c>
      <c r="S733" s="416">
        <v>28</v>
      </c>
      <c r="T733" s="414" t="s">
        <v>1341</v>
      </c>
      <c r="U733" s="414" t="s">
        <v>2420</v>
      </c>
      <c r="V733" s="414">
        <f t="shared" si="102"/>
        <v>43.2</v>
      </c>
      <c r="W733" s="413"/>
      <c r="X733" s="414">
        <f t="shared" si="101"/>
        <v>1209.5999999999999</v>
      </c>
      <c r="AE733" s="414" t="str">
        <f t="shared" si="96"/>
        <v>|</v>
      </c>
      <c r="AG733" s="412" t="s">
        <v>1841</v>
      </c>
    </row>
    <row r="734" spans="1:33" ht="24" customHeight="1">
      <c r="A734" s="424">
        <f t="shared" si="97"/>
        <v>531</v>
      </c>
      <c r="B734" s="412" t="s">
        <v>614</v>
      </c>
      <c r="C734" s="414">
        <v>1250</v>
      </c>
      <c r="D734" s="412" t="s">
        <v>488</v>
      </c>
      <c r="M734" s="440">
        <v>2.5499999999999998E-2</v>
      </c>
      <c r="N734" s="412" t="s">
        <v>702</v>
      </c>
      <c r="O734" s="412" t="s">
        <v>1069</v>
      </c>
      <c r="P734" s="414" t="e">
        <f>C86</f>
        <v>#REF!</v>
      </c>
      <c r="Q734" s="412" t="s">
        <v>702</v>
      </c>
      <c r="R734" s="414" t="e">
        <f t="shared" ref="R734:R740" si="103">M734*P734</f>
        <v>#REF!</v>
      </c>
      <c r="S734" s="416">
        <v>3.5</v>
      </c>
      <c r="T734" s="414" t="s">
        <v>1166</v>
      </c>
      <c r="U734" s="414" t="s">
        <v>374</v>
      </c>
      <c r="V734" s="414">
        <f t="shared" si="102"/>
        <v>932</v>
      </c>
      <c r="W734" s="413"/>
      <c r="X734" s="414">
        <f t="shared" si="101"/>
        <v>3262</v>
      </c>
      <c r="AE734" s="414" t="str">
        <f t="shared" si="96"/>
        <v>|</v>
      </c>
      <c r="AG734" s="412" t="s">
        <v>1841</v>
      </c>
    </row>
    <row r="735" spans="1:33" ht="24" customHeight="1">
      <c r="A735" s="424">
        <f t="shared" si="97"/>
        <v>532</v>
      </c>
      <c r="B735" s="412" t="s">
        <v>997</v>
      </c>
      <c r="C735" s="414">
        <v>1250</v>
      </c>
      <c r="D735" s="412" t="s">
        <v>488</v>
      </c>
      <c r="F735" s="413" t="s">
        <v>1668</v>
      </c>
      <c r="G735" s="414" t="s">
        <v>1833</v>
      </c>
      <c r="H735" s="412" t="s">
        <v>6</v>
      </c>
      <c r="M735" s="440">
        <v>1.1299999999999999</v>
      </c>
      <c r="N735" s="412" t="s">
        <v>488</v>
      </c>
      <c r="O735" s="412" t="s">
        <v>1056</v>
      </c>
      <c r="P735" s="414">
        <f>C783</f>
        <v>387.4</v>
      </c>
      <c r="Q735" s="412" t="s">
        <v>488</v>
      </c>
      <c r="R735" s="414">
        <f t="shared" si="103"/>
        <v>437.76</v>
      </c>
      <c r="S735" s="416">
        <v>21.2</v>
      </c>
      <c r="T735" s="414" t="s">
        <v>1166</v>
      </c>
      <c r="U735" s="414" t="s">
        <v>2079</v>
      </c>
      <c r="V735" s="414">
        <f t="shared" si="102"/>
        <v>651</v>
      </c>
      <c r="W735" s="413"/>
      <c r="X735" s="414">
        <f t="shared" si="101"/>
        <v>13801.2</v>
      </c>
      <c r="AE735" s="414" t="str">
        <f t="shared" si="96"/>
        <v>|</v>
      </c>
      <c r="AG735" s="412" t="s">
        <v>1841</v>
      </c>
    </row>
    <row r="736" spans="1:33" ht="24" customHeight="1">
      <c r="A736" s="424">
        <f t="shared" si="97"/>
        <v>533</v>
      </c>
      <c r="B736" s="412" t="s">
        <v>998</v>
      </c>
      <c r="C736" s="414">
        <v>1250</v>
      </c>
      <c r="D736" s="412" t="s">
        <v>488</v>
      </c>
      <c r="H736" s="412" t="s">
        <v>520</v>
      </c>
      <c r="M736" s="440">
        <v>1.6191</v>
      </c>
      <c r="N736" s="412" t="s">
        <v>488</v>
      </c>
      <c r="O736" s="412" t="s">
        <v>1701</v>
      </c>
      <c r="P736" s="414">
        <f>C31</f>
        <v>1537</v>
      </c>
      <c r="Q736" s="412" t="s">
        <v>488</v>
      </c>
      <c r="R736" s="414">
        <f t="shared" si="103"/>
        <v>2488.56</v>
      </c>
      <c r="S736" s="416">
        <v>35.299999999999997</v>
      </c>
      <c r="T736" s="414" t="s">
        <v>1166</v>
      </c>
      <c r="U736" s="414" t="s">
        <v>2080</v>
      </c>
      <c r="V736" s="414">
        <f t="shared" si="102"/>
        <v>534</v>
      </c>
      <c r="W736" s="413"/>
      <c r="X736" s="414">
        <f t="shared" si="101"/>
        <v>18850.2</v>
      </c>
      <c r="AE736" s="414" t="str">
        <f t="shared" si="96"/>
        <v>|</v>
      </c>
      <c r="AG736" s="412" t="s">
        <v>1841</v>
      </c>
    </row>
    <row r="737" spans="1:33" ht="24" customHeight="1">
      <c r="A737" s="424">
        <f t="shared" si="97"/>
        <v>534</v>
      </c>
      <c r="B737" s="412" t="s">
        <v>793</v>
      </c>
      <c r="C737" s="414">
        <v>1250</v>
      </c>
      <c r="D737" s="412" t="s">
        <v>488</v>
      </c>
      <c r="H737" s="412" t="s">
        <v>522</v>
      </c>
      <c r="M737" s="414">
        <v>2</v>
      </c>
      <c r="N737" s="412" t="s">
        <v>701</v>
      </c>
      <c r="O737" s="412" t="s">
        <v>1401</v>
      </c>
      <c r="P737" s="414">
        <f>C299</f>
        <v>10.5</v>
      </c>
      <c r="Q737" s="412" t="s">
        <v>701</v>
      </c>
      <c r="R737" s="414">
        <f t="shared" si="103"/>
        <v>21</v>
      </c>
      <c r="U737" s="417" t="s">
        <v>2415</v>
      </c>
      <c r="V737" s="414">
        <f t="shared" si="102"/>
        <v>0</v>
      </c>
      <c r="W737" s="413"/>
      <c r="X737" s="417" t="e">
        <f>SUM(X729:X736)</f>
        <v>#REF!</v>
      </c>
      <c r="AE737" s="414" t="str">
        <f t="shared" si="96"/>
        <v>|</v>
      </c>
      <c r="AG737" s="412" t="s">
        <v>1841</v>
      </c>
    </row>
    <row r="738" spans="1:33" ht="24" customHeight="1">
      <c r="A738" s="424">
        <f t="shared" si="97"/>
        <v>535</v>
      </c>
      <c r="B738" s="412" t="s">
        <v>795</v>
      </c>
      <c r="C738" s="414">
        <v>1250</v>
      </c>
      <c r="D738" s="412" t="s">
        <v>488</v>
      </c>
      <c r="H738" s="412" t="s">
        <v>416</v>
      </c>
      <c r="M738" s="414">
        <v>3</v>
      </c>
      <c r="N738" s="412" t="s">
        <v>701</v>
      </c>
      <c r="O738" s="412" t="s">
        <v>1319</v>
      </c>
      <c r="P738" s="414">
        <f>C295</f>
        <v>8.5</v>
      </c>
      <c r="Q738" s="412" t="s">
        <v>701</v>
      </c>
      <c r="R738" s="414">
        <f t="shared" si="103"/>
        <v>25.5</v>
      </c>
      <c r="U738" s="417" t="s">
        <v>2416</v>
      </c>
      <c r="V738" s="414">
        <f t="shared" si="102"/>
        <v>0</v>
      </c>
      <c r="W738" s="413"/>
      <c r="X738" s="417" t="e">
        <f>X737/10</f>
        <v>#REF!</v>
      </c>
      <c r="Y738" s="414" t="e">
        <f>X738</f>
        <v>#REF!</v>
      </c>
      <c r="AE738" s="414" t="str">
        <f t="shared" si="96"/>
        <v>|</v>
      </c>
      <c r="AG738" s="412" t="s">
        <v>1841</v>
      </c>
    </row>
    <row r="739" spans="1:33" ht="24" customHeight="1">
      <c r="A739" s="424">
        <f t="shared" si="97"/>
        <v>536</v>
      </c>
      <c r="B739" s="412" t="s">
        <v>762</v>
      </c>
      <c r="C739" s="414">
        <v>1250</v>
      </c>
      <c r="D739" s="412" t="s">
        <v>488</v>
      </c>
      <c r="H739" s="412" t="s">
        <v>418</v>
      </c>
      <c r="M739" s="414">
        <v>1</v>
      </c>
      <c r="N739" s="412" t="s">
        <v>701</v>
      </c>
      <c r="O739" s="412" t="s">
        <v>1388</v>
      </c>
      <c r="P739" s="414">
        <f>C301</f>
        <v>21</v>
      </c>
      <c r="Q739" s="412" t="s">
        <v>701</v>
      </c>
      <c r="R739" s="414">
        <f t="shared" si="103"/>
        <v>21</v>
      </c>
      <c r="S739" s="416">
        <v>1</v>
      </c>
      <c r="T739" s="414" t="s">
        <v>1089</v>
      </c>
      <c r="U739" s="414" t="s">
        <v>2440</v>
      </c>
      <c r="V739" s="414">
        <f t="shared" si="102"/>
        <v>94.2</v>
      </c>
      <c r="W739" s="413"/>
      <c r="X739" s="414">
        <f>V739</f>
        <v>94.2</v>
      </c>
      <c r="AE739" s="414" t="str">
        <f t="shared" si="96"/>
        <v>|</v>
      </c>
      <c r="AG739" s="412" t="s">
        <v>1841</v>
      </c>
    </row>
    <row r="740" spans="1:33" ht="24" customHeight="1">
      <c r="A740" s="424">
        <f t="shared" si="97"/>
        <v>537</v>
      </c>
      <c r="B740" s="412" t="s">
        <v>997</v>
      </c>
      <c r="C740" s="414">
        <v>1250</v>
      </c>
      <c r="D740" s="412" t="s">
        <v>488</v>
      </c>
      <c r="H740" s="412" t="s">
        <v>0</v>
      </c>
      <c r="M740" s="414">
        <v>1</v>
      </c>
      <c r="N740" s="412" t="s">
        <v>701</v>
      </c>
      <c r="O740" s="412" t="s">
        <v>1612</v>
      </c>
      <c r="P740" s="414">
        <f>C303</f>
        <v>4</v>
      </c>
      <c r="Q740" s="412" t="s">
        <v>701</v>
      </c>
      <c r="R740" s="414">
        <f t="shared" si="103"/>
        <v>4</v>
      </c>
      <c r="U740" s="414" t="s">
        <v>2417</v>
      </c>
      <c r="W740" s="413"/>
      <c r="X740" s="417" t="e">
        <f>SUM(X738:X739)</f>
        <v>#REF!</v>
      </c>
      <c r="Y740" s="414" t="e">
        <f>SUM(Y738:Y739)</f>
        <v>#REF!</v>
      </c>
      <c r="AE740" s="414" t="str">
        <f t="shared" si="96"/>
        <v>|</v>
      </c>
      <c r="AG740" s="412" t="s">
        <v>1841</v>
      </c>
    </row>
    <row r="741" spans="1:33" ht="24" customHeight="1">
      <c r="A741" s="424">
        <f t="shared" si="97"/>
        <v>538</v>
      </c>
      <c r="B741" s="412" t="s">
        <v>1352</v>
      </c>
      <c r="D741" s="412" t="s">
        <v>790</v>
      </c>
      <c r="H741" s="412" t="s">
        <v>996</v>
      </c>
      <c r="N741" s="412" t="s">
        <v>358</v>
      </c>
      <c r="O741" s="412" t="s">
        <v>359</v>
      </c>
      <c r="Q741" s="412" t="s">
        <v>358</v>
      </c>
      <c r="R741" s="414">
        <v>0</v>
      </c>
      <c r="S741" s="444" t="s">
        <v>528</v>
      </c>
      <c r="U741" s="414" t="s">
        <v>2418</v>
      </c>
      <c r="V741" s="444" t="s">
        <v>528</v>
      </c>
      <c r="W741" s="413"/>
      <c r="X741" s="414" t="e">
        <f>X740*0.5%</f>
        <v>#REF!</v>
      </c>
      <c r="Y741" s="414" t="e">
        <f>Y740*0.5/100</f>
        <v>#REF!</v>
      </c>
      <c r="AE741" s="414" t="str">
        <f t="shared" si="96"/>
        <v>|</v>
      </c>
      <c r="AG741" s="412" t="s">
        <v>1841</v>
      </c>
    </row>
    <row r="742" spans="1:33" ht="24" customHeight="1">
      <c r="A742" s="424">
        <f t="shared" si="97"/>
        <v>539</v>
      </c>
      <c r="B742" s="412" t="s">
        <v>1354</v>
      </c>
      <c r="C742" s="414">
        <v>65</v>
      </c>
      <c r="D742" s="412" t="s">
        <v>1395</v>
      </c>
      <c r="H742" s="418" t="s">
        <v>1288</v>
      </c>
      <c r="I742" s="418" t="s">
        <v>1288</v>
      </c>
      <c r="J742" s="412" t="s">
        <v>1288</v>
      </c>
      <c r="R742" s="418" t="s">
        <v>1288</v>
      </c>
      <c r="U742" s="417" t="s">
        <v>2170</v>
      </c>
      <c r="W742" s="413"/>
      <c r="X742" s="417" t="e">
        <f>SUM(X740:X741)</f>
        <v>#REF!</v>
      </c>
      <c r="Y742" s="417" t="e">
        <f>SUM(Y740:Y741)</f>
        <v>#REF!</v>
      </c>
      <c r="AE742" s="414" t="str">
        <f t="shared" si="96"/>
        <v>|</v>
      </c>
      <c r="AG742" s="412" t="s">
        <v>1841</v>
      </c>
    </row>
    <row r="743" spans="1:33" ht="24" customHeight="1">
      <c r="A743" s="424">
        <f t="shared" si="97"/>
        <v>540</v>
      </c>
      <c r="B743" s="412" t="s">
        <v>18</v>
      </c>
      <c r="C743" s="414">
        <v>21.5</v>
      </c>
      <c r="D743" s="412" t="s">
        <v>1395</v>
      </c>
      <c r="F743" s="414">
        <v>13.46</v>
      </c>
      <c r="G743" s="414" t="s">
        <v>211</v>
      </c>
      <c r="H743" s="412" t="s">
        <v>212</v>
      </c>
      <c r="I743" s="414">
        <f>C34/1000</f>
        <v>53</v>
      </c>
      <c r="J743" s="412" t="s">
        <v>211</v>
      </c>
      <c r="K743" s="414">
        <f>(F743*I743)</f>
        <v>713.38</v>
      </c>
      <c r="O743" s="413" t="s">
        <v>19</v>
      </c>
      <c r="R743" s="414" t="e">
        <f>SUM(R734:R741)</f>
        <v>#REF!</v>
      </c>
      <c r="W743" s="413"/>
      <c r="X743" s="418" t="s">
        <v>1288</v>
      </c>
      <c r="AE743" s="414" t="str">
        <f t="shared" si="96"/>
        <v>|</v>
      </c>
      <c r="AG743" s="412" t="s">
        <v>1841</v>
      </c>
    </row>
    <row r="744" spans="1:33" ht="24" customHeight="1">
      <c r="A744" s="424">
        <f t="shared" si="97"/>
        <v>541</v>
      </c>
      <c r="B744" s="412" t="s">
        <v>20</v>
      </c>
      <c r="C744" s="414">
        <v>110.95</v>
      </c>
      <c r="D744" s="412" t="s">
        <v>1395</v>
      </c>
      <c r="H744" s="412" t="s">
        <v>794</v>
      </c>
      <c r="R744" s="418" t="s">
        <v>1288</v>
      </c>
      <c r="U744" s="412" t="s">
        <v>307</v>
      </c>
      <c r="W744" s="413"/>
      <c r="X744" s="417" t="e">
        <f>(X742+C22)</f>
        <v>#REF!</v>
      </c>
      <c r="AE744" s="414" t="str">
        <f t="shared" si="96"/>
        <v>|</v>
      </c>
      <c r="AG744" s="412" t="s">
        <v>1841</v>
      </c>
    </row>
    <row r="745" spans="1:33" ht="24" customHeight="1">
      <c r="A745" s="424">
        <f t="shared" si="97"/>
        <v>542</v>
      </c>
      <c r="B745" s="412" t="s">
        <v>826</v>
      </c>
      <c r="C745" s="414">
        <v>399</v>
      </c>
      <c r="D745" s="412" t="s">
        <v>1395</v>
      </c>
      <c r="F745" s="414">
        <v>4</v>
      </c>
      <c r="G745" s="414" t="s">
        <v>211</v>
      </c>
      <c r="H745" s="412" t="s">
        <v>796</v>
      </c>
      <c r="I745" s="414">
        <f>C34/1000</f>
        <v>53</v>
      </c>
      <c r="J745" s="412" t="s">
        <v>211</v>
      </c>
      <c r="K745" s="414">
        <f>(F745*I745)</f>
        <v>212</v>
      </c>
      <c r="O745" s="413" t="s">
        <v>447</v>
      </c>
      <c r="R745" s="414" t="e">
        <f>R743/M736</f>
        <v>#REF!</v>
      </c>
      <c r="U745" s="412" t="s">
        <v>309</v>
      </c>
      <c r="W745" s="413"/>
      <c r="X745" s="417" t="e">
        <f>(X744+C24)</f>
        <v>#REF!</v>
      </c>
      <c r="AE745" s="414" t="str">
        <f t="shared" si="96"/>
        <v>|</v>
      </c>
      <c r="AG745" s="412" t="s">
        <v>1841</v>
      </c>
    </row>
    <row r="746" spans="1:33" ht="24" customHeight="1">
      <c r="A746" s="424">
        <f t="shared" si="97"/>
        <v>543</v>
      </c>
      <c r="B746" s="412" t="s">
        <v>726</v>
      </c>
      <c r="C746" s="414">
        <v>92</v>
      </c>
      <c r="D746" s="412" t="s">
        <v>1395</v>
      </c>
      <c r="H746" s="412" t="s">
        <v>837</v>
      </c>
      <c r="R746" s="418" t="s">
        <v>1676</v>
      </c>
      <c r="U746" s="412" t="s">
        <v>1818</v>
      </c>
      <c r="W746" s="413"/>
      <c r="X746" s="417" t="e">
        <f>(X745+C24)</f>
        <v>#REF!</v>
      </c>
      <c r="Y746" s="414" t="e">
        <f>X746-X745</f>
        <v>#REF!</v>
      </c>
      <c r="AE746" s="414" t="str">
        <f t="shared" si="96"/>
        <v>|</v>
      </c>
      <c r="AG746" s="412" t="s">
        <v>1841</v>
      </c>
    </row>
    <row r="747" spans="1:33" ht="24" customHeight="1">
      <c r="A747" s="424">
        <f t="shared" si="97"/>
        <v>544</v>
      </c>
      <c r="B747" s="412" t="s">
        <v>238</v>
      </c>
      <c r="C747" s="414">
        <v>174.24</v>
      </c>
      <c r="D747" s="412" t="s">
        <v>1395</v>
      </c>
      <c r="G747" s="414" t="s">
        <v>358</v>
      </c>
      <c r="H747" s="412" t="s">
        <v>1351</v>
      </c>
      <c r="J747" s="412" t="s">
        <v>358</v>
      </c>
      <c r="K747" s="414">
        <v>40</v>
      </c>
      <c r="U747" s="412" t="s">
        <v>301</v>
      </c>
      <c r="W747" s="413"/>
      <c r="X747" s="417" t="e">
        <f>(X746+C24)</f>
        <v>#REF!</v>
      </c>
      <c r="AE747" s="414" t="str">
        <f t="shared" si="96"/>
        <v>|</v>
      </c>
      <c r="AG747" s="412" t="s">
        <v>1841</v>
      </c>
    </row>
    <row r="748" spans="1:33" ht="24" customHeight="1">
      <c r="A748" s="424">
        <f t="shared" si="97"/>
        <v>545</v>
      </c>
      <c r="B748" s="412" t="s">
        <v>240</v>
      </c>
      <c r="C748" s="414">
        <v>215.06</v>
      </c>
      <c r="D748" s="412" t="s">
        <v>1395</v>
      </c>
      <c r="H748" s="412" t="s">
        <v>1353</v>
      </c>
      <c r="K748" s="418" t="s">
        <v>1288</v>
      </c>
      <c r="M748" s="413" t="s">
        <v>1249</v>
      </c>
      <c r="N748" s="412" t="s">
        <v>242</v>
      </c>
      <c r="O748" s="412" t="s">
        <v>1321</v>
      </c>
      <c r="U748" s="412" t="s">
        <v>1244</v>
      </c>
      <c r="W748" s="413"/>
      <c r="X748" s="417" t="e">
        <f t="shared" ref="X748:X753" si="104">(X747+C24)</f>
        <v>#REF!</v>
      </c>
      <c r="Y748" s="414" t="e">
        <f>X748+Y746</f>
        <v>#REF!</v>
      </c>
      <c r="AE748" s="414" t="str">
        <f t="shared" si="96"/>
        <v>|</v>
      </c>
      <c r="AG748" s="412" t="s">
        <v>1841</v>
      </c>
    </row>
    <row r="749" spans="1:33" ht="24" customHeight="1">
      <c r="A749" s="424">
        <f t="shared" si="97"/>
        <v>546</v>
      </c>
      <c r="B749" s="412" t="s">
        <v>1322</v>
      </c>
      <c r="C749" s="414">
        <v>97.24</v>
      </c>
      <c r="D749" s="412" t="s">
        <v>1395</v>
      </c>
      <c r="H749" s="413" t="s">
        <v>2175</v>
      </c>
      <c r="K749" s="414">
        <f>SUM(K743:K747)</f>
        <v>965.38</v>
      </c>
      <c r="O749" s="418" t="s">
        <v>1288</v>
      </c>
      <c r="W749" s="413"/>
      <c r="X749" s="417" t="e">
        <f t="shared" si="104"/>
        <v>#REF!</v>
      </c>
      <c r="Y749" s="414" t="e">
        <f>Y748-X748</f>
        <v>#REF!</v>
      </c>
      <c r="AE749" s="414" t="str">
        <f t="shared" ref="AE749:AE812" si="105">AG749</f>
        <v>|</v>
      </c>
      <c r="AG749" s="412" t="s">
        <v>1841</v>
      </c>
    </row>
    <row r="750" spans="1:33" ht="24" customHeight="1">
      <c r="A750" s="424">
        <f t="shared" si="97"/>
        <v>547</v>
      </c>
      <c r="B750" s="412" t="s">
        <v>1165</v>
      </c>
      <c r="C750" s="414">
        <v>168.96</v>
      </c>
      <c r="D750" s="412" t="s">
        <v>1395</v>
      </c>
      <c r="K750" s="418" t="s">
        <v>1288</v>
      </c>
      <c r="M750" s="440">
        <v>2.35E-2</v>
      </c>
      <c r="N750" s="412" t="s">
        <v>702</v>
      </c>
      <c r="O750" s="412" t="s">
        <v>1069</v>
      </c>
      <c r="P750" s="414" t="e">
        <f>C86</f>
        <v>#REF!</v>
      </c>
      <c r="Q750" s="412" t="s">
        <v>702</v>
      </c>
      <c r="R750" s="414" t="e">
        <f t="shared" ref="R750:R756" si="106">M750*P750</f>
        <v>#REF!</v>
      </c>
      <c r="W750" s="413"/>
      <c r="X750" s="417" t="e">
        <f t="shared" si="104"/>
        <v>#REF!</v>
      </c>
      <c r="AE750" s="414" t="str">
        <f t="shared" si="105"/>
        <v>|</v>
      </c>
      <c r="AG750" s="412" t="s">
        <v>1841</v>
      </c>
    </row>
    <row r="751" spans="1:33" ht="24" customHeight="1">
      <c r="A751" s="424">
        <f t="shared" si="97"/>
        <v>548</v>
      </c>
      <c r="B751" s="412" t="s">
        <v>3171</v>
      </c>
      <c r="C751" s="414">
        <v>376.7</v>
      </c>
      <c r="D751" s="414">
        <v>408</v>
      </c>
      <c r="H751" s="413" t="s">
        <v>21</v>
      </c>
      <c r="K751" s="414">
        <f>K749/40</f>
        <v>24.13</v>
      </c>
      <c r="M751" s="440">
        <v>0.872</v>
      </c>
      <c r="N751" s="412" t="s">
        <v>488</v>
      </c>
      <c r="O751" s="412" t="s">
        <v>1056</v>
      </c>
      <c r="P751" s="414">
        <f>C783</f>
        <v>387.4</v>
      </c>
      <c r="Q751" s="412" t="s">
        <v>488</v>
      </c>
      <c r="R751" s="414">
        <f t="shared" si="106"/>
        <v>337.81</v>
      </c>
      <c r="W751" s="413"/>
      <c r="X751" s="417" t="e">
        <f t="shared" si="104"/>
        <v>#REF!</v>
      </c>
      <c r="AE751" s="414" t="str">
        <f t="shared" si="105"/>
        <v>|</v>
      </c>
      <c r="AG751" s="412" t="s">
        <v>1841</v>
      </c>
    </row>
    <row r="752" spans="1:33" ht="24" customHeight="1">
      <c r="A752" s="424">
        <f t="shared" si="97"/>
        <v>549</v>
      </c>
      <c r="B752" s="412" t="s">
        <v>3172</v>
      </c>
      <c r="C752" s="414">
        <v>769</v>
      </c>
      <c r="D752" s="412" t="s">
        <v>1395</v>
      </c>
      <c r="K752" s="418" t="s">
        <v>1288</v>
      </c>
      <c r="M752" s="440">
        <v>1.3247</v>
      </c>
      <c r="N752" s="412" t="s">
        <v>488</v>
      </c>
      <c r="O752" s="412" t="s">
        <v>1701</v>
      </c>
      <c r="P752" s="414">
        <f>C31</f>
        <v>1537</v>
      </c>
      <c r="Q752" s="412" t="s">
        <v>488</v>
      </c>
      <c r="R752" s="414">
        <f t="shared" si="106"/>
        <v>2036.06</v>
      </c>
      <c r="W752" s="413"/>
      <c r="X752" s="417" t="e">
        <f t="shared" si="104"/>
        <v>#REF!</v>
      </c>
      <c r="AE752" s="414" t="str">
        <f t="shared" si="105"/>
        <v>|</v>
      </c>
      <c r="AG752" s="412" t="s">
        <v>1841</v>
      </c>
    </row>
    <row r="753" spans="1:33" ht="24" customHeight="1">
      <c r="A753" s="424">
        <f t="shared" si="97"/>
        <v>550</v>
      </c>
      <c r="B753" s="412" t="s">
        <v>668</v>
      </c>
      <c r="C753" s="414">
        <v>210</v>
      </c>
      <c r="D753" s="412" t="s">
        <v>1395</v>
      </c>
      <c r="H753" s="412" t="s">
        <v>727</v>
      </c>
      <c r="M753" s="414">
        <v>1</v>
      </c>
      <c r="N753" s="412" t="s">
        <v>701</v>
      </c>
      <c r="O753" s="412" t="s">
        <v>1401</v>
      </c>
      <c r="P753" s="414">
        <f>C299</f>
        <v>10.5</v>
      </c>
      <c r="Q753" s="412" t="s">
        <v>701</v>
      </c>
      <c r="R753" s="414">
        <f t="shared" si="106"/>
        <v>10.5</v>
      </c>
      <c r="W753" s="413"/>
      <c r="X753" s="417" t="e">
        <f t="shared" si="104"/>
        <v>#REF!</v>
      </c>
      <c r="AE753" s="414" t="str">
        <f t="shared" si="105"/>
        <v>|</v>
      </c>
      <c r="AG753" s="412" t="s">
        <v>1841</v>
      </c>
    </row>
    <row r="754" spans="1:33" ht="24" customHeight="1">
      <c r="A754" s="424">
        <f t="shared" si="97"/>
        <v>551</v>
      </c>
      <c r="B754" s="412" t="s">
        <v>2986</v>
      </c>
      <c r="C754" s="414">
        <v>1462</v>
      </c>
      <c r="D754" s="412" t="s">
        <v>488</v>
      </c>
      <c r="H754" s="412" t="s">
        <v>239</v>
      </c>
      <c r="M754" s="414">
        <v>3</v>
      </c>
      <c r="N754" s="412" t="s">
        <v>701</v>
      </c>
      <c r="O754" s="412" t="s">
        <v>1128</v>
      </c>
      <c r="P754" s="414">
        <f>C294</f>
        <v>5.75</v>
      </c>
      <c r="Q754" s="412" t="s">
        <v>701</v>
      </c>
      <c r="R754" s="414">
        <f t="shared" si="106"/>
        <v>17.25</v>
      </c>
      <c r="W754" s="413"/>
      <c r="AE754" s="414" t="str">
        <f t="shared" si="105"/>
        <v>|</v>
      </c>
      <c r="AG754" s="412" t="s">
        <v>1841</v>
      </c>
    </row>
    <row r="755" spans="1:33" ht="24" customHeight="1">
      <c r="A755" s="424">
        <f t="shared" si="97"/>
        <v>552</v>
      </c>
      <c r="B755" s="412" t="s">
        <v>1129</v>
      </c>
      <c r="D755" s="412" t="s">
        <v>790</v>
      </c>
      <c r="H755" s="412" t="s">
        <v>241</v>
      </c>
      <c r="M755" s="414">
        <v>1</v>
      </c>
      <c r="N755" s="412" t="s">
        <v>701</v>
      </c>
      <c r="O755" s="412" t="s">
        <v>1132</v>
      </c>
      <c r="P755" s="414">
        <f>C302</f>
        <v>10</v>
      </c>
      <c r="Q755" s="412" t="s">
        <v>701</v>
      </c>
      <c r="R755" s="414">
        <f t="shared" si="106"/>
        <v>10</v>
      </c>
      <c r="W755" s="413"/>
      <c r="AE755" s="414" t="str">
        <f t="shared" si="105"/>
        <v>|</v>
      </c>
      <c r="AG755" s="412" t="s">
        <v>1841</v>
      </c>
    </row>
    <row r="756" spans="1:33" ht="24" customHeight="1">
      <c r="A756" s="424">
        <f t="shared" si="97"/>
        <v>553</v>
      </c>
      <c r="B756" s="412" t="s">
        <v>1133</v>
      </c>
      <c r="M756" s="414">
        <v>1</v>
      </c>
      <c r="N756" s="412" t="s">
        <v>701</v>
      </c>
      <c r="O756" s="412" t="s">
        <v>1612</v>
      </c>
      <c r="P756" s="414">
        <f>C303</f>
        <v>4</v>
      </c>
      <c r="Q756" s="412" t="s">
        <v>701</v>
      </c>
      <c r="R756" s="414">
        <f t="shared" si="106"/>
        <v>4</v>
      </c>
      <c r="W756" s="413"/>
      <c r="AE756" s="414" t="str">
        <f t="shared" si="105"/>
        <v>|</v>
      </c>
      <c r="AG756" s="412" t="s">
        <v>1841</v>
      </c>
    </row>
    <row r="757" spans="1:33" ht="24" customHeight="1">
      <c r="A757" s="424">
        <f t="shared" si="97"/>
        <v>554</v>
      </c>
      <c r="B757" s="412" t="s">
        <v>1773</v>
      </c>
      <c r="C757" s="414">
        <v>300</v>
      </c>
      <c r="D757" s="412" t="s">
        <v>1863</v>
      </c>
      <c r="F757" s="414">
        <v>19</v>
      </c>
      <c r="G757" s="414" t="s">
        <v>1166</v>
      </c>
      <c r="H757" s="412" t="s">
        <v>50</v>
      </c>
      <c r="I757" s="416">
        <f>K751</f>
        <v>24.13</v>
      </c>
      <c r="J757" s="412" t="s">
        <v>203</v>
      </c>
      <c r="K757" s="414">
        <f>(F757*I757)</f>
        <v>458.47</v>
      </c>
      <c r="N757" s="412" t="s">
        <v>358</v>
      </c>
      <c r="O757" s="412" t="s">
        <v>359</v>
      </c>
      <c r="Q757" s="412" t="s">
        <v>358</v>
      </c>
      <c r="R757" s="414">
        <v>0</v>
      </c>
      <c r="W757" s="413"/>
      <c r="AE757" s="414" t="str">
        <f t="shared" si="105"/>
        <v>|</v>
      </c>
      <c r="AG757" s="412" t="s">
        <v>1841</v>
      </c>
    </row>
    <row r="758" spans="1:33" ht="24" customHeight="1">
      <c r="A758" s="424">
        <f t="shared" si="97"/>
        <v>555</v>
      </c>
      <c r="B758" s="413" t="s">
        <v>622</v>
      </c>
      <c r="C758" s="414">
        <v>302</v>
      </c>
      <c r="D758" s="412" t="s">
        <v>1863</v>
      </c>
      <c r="H758" s="412" t="s">
        <v>1355</v>
      </c>
      <c r="R758" s="418" t="s">
        <v>1288</v>
      </c>
      <c r="W758" s="413"/>
      <c r="AE758" s="414" t="str">
        <f t="shared" si="105"/>
        <v>|</v>
      </c>
      <c r="AG758" s="412" t="s">
        <v>1841</v>
      </c>
    </row>
    <row r="759" spans="1:33" ht="24" customHeight="1">
      <c r="A759" s="424">
        <f t="shared" si="97"/>
        <v>556</v>
      </c>
      <c r="B759" s="412" t="s">
        <v>624</v>
      </c>
      <c r="C759" s="414">
        <v>382</v>
      </c>
      <c r="D759" s="412" t="s">
        <v>1863</v>
      </c>
      <c r="F759" s="414">
        <v>0.12</v>
      </c>
      <c r="G759" s="414" t="s">
        <v>1749</v>
      </c>
      <c r="H759" s="412" t="s">
        <v>924</v>
      </c>
      <c r="I759" s="414">
        <f>C269/5</f>
        <v>3100</v>
      </c>
      <c r="J759" s="412" t="s">
        <v>203</v>
      </c>
      <c r="K759" s="414">
        <f t="shared" ref="K759:K766" si="107">(F759*I759)</f>
        <v>372</v>
      </c>
      <c r="O759" s="413" t="s">
        <v>599</v>
      </c>
      <c r="R759" s="414" t="e">
        <f>SUM(R750:R757)</f>
        <v>#REF!</v>
      </c>
      <c r="W759" s="413"/>
      <c r="AE759" s="414" t="str">
        <f t="shared" si="105"/>
        <v>|</v>
      </c>
      <c r="AG759" s="412" t="s">
        <v>1841</v>
      </c>
    </row>
    <row r="760" spans="1:33" ht="24" customHeight="1">
      <c r="A760" s="424">
        <f t="shared" si="97"/>
        <v>557</v>
      </c>
      <c r="B760" s="412" t="s">
        <v>462</v>
      </c>
      <c r="C760" s="414">
        <v>140</v>
      </c>
      <c r="D760" s="412" t="s">
        <v>1863</v>
      </c>
      <c r="F760" s="414">
        <v>98.5</v>
      </c>
      <c r="G760" s="414" t="s">
        <v>669</v>
      </c>
      <c r="H760" s="412" t="s">
        <v>670</v>
      </c>
      <c r="I760" s="414">
        <f>C270/5</f>
        <v>5.04</v>
      </c>
      <c r="J760" s="412" t="s">
        <v>203</v>
      </c>
      <c r="K760" s="414">
        <f t="shared" si="107"/>
        <v>496.44</v>
      </c>
      <c r="R760" s="418" t="s">
        <v>1288</v>
      </c>
      <c r="T760" s="417">
        <v>4.2</v>
      </c>
      <c r="U760" s="417" t="s">
        <v>3173</v>
      </c>
      <c r="W760" s="413"/>
      <c r="AE760" s="414" t="str">
        <f t="shared" si="105"/>
        <v>|</v>
      </c>
      <c r="AG760" s="412" t="s">
        <v>1841</v>
      </c>
    </row>
    <row r="761" spans="1:33" ht="24" customHeight="1">
      <c r="A761" s="424">
        <f t="shared" si="97"/>
        <v>558</v>
      </c>
      <c r="B761" s="412" t="s">
        <v>678</v>
      </c>
      <c r="C761" s="414">
        <v>222</v>
      </c>
      <c r="D761" s="412" t="s">
        <v>1863</v>
      </c>
      <c r="F761" s="414">
        <v>1</v>
      </c>
      <c r="G761" s="414" t="s">
        <v>358</v>
      </c>
      <c r="H761" s="412" t="s">
        <v>1127</v>
      </c>
      <c r="I761" s="414">
        <v>11</v>
      </c>
      <c r="J761" s="412" t="s">
        <v>358</v>
      </c>
      <c r="K761" s="414">
        <f t="shared" si="107"/>
        <v>11</v>
      </c>
      <c r="O761" s="413" t="s">
        <v>447</v>
      </c>
      <c r="R761" s="414" t="e">
        <f>R759/1.3247</f>
        <v>#REF!</v>
      </c>
      <c r="S761" s="416">
        <v>5</v>
      </c>
      <c r="T761" s="414" t="s">
        <v>1089</v>
      </c>
      <c r="U761" s="414" t="s">
        <v>4315</v>
      </c>
      <c r="V761" s="414" t="e">
        <f>V675</f>
        <v>#REF!</v>
      </c>
      <c r="W761" s="413"/>
      <c r="X761" s="414" t="e">
        <f t="shared" ref="X761:X768" si="108">V761*S761</f>
        <v>#REF!</v>
      </c>
      <c r="AE761" s="414" t="str">
        <f t="shared" si="105"/>
        <v>|</v>
      </c>
      <c r="AG761" s="412" t="s">
        <v>1841</v>
      </c>
    </row>
    <row r="762" spans="1:33" ht="24" customHeight="1">
      <c r="A762" s="424">
        <f t="shared" si="97"/>
        <v>559</v>
      </c>
      <c r="B762" s="412" t="s">
        <v>491</v>
      </c>
      <c r="C762" s="414">
        <v>505</v>
      </c>
      <c r="D762" s="412" t="s">
        <v>1863</v>
      </c>
      <c r="F762" s="414">
        <v>3.8</v>
      </c>
      <c r="G762" s="414" t="s">
        <v>1130</v>
      </c>
      <c r="H762" s="412" t="s">
        <v>1131</v>
      </c>
      <c r="I762" s="414">
        <f>C16</f>
        <v>976</v>
      </c>
      <c r="J762" s="412" t="s">
        <v>1134</v>
      </c>
      <c r="K762" s="414">
        <f t="shared" si="107"/>
        <v>3708.8</v>
      </c>
      <c r="R762" s="418" t="s">
        <v>1676</v>
      </c>
      <c r="S762" s="416">
        <v>3.3</v>
      </c>
      <c r="T762" s="414" t="s">
        <v>1089</v>
      </c>
      <c r="U762" s="414" t="s">
        <v>4316</v>
      </c>
      <c r="V762" s="414" t="e">
        <f t="shared" ref="V762:V768" si="109">V676</f>
        <v>#REF!</v>
      </c>
      <c r="W762" s="413"/>
      <c r="X762" s="414" t="e">
        <f t="shared" si="108"/>
        <v>#REF!</v>
      </c>
      <c r="AE762" s="414" t="str">
        <f t="shared" si="105"/>
        <v>|</v>
      </c>
      <c r="AG762" s="412" t="s">
        <v>1841</v>
      </c>
    </row>
    <row r="763" spans="1:33" ht="24" customHeight="1">
      <c r="A763" s="424">
        <f t="shared" si="97"/>
        <v>560</v>
      </c>
      <c r="B763" s="412" t="s">
        <v>2845</v>
      </c>
      <c r="C763" s="414">
        <v>272.2</v>
      </c>
      <c r="D763" s="412" t="s">
        <v>1395</v>
      </c>
      <c r="F763" s="414">
        <v>5.4</v>
      </c>
      <c r="G763" s="414" t="s">
        <v>1130</v>
      </c>
      <c r="H763" s="412" t="s">
        <v>667</v>
      </c>
      <c r="I763" s="414">
        <f>C12</f>
        <v>651</v>
      </c>
      <c r="J763" s="412" t="s">
        <v>1134</v>
      </c>
      <c r="K763" s="414">
        <f t="shared" si="107"/>
        <v>3515.4</v>
      </c>
      <c r="N763" s="412" t="s">
        <v>1833</v>
      </c>
      <c r="S763" s="416">
        <v>4.79</v>
      </c>
      <c r="T763" s="414" t="s">
        <v>1089</v>
      </c>
      <c r="U763" s="414" t="s">
        <v>4317</v>
      </c>
      <c r="V763" s="414" t="e">
        <f t="shared" si="109"/>
        <v>#REF!</v>
      </c>
      <c r="W763" s="413"/>
      <c r="X763" s="414" t="e">
        <f t="shared" si="108"/>
        <v>#REF!</v>
      </c>
      <c r="AE763" s="414" t="str">
        <f t="shared" si="105"/>
        <v>|</v>
      </c>
      <c r="AG763" s="412" t="s">
        <v>1841</v>
      </c>
    </row>
    <row r="764" spans="1:33" ht="24" customHeight="1">
      <c r="A764" s="414" t="s">
        <v>1967</v>
      </c>
      <c r="B764" s="412" t="s">
        <v>3174</v>
      </c>
      <c r="C764" s="414">
        <v>1020</v>
      </c>
      <c r="D764" s="412" t="s">
        <v>1395</v>
      </c>
      <c r="F764" s="414">
        <v>1</v>
      </c>
      <c r="G764" s="414" t="s">
        <v>1130</v>
      </c>
      <c r="H764" s="412" t="s">
        <v>1864</v>
      </c>
      <c r="I764" s="414">
        <f>C66</f>
        <v>856</v>
      </c>
      <c r="J764" s="412" t="s">
        <v>1134</v>
      </c>
      <c r="K764" s="414">
        <f t="shared" si="107"/>
        <v>856</v>
      </c>
      <c r="O764" s="412" t="s">
        <v>1862</v>
      </c>
      <c r="S764" s="416">
        <v>4.25</v>
      </c>
      <c r="T764" s="414" t="s">
        <v>427</v>
      </c>
      <c r="U764" s="414" t="s">
        <v>310</v>
      </c>
      <c r="V764" s="414" t="e">
        <f t="shared" si="109"/>
        <v>#REF!</v>
      </c>
      <c r="W764" s="413"/>
      <c r="X764" s="414" t="e">
        <f t="shared" si="108"/>
        <v>#REF!</v>
      </c>
      <c r="AE764" s="414" t="str">
        <f t="shared" si="105"/>
        <v>|</v>
      </c>
      <c r="AG764" s="412" t="s">
        <v>1841</v>
      </c>
    </row>
    <row r="765" spans="1:33" ht="24" customHeight="1">
      <c r="A765" s="424">
        <f>(A763+1)</f>
        <v>561</v>
      </c>
      <c r="B765" s="412" t="s">
        <v>78</v>
      </c>
      <c r="C765" s="414">
        <v>43.3</v>
      </c>
      <c r="D765" s="412" t="s">
        <v>1443</v>
      </c>
      <c r="F765" s="414">
        <v>1</v>
      </c>
      <c r="G765" s="414" t="s">
        <v>358</v>
      </c>
      <c r="H765" s="412" t="s">
        <v>623</v>
      </c>
      <c r="I765" s="414">
        <v>10</v>
      </c>
      <c r="J765" s="412" t="s">
        <v>358</v>
      </c>
      <c r="K765" s="414">
        <f t="shared" si="107"/>
        <v>10</v>
      </c>
      <c r="O765" s="412" t="s">
        <v>1721</v>
      </c>
      <c r="S765" s="416">
        <v>40</v>
      </c>
      <c r="T765" s="414" t="s">
        <v>1341</v>
      </c>
      <c r="U765" s="414" t="s">
        <v>2420</v>
      </c>
      <c r="V765" s="414">
        <f t="shared" si="109"/>
        <v>43.2</v>
      </c>
      <c r="W765" s="413"/>
      <c r="X765" s="414">
        <f t="shared" si="108"/>
        <v>1728</v>
      </c>
      <c r="AE765" s="414" t="str">
        <f t="shared" si="105"/>
        <v>|</v>
      </c>
      <c r="AG765" s="412" t="s">
        <v>1841</v>
      </c>
    </row>
    <row r="766" spans="1:33" ht="24" customHeight="1">
      <c r="A766" s="424">
        <f t="shared" ref="A766:A783" si="110">(A765+1)</f>
        <v>562</v>
      </c>
      <c r="B766" s="412" t="s">
        <v>1722</v>
      </c>
      <c r="C766" s="414">
        <v>218</v>
      </c>
      <c r="D766" s="412" t="s">
        <v>1395</v>
      </c>
      <c r="F766" s="414">
        <v>19</v>
      </c>
      <c r="G766" s="414" t="s">
        <v>1166</v>
      </c>
      <c r="H766" s="412" t="s">
        <v>625</v>
      </c>
      <c r="I766" s="414">
        <v>2</v>
      </c>
      <c r="J766" s="412" t="s">
        <v>1166</v>
      </c>
      <c r="K766" s="414">
        <f t="shared" si="107"/>
        <v>38</v>
      </c>
      <c r="O766" s="412" t="s">
        <v>573</v>
      </c>
      <c r="S766" s="416">
        <v>3.5</v>
      </c>
      <c r="T766" s="414" t="s">
        <v>1166</v>
      </c>
      <c r="U766" s="414" t="s">
        <v>374</v>
      </c>
      <c r="V766" s="414">
        <f t="shared" si="109"/>
        <v>932</v>
      </c>
      <c r="W766" s="413"/>
      <c r="X766" s="414">
        <f t="shared" si="108"/>
        <v>3262</v>
      </c>
      <c r="AE766" s="414" t="str">
        <f t="shared" si="105"/>
        <v>|</v>
      </c>
      <c r="AG766" s="412" t="s">
        <v>1841</v>
      </c>
    </row>
    <row r="767" spans="1:33" ht="24" customHeight="1">
      <c r="A767" s="424">
        <f t="shared" si="110"/>
        <v>563</v>
      </c>
      <c r="B767" s="412" t="s">
        <v>574</v>
      </c>
      <c r="C767" s="414">
        <v>926</v>
      </c>
      <c r="D767" s="412" t="s">
        <v>1395</v>
      </c>
      <c r="H767" s="412" t="s">
        <v>403</v>
      </c>
      <c r="K767" s="418" t="s">
        <v>1288</v>
      </c>
      <c r="O767" s="412" t="s">
        <v>66</v>
      </c>
      <c r="S767" s="416">
        <v>21.2</v>
      </c>
      <c r="T767" s="414" t="s">
        <v>1166</v>
      </c>
      <c r="U767" s="414" t="s">
        <v>2079</v>
      </c>
      <c r="V767" s="414">
        <f t="shared" si="109"/>
        <v>651</v>
      </c>
      <c r="W767" s="413"/>
      <c r="X767" s="414">
        <f t="shared" si="108"/>
        <v>13801.2</v>
      </c>
      <c r="AE767" s="414" t="str">
        <f t="shared" si="105"/>
        <v>|</v>
      </c>
      <c r="AG767" s="412" t="s">
        <v>1841</v>
      </c>
    </row>
    <row r="768" spans="1:33" ht="24" customHeight="1">
      <c r="A768" s="424">
        <f t="shared" si="110"/>
        <v>564</v>
      </c>
      <c r="B768" s="412" t="s">
        <v>67</v>
      </c>
      <c r="C768" s="414">
        <v>5.15</v>
      </c>
      <c r="D768" s="412" t="s">
        <v>1443</v>
      </c>
      <c r="H768" s="413" t="s">
        <v>351</v>
      </c>
      <c r="K768" s="414">
        <f>SUM(K757:K766)+0.07</f>
        <v>9466.18</v>
      </c>
      <c r="O768" s="418" t="s">
        <v>1288</v>
      </c>
      <c r="S768" s="416">
        <v>35.299999999999997</v>
      </c>
      <c r="T768" s="414" t="s">
        <v>1166</v>
      </c>
      <c r="U768" s="414" t="s">
        <v>2080</v>
      </c>
      <c r="V768" s="414">
        <f t="shared" si="109"/>
        <v>534</v>
      </c>
      <c r="W768" s="413"/>
      <c r="X768" s="414">
        <f t="shared" si="108"/>
        <v>18850.2</v>
      </c>
      <c r="AE768" s="414" t="str">
        <f t="shared" si="105"/>
        <v>|</v>
      </c>
      <c r="AG768" s="412" t="s">
        <v>1841</v>
      </c>
    </row>
    <row r="769" spans="1:33" ht="24" customHeight="1">
      <c r="A769" s="424">
        <f t="shared" si="110"/>
        <v>565</v>
      </c>
      <c r="B769" s="412" t="s">
        <v>459</v>
      </c>
      <c r="C769" s="414">
        <v>550</v>
      </c>
      <c r="D769" s="412" t="s">
        <v>1395</v>
      </c>
      <c r="K769" s="418" t="s">
        <v>1288</v>
      </c>
      <c r="U769" s="417" t="s">
        <v>2415</v>
      </c>
      <c r="W769" s="413"/>
      <c r="X769" s="417" t="e">
        <f>SUM(X761:X768)</f>
        <v>#REF!</v>
      </c>
      <c r="AE769" s="414" t="str">
        <f t="shared" si="105"/>
        <v>|</v>
      </c>
      <c r="AG769" s="412" t="s">
        <v>1841</v>
      </c>
    </row>
    <row r="770" spans="1:33" ht="24" customHeight="1">
      <c r="A770" s="424">
        <f t="shared" si="110"/>
        <v>566</v>
      </c>
      <c r="B770" s="412" t="s">
        <v>792</v>
      </c>
      <c r="C770" s="414">
        <v>286</v>
      </c>
      <c r="D770" s="412" t="s">
        <v>1395</v>
      </c>
      <c r="H770" s="413" t="s">
        <v>447</v>
      </c>
      <c r="K770" s="414">
        <f>(K768/10)</f>
        <v>946.62</v>
      </c>
      <c r="O770" s="412" t="s">
        <v>729</v>
      </c>
      <c r="R770" s="414">
        <f>(C723)</f>
        <v>1183.82</v>
      </c>
      <c r="U770" s="417" t="s">
        <v>2416</v>
      </c>
      <c r="W770" s="413"/>
      <c r="X770" s="417" t="e">
        <f>X769/10</f>
        <v>#REF!</v>
      </c>
      <c r="AE770" s="414" t="str">
        <f t="shared" si="105"/>
        <v>|</v>
      </c>
      <c r="AG770" s="412" t="s">
        <v>1841</v>
      </c>
    </row>
    <row r="771" spans="1:33" ht="24" hidden="1" customHeight="1">
      <c r="A771" s="424">
        <f t="shared" si="110"/>
        <v>567</v>
      </c>
      <c r="B771" s="412" t="s">
        <v>730</v>
      </c>
      <c r="C771" s="414">
        <v>96.3</v>
      </c>
      <c r="D771" s="412" t="s">
        <v>1443</v>
      </c>
      <c r="F771" s="412" t="s">
        <v>790</v>
      </c>
      <c r="R771" s="418" t="s">
        <v>1676</v>
      </c>
      <c r="S771" s="416">
        <v>1</v>
      </c>
      <c r="T771" s="414" t="s">
        <v>1089</v>
      </c>
      <c r="U771" s="414" t="s">
        <v>2440</v>
      </c>
      <c r="V771" s="414">
        <f>V807</f>
        <v>94.2</v>
      </c>
      <c r="W771" s="413"/>
      <c r="X771" s="414">
        <f>V771</f>
        <v>94.2</v>
      </c>
      <c r="AE771" s="414" t="str">
        <f t="shared" si="105"/>
        <v>|</v>
      </c>
      <c r="AG771" s="412" t="s">
        <v>1841</v>
      </c>
    </row>
    <row r="772" spans="1:33" ht="24" customHeight="1">
      <c r="A772" s="424">
        <f t="shared" si="110"/>
        <v>568</v>
      </c>
      <c r="B772" s="412" t="s">
        <v>679</v>
      </c>
      <c r="C772" s="414">
        <v>51</v>
      </c>
      <c r="D772" s="412" t="s">
        <v>1395</v>
      </c>
      <c r="K772" s="418" t="s">
        <v>1676</v>
      </c>
      <c r="U772" s="414" t="s">
        <v>2417</v>
      </c>
      <c r="W772" s="413"/>
      <c r="X772" s="417" t="e">
        <f>SUM(X770:X771)</f>
        <v>#REF!</v>
      </c>
      <c r="AE772" s="414" t="str">
        <f t="shared" si="105"/>
        <v>|</v>
      </c>
      <c r="AG772" s="412" t="s">
        <v>1841</v>
      </c>
    </row>
    <row r="773" spans="1:33" ht="24" customHeight="1">
      <c r="A773" s="424">
        <f t="shared" si="110"/>
        <v>569</v>
      </c>
      <c r="B773" s="412" t="s">
        <v>448</v>
      </c>
      <c r="C773" s="414">
        <v>181</v>
      </c>
      <c r="D773" s="412" t="s">
        <v>628</v>
      </c>
      <c r="F773" s="413" t="s">
        <v>1214</v>
      </c>
      <c r="G773" s="414" t="s">
        <v>1833</v>
      </c>
      <c r="H773" s="412" t="s">
        <v>572</v>
      </c>
      <c r="N773" s="412" t="s">
        <v>1833</v>
      </c>
      <c r="O773" s="412" t="s">
        <v>450</v>
      </c>
      <c r="S773" s="444" t="s">
        <v>528</v>
      </c>
      <c r="U773" s="414" t="s">
        <v>2418</v>
      </c>
      <c r="V773" s="444" t="s">
        <v>528</v>
      </c>
      <c r="W773" s="413"/>
      <c r="X773" s="414" t="e">
        <f>X772*0.5%</f>
        <v>#REF!</v>
      </c>
      <c r="AE773" s="414" t="str">
        <f t="shared" si="105"/>
        <v>|</v>
      </c>
      <c r="AG773" s="412" t="s">
        <v>1841</v>
      </c>
    </row>
    <row r="774" spans="1:33" ht="24" customHeight="1">
      <c r="A774" s="424">
        <f t="shared" si="110"/>
        <v>570</v>
      </c>
      <c r="B774" s="412" t="s">
        <v>451</v>
      </c>
      <c r="C774" s="414">
        <v>36.200000000000003</v>
      </c>
      <c r="D774" s="412" t="s">
        <v>1443</v>
      </c>
      <c r="H774" s="412" t="s">
        <v>575</v>
      </c>
      <c r="O774" s="418" t="s">
        <v>1676</v>
      </c>
      <c r="P774" s="418" t="s">
        <v>1676</v>
      </c>
      <c r="Q774" s="418" t="s">
        <v>1676</v>
      </c>
      <c r="R774" s="412" t="s">
        <v>813</v>
      </c>
      <c r="U774" s="417" t="s">
        <v>2170</v>
      </c>
      <c r="W774" s="413"/>
      <c r="X774" s="417" t="e">
        <f>SUM(X772:X773)</f>
        <v>#REF!</v>
      </c>
      <c r="AE774" s="414" t="str">
        <f t="shared" si="105"/>
        <v>|</v>
      </c>
      <c r="AG774" s="412" t="s">
        <v>1841</v>
      </c>
    </row>
    <row r="775" spans="1:33" ht="24" customHeight="1">
      <c r="A775" s="424">
        <f t="shared" si="110"/>
        <v>571</v>
      </c>
      <c r="B775" s="412" t="s">
        <v>529</v>
      </c>
      <c r="C775" s="414">
        <v>98</v>
      </c>
      <c r="D775" s="412" t="s">
        <v>1395</v>
      </c>
      <c r="H775" s="412" t="s">
        <v>1852</v>
      </c>
      <c r="O775" s="412" t="s">
        <v>1167</v>
      </c>
      <c r="Q775" s="413" t="s">
        <v>669</v>
      </c>
      <c r="R775" s="414">
        <f>(C726)</f>
        <v>147.6</v>
      </c>
      <c r="W775" s="413"/>
      <c r="X775" s="418" t="s">
        <v>1288</v>
      </c>
      <c r="AE775" s="414" t="str">
        <f t="shared" si="105"/>
        <v>|</v>
      </c>
      <c r="AG775" s="412" t="s">
        <v>1841</v>
      </c>
    </row>
    <row r="776" spans="1:33" ht="24" customHeight="1">
      <c r="A776" s="424">
        <f t="shared" si="110"/>
        <v>572</v>
      </c>
      <c r="B776" s="412" t="s">
        <v>1594</v>
      </c>
      <c r="C776" s="414">
        <v>92</v>
      </c>
      <c r="D776" s="412" t="s">
        <v>1443</v>
      </c>
      <c r="H776" s="418" t="s">
        <v>1288</v>
      </c>
      <c r="O776" s="412" t="s">
        <v>1693</v>
      </c>
      <c r="U776" s="412" t="s">
        <v>307</v>
      </c>
      <c r="W776" s="413"/>
      <c r="X776" s="417" t="e">
        <f>(X774+C22)</f>
        <v>#REF!</v>
      </c>
      <c r="AE776" s="414" t="str">
        <f t="shared" si="105"/>
        <v>|::</v>
      </c>
      <c r="AG776" s="412" t="s">
        <v>246</v>
      </c>
    </row>
    <row r="777" spans="1:33" ht="24" customHeight="1">
      <c r="A777" s="424">
        <f t="shared" si="110"/>
        <v>573</v>
      </c>
      <c r="B777" s="412" t="s">
        <v>249</v>
      </c>
      <c r="C777" s="414">
        <v>49.42</v>
      </c>
      <c r="D777" s="412" t="s">
        <v>1395</v>
      </c>
      <c r="F777" s="414">
        <v>10</v>
      </c>
      <c r="G777" s="414" t="s">
        <v>488</v>
      </c>
      <c r="H777" s="412" t="s">
        <v>728</v>
      </c>
      <c r="I777" s="414">
        <f>(K757)*1.2</f>
        <v>550.16</v>
      </c>
      <c r="J777" s="412" t="s">
        <v>203</v>
      </c>
      <c r="K777" s="414">
        <f>(F777*I777)/10</f>
        <v>550.16</v>
      </c>
      <c r="O777" s="412" t="s">
        <v>250</v>
      </c>
      <c r="U777" s="412" t="s">
        <v>309</v>
      </c>
      <c r="W777" s="413"/>
      <c r="X777" s="417" t="e">
        <f>(X776+C24)</f>
        <v>#REF!</v>
      </c>
      <c r="AE777" s="414">
        <f t="shared" si="105"/>
        <v>0</v>
      </c>
    </row>
    <row r="778" spans="1:33" ht="24" customHeight="1">
      <c r="A778" s="424">
        <f t="shared" si="110"/>
        <v>574</v>
      </c>
      <c r="B778" s="412" t="s">
        <v>571</v>
      </c>
      <c r="C778" s="414">
        <v>53.2</v>
      </c>
      <c r="D778" s="412" t="s">
        <v>1395</v>
      </c>
      <c r="H778" s="412" t="s">
        <v>731</v>
      </c>
      <c r="O778" s="412" t="s">
        <v>848</v>
      </c>
      <c r="U778" s="412" t="s">
        <v>1818</v>
      </c>
      <c r="W778" s="413"/>
      <c r="X778" s="417" t="e">
        <f>(X777+C24)</f>
        <v>#REF!</v>
      </c>
      <c r="AE778" s="414">
        <f t="shared" si="105"/>
        <v>0</v>
      </c>
    </row>
    <row r="779" spans="1:33" ht="24" customHeight="1">
      <c r="A779" s="424">
        <f t="shared" si="110"/>
        <v>575</v>
      </c>
      <c r="B779" s="412" t="s">
        <v>849</v>
      </c>
      <c r="C779" s="414">
        <v>59</v>
      </c>
      <c r="D779" s="412" t="s">
        <v>1395</v>
      </c>
      <c r="H779" s="412" t="s">
        <v>680</v>
      </c>
      <c r="O779" s="412" t="s">
        <v>891</v>
      </c>
      <c r="U779" s="412" t="s">
        <v>301</v>
      </c>
      <c r="W779" s="413"/>
      <c r="X779" s="417" t="e">
        <f>(X778+C24)</f>
        <v>#REF!</v>
      </c>
      <c r="AE779" s="414" t="str">
        <f t="shared" si="105"/>
        <v>|</v>
      </c>
      <c r="AG779" s="412" t="s">
        <v>1841</v>
      </c>
    </row>
    <row r="780" spans="1:33" ht="24" customHeight="1">
      <c r="A780" s="424">
        <f t="shared" si="110"/>
        <v>576</v>
      </c>
      <c r="B780" s="412" t="s">
        <v>776</v>
      </c>
      <c r="C780" s="414">
        <v>100</v>
      </c>
      <c r="D780" s="412" t="s">
        <v>1395</v>
      </c>
      <c r="F780" s="414">
        <v>10</v>
      </c>
      <c r="G780" s="414" t="s">
        <v>488</v>
      </c>
      <c r="H780" s="412" t="s">
        <v>449</v>
      </c>
      <c r="I780" s="414">
        <f>K759*1.2</f>
        <v>446.4</v>
      </c>
      <c r="J780" s="412" t="s">
        <v>203</v>
      </c>
      <c r="K780" s="414">
        <f>(F780*I780)/10</f>
        <v>446.4</v>
      </c>
      <c r="O780" s="412" t="s">
        <v>899</v>
      </c>
      <c r="R780" s="412" t="s">
        <v>790</v>
      </c>
      <c r="U780" s="412" t="s">
        <v>1244</v>
      </c>
      <c r="W780" s="413"/>
      <c r="X780" s="417" t="e">
        <f>(X779+C$24)</f>
        <v>#REF!</v>
      </c>
      <c r="AE780" s="414">
        <f t="shared" si="105"/>
        <v>0</v>
      </c>
    </row>
    <row r="781" spans="1:33" ht="24" customHeight="1">
      <c r="A781" s="424">
        <f t="shared" si="110"/>
        <v>577</v>
      </c>
      <c r="B781" s="412" t="s">
        <v>900</v>
      </c>
      <c r="C781" s="414">
        <v>49.52</v>
      </c>
      <c r="D781" s="412" t="s">
        <v>1443</v>
      </c>
      <c r="H781" s="412" t="s">
        <v>812</v>
      </c>
      <c r="O781" s="412" t="s">
        <v>790</v>
      </c>
      <c r="W781" s="413"/>
      <c r="X781" s="417" t="e">
        <f>(X780+C$24)</f>
        <v>#REF!</v>
      </c>
      <c r="AE781" s="414" t="str">
        <f t="shared" si="105"/>
        <v>|</v>
      </c>
      <c r="AG781" s="412" t="s">
        <v>1841</v>
      </c>
    </row>
    <row r="782" spans="1:33" ht="24" customHeight="1">
      <c r="A782" s="424">
        <f t="shared" si="110"/>
        <v>578</v>
      </c>
      <c r="B782" s="412" t="s">
        <v>1732</v>
      </c>
      <c r="C782" s="414">
        <v>1080</v>
      </c>
      <c r="D782" s="412" t="s">
        <v>1395</v>
      </c>
      <c r="H782" s="412" t="s">
        <v>661</v>
      </c>
      <c r="W782" s="413"/>
      <c r="X782" s="417" t="e">
        <f>(X781+C$24)</f>
        <v>#REF!</v>
      </c>
      <c r="AE782" s="414" t="str">
        <f t="shared" si="105"/>
        <v>|</v>
      </c>
      <c r="AG782" s="412" t="s">
        <v>1841</v>
      </c>
    </row>
    <row r="783" spans="1:33" ht="24" customHeight="1">
      <c r="A783" s="424">
        <f t="shared" si="110"/>
        <v>579</v>
      </c>
      <c r="B783" s="412" t="s">
        <v>2569</v>
      </c>
      <c r="C783" s="414">
        <v>387.4</v>
      </c>
      <c r="D783" s="412" t="s">
        <v>488</v>
      </c>
      <c r="F783" s="414">
        <v>98.5</v>
      </c>
      <c r="G783" s="414" t="s">
        <v>669</v>
      </c>
      <c r="H783" s="412" t="s">
        <v>670</v>
      </c>
      <c r="I783" s="414">
        <f>C270/5</f>
        <v>5.04</v>
      </c>
      <c r="J783" s="412" t="s">
        <v>203</v>
      </c>
      <c r="K783" s="414">
        <f t="shared" ref="K783:K789" si="111">(F783*I783)</f>
        <v>496.44</v>
      </c>
      <c r="N783" s="412" t="s">
        <v>1833</v>
      </c>
      <c r="O783" s="412" t="s">
        <v>1734</v>
      </c>
      <c r="Q783" s="413" t="s">
        <v>1861</v>
      </c>
      <c r="R783" s="414">
        <f>(C730)</f>
        <v>1250</v>
      </c>
      <c r="W783" s="413"/>
      <c r="X783" s="417" t="e">
        <f>(X782+C$24)</f>
        <v>#REF!</v>
      </c>
      <c r="AE783" s="414" t="str">
        <f t="shared" si="105"/>
        <v>|</v>
      </c>
      <c r="AG783" s="412" t="s">
        <v>1841</v>
      </c>
    </row>
    <row r="784" spans="1:33" ht="24" customHeight="1">
      <c r="A784" s="424" t="e">
        <f>(#REF!+1)</f>
        <v>#REF!</v>
      </c>
      <c r="B784" s="412" t="s">
        <v>1133</v>
      </c>
      <c r="F784" s="414">
        <v>3.8</v>
      </c>
      <c r="G784" s="414" t="s">
        <v>619</v>
      </c>
      <c r="H784" s="412" t="s">
        <v>400</v>
      </c>
      <c r="I784" s="414">
        <f>(C16)</f>
        <v>976</v>
      </c>
      <c r="J784" s="412" t="s">
        <v>619</v>
      </c>
      <c r="K784" s="414">
        <f t="shared" si="111"/>
        <v>3708.8</v>
      </c>
      <c r="O784" s="412" t="s">
        <v>1372</v>
      </c>
      <c r="W784" s="413"/>
      <c r="AE784" s="414" t="str">
        <f t="shared" si="105"/>
        <v>|</v>
      </c>
      <c r="AG784" s="412" t="s">
        <v>1841</v>
      </c>
    </row>
    <row r="785" spans="1:33" ht="24" customHeight="1">
      <c r="A785" s="424"/>
      <c r="B785" s="412" t="s">
        <v>1773</v>
      </c>
      <c r="C785" s="414">
        <v>300</v>
      </c>
      <c r="F785" s="414">
        <v>5.4</v>
      </c>
      <c r="G785" s="414" t="s">
        <v>619</v>
      </c>
      <c r="H785" s="412" t="s">
        <v>1550</v>
      </c>
      <c r="I785" s="414">
        <f>(C12)</f>
        <v>651</v>
      </c>
      <c r="J785" s="412" t="s">
        <v>619</v>
      </c>
      <c r="K785" s="414">
        <f t="shared" si="111"/>
        <v>3515.4</v>
      </c>
      <c r="O785" s="412" t="s">
        <v>243</v>
      </c>
      <c r="W785" s="413"/>
      <c r="AE785" s="414" t="str">
        <f t="shared" si="105"/>
        <v>|</v>
      </c>
      <c r="AG785" s="412" t="s">
        <v>1841</v>
      </c>
    </row>
    <row r="786" spans="1:33" ht="24" customHeight="1">
      <c r="A786" s="424"/>
      <c r="B786" s="413" t="s">
        <v>622</v>
      </c>
      <c r="C786" s="414">
        <v>302</v>
      </c>
      <c r="F786" s="414">
        <v>1</v>
      </c>
      <c r="G786" s="414" t="s">
        <v>619</v>
      </c>
      <c r="H786" s="412" t="s">
        <v>1864</v>
      </c>
      <c r="I786" s="414">
        <f>C66</f>
        <v>856</v>
      </c>
      <c r="J786" s="412" t="s">
        <v>1134</v>
      </c>
      <c r="K786" s="414">
        <f t="shared" si="111"/>
        <v>856</v>
      </c>
      <c r="O786" s="412" t="s">
        <v>1033</v>
      </c>
      <c r="W786" s="413"/>
      <c r="AE786" s="414" t="str">
        <f t="shared" si="105"/>
        <v>|</v>
      </c>
      <c r="AG786" s="412" t="s">
        <v>1841</v>
      </c>
    </row>
    <row r="787" spans="1:33" ht="24" customHeight="1">
      <c r="A787" s="424"/>
      <c r="B787" s="412" t="s">
        <v>1034</v>
      </c>
      <c r="C787" s="414">
        <v>324</v>
      </c>
      <c r="F787" s="414">
        <v>1</v>
      </c>
      <c r="G787" s="414" t="s">
        <v>358</v>
      </c>
      <c r="H787" s="412" t="s">
        <v>777</v>
      </c>
      <c r="I787" s="414">
        <f>I761</f>
        <v>11</v>
      </c>
      <c r="J787" s="412" t="s">
        <v>1134</v>
      </c>
      <c r="K787" s="414">
        <f t="shared" si="111"/>
        <v>11</v>
      </c>
      <c r="W787" s="413"/>
      <c r="AE787" s="414" t="str">
        <f t="shared" si="105"/>
        <v>|</v>
      </c>
      <c r="AG787" s="412" t="s">
        <v>1841</v>
      </c>
    </row>
    <row r="788" spans="1:33" ht="24" customHeight="1">
      <c r="A788" s="424"/>
      <c r="B788" s="412" t="s">
        <v>624</v>
      </c>
      <c r="C788" s="414">
        <v>382</v>
      </c>
      <c r="F788" s="414">
        <v>1</v>
      </c>
      <c r="G788" s="414" t="s">
        <v>358</v>
      </c>
      <c r="H788" s="412" t="s">
        <v>1057</v>
      </c>
      <c r="I788" s="414">
        <v>10</v>
      </c>
      <c r="J788" s="412" t="s">
        <v>358</v>
      </c>
      <c r="K788" s="414">
        <f t="shared" si="111"/>
        <v>10</v>
      </c>
      <c r="N788" s="412" t="s">
        <v>1833</v>
      </c>
      <c r="O788" s="412" t="s">
        <v>483</v>
      </c>
      <c r="W788" s="413"/>
      <c r="AE788" s="414" t="str">
        <f t="shared" si="105"/>
        <v>|</v>
      </c>
      <c r="AG788" s="412" t="s">
        <v>1841</v>
      </c>
    </row>
    <row r="789" spans="1:33" ht="24" customHeight="1">
      <c r="A789" s="424"/>
      <c r="B789" s="412" t="s">
        <v>491</v>
      </c>
      <c r="C789" s="414">
        <v>505</v>
      </c>
      <c r="F789" s="414">
        <v>19</v>
      </c>
      <c r="G789" s="414" t="s">
        <v>1166</v>
      </c>
      <c r="H789" s="412" t="s">
        <v>1733</v>
      </c>
      <c r="I789" s="414">
        <v>2</v>
      </c>
      <c r="J789" s="412" t="s">
        <v>1166</v>
      </c>
      <c r="K789" s="414">
        <f t="shared" si="111"/>
        <v>38</v>
      </c>
      <c r="O789" s="412" t="s">
        <v>2487</v>
      </c>
      <c r="R789" s="412" t="s">
        <v>790</v>
      </c>
      <c r="W789" s="413"/>
      <c r="AE789" s="414" t="str">
        <f t="shared" si="105"/>
        <v>|</v>
      </c>
      <c r="AG789" s="412" t="s">
        <v>1841</v>
      </c>
    </row>
    <row r="790" spans="1:33" ht="24" customHeight="1">
      <c r="A790" s="424"/>
      <c r="B790" s="412" t="s">
        <v>462</v>
      </c>
      <c r="C790" s="414">
        <v>140</v>
      </c>
      <c r="H790" s="412" t="s">
        <v>56</v>
      </c>
      <c r="O790" s="412" t="s">
        <v>1699</v>
      </c>
      <c r="W790" s="413"/>
      <c r="AE790" s="414" t="str">
        <f t="shared" si="105"/>
        <v>|</v>
      </c>
      <c r="AG790" s="412" t="s">
        <v>1841</v>
      </c>
    </row>
    <row r="791" spans="1:33" ht="24" customHeight="1">
      <c r="A791" s="424"/>
      <c r="B791" s="412" t="s">
        <v>678</v>
      </c>
      <c r="C791" s="414">
        <v>222</v>
      </c>
      <c r="K791" s="418" t="s">
        <v>1288</v>
      </c>
      <c r="O791" s="418" t="s">
        <v>1288</v>
      </c>
      <c r="W791" s="413"/>
      <c r="AE791" s="414" t="str">
        <f t="shared" si="105"/>
        <v>|</v>
      </c>
      <c r="AG791" s="412" t="s">
        <v>1841</v>
      </c>
    </row>
    <row r="792" spans="1:33" ht="24" customHeight="1">
      <c r="A792" s="424"/>
      <c r="B792" s="412" t="s">
        <v>585</v>
      </c>
      <c r="C792" s="414">
        <v>100</v>
      </c>
      <c r="H792" s="412" t="s">
        <v>351</v>
      </c>
      <c r="K792" s="414">
        <f>SUM(K777:K790)</f>
        <v>9632.2000000000007</v>
      </c>
      <c r="N792" s="412" t="s">
        <v>184</v>
      </c>
      <c r="O792" s="412" t="s">
        <v>2486</v>
      </c>
      <c r="P792" s="414">
        <f>(C272)</f>
        <v>306.89999999999998</v>
      </c>
      <c r="Q792" s="412" t="s">
        <v>184</v>
      </c>
      <c r="R792" s="414">
        <f>M792*P792</f>
        <v>0</v>
      </c>
      <c r="W792" s="413"/>
      <c r="AE792" s="414" t="str">
        <f t="shared" si="105"/>
        <v>|</v>
      </c>
      <c r="AG792" s="412" t="s">
        <v>1841</v>
      </c>
    </row>
    <row r="793" spans="1:33" ht="24" customHeight="1">
      <c r="A793" s="424"/>
      <c r="B793" s="412" t="s">
        <v>397</v>
      </c>
      <c r="C793" s="414">
        <v>75</v>
      </c>
      <c r="K793" s="418" t="s">
        <v>1288</v>
      </c>
      <c r="W793" s="413"/>
      <c r="AE793" s="414" t="str">
        <f t="shared" si="105"/>
        <v>|</v>
      </c>
      <c r="AG793" s="412" t="s">
        <v>1841</v>
      </c>
    </row>
    <row r="794" spans="1:33" ht="24" customHeight="1">
      <c r="A794" s="424"/>
      <c r="B794" s="412" t="s">
        <v>943</v>
      </c>
      <c r="C794" s="414">
        <v>218</v>
      </c>
      <c r="H794" s="412" t="s">
        <v>447</v>
      </c>
      <c r="K794" s="414">
        <f>(K792/10)</f>
        <v>963.22</v>
      </c>
      <c r="N794" s="412" t="s">
        <v>945</v>
      </c>
      <c r="O794" s="412" t="s">
        <v>214</v>
      </c>
      <c r="P794" s="414">
        <f>(C16)</f>
        <v>976</v>
      </c>
      <c r="Q794" s="412" t="s">
        <v>945</v>
      </c>
      <c r="R794" s="414">
        <f>M794*P794</f>
        <v>0</v>
      </c>
      <c r="W794" s="413"/>
      <c r="AE794" s="414" t="str">
        <f t="shared" si="105"/>
        <v>|</v>
      </c>
      <c r="AG794" s="412" t="s">
        <v>1841</v>
      </c>
    </row>
    <row r="795" spans="1:33" ht="24" customHeight="1">
      <c r="A795" s="424"/>
      <c r="B795" s="412" t="s">
        <v>215</v>
      </c>
      <c r="C795" s="414">
        <v>1854</v>
      </c>
      <c r="K795" s="418" t="s">
        <v>1676</v>
      </c>
      <c r="W795" s="413"/>
      <c r="AE795" s="414" t="str">
        <f t="shared" si="105"/>
        <v>|</v>
      </c>
      <c r="AG795" s="412" t="s">
        <v>1841</v>
      </c>
    </row>
    <row r="796" spans="1:33" ht="24" customHeight="1">
      <c r="A796" s="424"/>
      <c r="B796" s="412" t="s">
        <v>133</v>
      </c>
      <c r="C796" s="414">
        <v>51</v>
      </c>
      <c r="O796" s="412" t="s">
        <v>1077</v>
      </c>
      <c r="P796" s="423" t="s">
        <v>358</v>
      </c>
      <c r="R796" s="414">
        <v>0.64</v>
      </c>
      <c r="W796" s="413"/>
      <c r="AE796" s="414" t="str">
        <f t="shared" si="105"/>
        <v>|</v>
      </c>
      <c r="AG796" s="412" t="s">
        <v>1841</v>
      </c>
    </row>
    <row r="797" spans="1:33" ht="24" customHeight="1">
      <c r="A797" s="424"/>
      <c r="B797" s="412" t="s">
        <v>1122</v>
      </c>
      <c r="C797" s="414">
        <v>915</v>
      </c>
      <c r="F797" s="413" t="s">
        <v>716</v>
      </c>
      <c r="G797" s="414" t="s">
        <v>1833</v>
      </c>
      <c r="H797" s="412" t="s">
        <v>572</v>
      </c>
      <c r="R797" s="418" t="s">
        <v>1288</v>
      </c>
      <c r="W797" s="413"/>
      <c r="AE797" s="414" t="str">
        <f t="shared" si="105"/>
        <v>|</v>
      </c>
      <c r="AG797" s="412" t="s">
        <v>1841</v>
      </c>
    </row>
    <row r="798" spans="1:33" ht="24" customHeight="1">
      <c r="A798" s="424"/>
      <c r="B798" s="412" t="s">
        <v>104</v>
      </c>
      <c r="C798" s="414">
        <v>890</v>
      </c>
      <c r="H798" s="412" t="s">
        <v>575</v>
      </c>
      <c r="O798" s="412" t="s">
        <v>1572</v>
      </c>
      <c r="R798" s="414">
        <f>SUM(R792:R796)</f>
        <v>0.64</v>
      </c>
      <c r="W798" s="413"/>
      <c r="AE798" s="414" t="str">
        <f t="shared" si="105"/>
        <v>|</v>
      </c>
      <c r="AG798" s="412" t="s">
        <v>1841</v>
      </c>
    </row>
    <row r="799" spans="1:33" ht="24" customHeight="1">
      <c r="A799" s="424"/>
      <c r="B799" s="412" t="s">
        <v>1573</v>
      </c>
      <c r="C799" s="414">
        <v>5.15</v>
      </c>
      <c r="H799" s="412" t="s">
        <v>217</v>
      </c>
      <c r="R799" s="418" t="s">
        <v>1288</v>
      </c>
      <c r="U799" s="417" t="s">
        <v>2084</v>
      </c>
      <c r="W799" s="413"/>
      <c r="AE799" s="414" t="str">
        <f t="shared" si="105"/>
        <v>|</v>
      </c>
      <c r="AG799" s="412" t="s">
        <v>1841</v>
      </c>
    </row>
    <row r="800" spans="1:33" ht="24" customHeight="1">
      <c r="A800" s="424"/>
      <c r="B800" s="412" t="s">
        <v>1145</v>
      </c>
      <c r="C800" s="414">
        <v>43.3</v>
      </c>
      <c r="H800" s="418" t="s">
        <v>1288</v>
      </c>
      <c r="O800" s="412" t="s">
        <v>1147</v>
      </c>
      <c r="R800" s="414">
        <f>(R798/0.4)</f>
        <v>1.6</v>
      </c>
      <c r="S800" s="416">
        <v>0.443</v>
      </c>
      <c r="T800" s="414" t="s">
        <v>1089</v>
      </c>
      <c r="U800" s="414" t="s">
        <v>2077</v>
      </c>
      <c r="V800" s="414" t="e">
        <f>AC14</f>
        <v>#REF!</v>
      </c>
      <c r="W800" s="413"/>
      <c r="X800" s="414" t="e">
        <f>V800*S800</f>
        <v>#REF!</v>
      </c>
      <c r="AE800" s="414" t="str">
        <f t="shared" si="105"/>
        <v>|</v>
      </c>
      <c r="AG800" s="412" t="s">
        <v>1841</v>
      </c>
    </row>
    <row r="801" spans="1:33" ht="24" customHeight="1">
      <c r="A801" s="424"/>
      <c r="B801" s="412" t="s">
        <v>59</v>
      </c>
      <c r="C801" s="414">
        <v>920</v>
      </c>
      <c r="H801" s="412" t="s">
        <v>944</v>
      </c>
      <c r="K801" s="414">
        <f>(K732/2)</f>
        <v>475.28</v>
      </c>
      <c r="R801" s="418" t="s">
        <v>1676</v>
      </c>
      <c r="S801" s="416">
        <v>0.29499999999999998</v>
      </c>
      <c r="T801" s="414" t="s">
        <v>1089</v>
      </c>
      <c r="U801" s="414" t="s">
        <v>2078</v>
      </c>
      <c r="V801" s="414" t="e">
        <f>AC12</f>
        <v>#REF!</v>
      </c>
      <c r="W801" s="413"/>
      <c r="X801" s="414" t="e">
        <f t="shared" ref="X801:X807" si="112">V801*S801</f>
        <v>#REF!</v>
      </c>
      <c r="AE801" s="414" t="str">
        <f t="shared" si="105"/>
        <v>|</v>
      </c>
      <c r="AG801" s="412" t="s">
        <v>1841</v>
      </c>
    </row>
    <row r="802" spans="1:33" ht="24" customHeight="1">
      <c r="A802" s="424"/>
      <c r="B802" s="412" t="s">
        <v>60</v>
      </c>
      <c r="C802" s="414">
        <v>98</v>
      </c>
      <c r="H802" s="412" t="s">
        <v>216</v>
      </c>
      <c r="K802" s="418" t="s">
        <v>1676</v>
      </c>
      <c r="N802" s="412"/>
      <c r="O802" s="412"/>
      <c r="S802" s="416">
        <v>0.43</v>
      </c>
      <c r="T802" s="414" t="s">
        <v>1089</v>
      </c>
      <c r="U802" s="414" t="s">
        <v>861</v>
      </c>
      <c r="V802" s="414" t="e">
        <f>I809</f>
        <v>#REF!</v>
      </c>
      <c r="W802" s="413"/>
      <c r="X802" s="414" t="e">
        <f t="shared" si="112"/>
        <v>#REF!</v>
      </c>
      <c r="AE802" s="414" t="str">
        <f t="shared" si="105"/>
        <v>|</v>
      </c>
      <c r="AG802" s="412" t="s">
        <v>1841</v>
      </c>
    </row>
    <row r="803" spans="1:33" ht="24" customHeight="1">
      <c r="A803" s="424"/>
      <c r="B803" s="412" t="s">
        <v>1723</v>
      </c>
      <c r="C803" s="414">
        <v>181</v>
      </c>
      <c r="F803" s="413" t="s">
        <v>134</v>
      </c>
      <c r="G803" s="414" t="s">
        <v>1833</v>
      </c>
      <c r="H803" s="412" t="s">
        <v>135</v>
      </c>
      <c r="O803" s="412"/>
      <c r="S803" s="416">
        <v>0.39</v>
      </c>
      <c r="T803" s="414" t="s">
        <v>427</v>
      </c>
      <c r="U803" s="414" t="s">
        <v>310</v>
      </c>
      <c r="V803" s="414" t="e">
        <f>I808</f>
        <v>#REF!</v>
      </c>
      <c r="W803" s="413"/>
      <c r="X803" s="414" t="e">
        <f t="shared" si="112"/>
        <v>#REF!</v>
      </c>
      <c r="AE803" s="414" t="str">
        <f t="shared" si="105"/>
        <v>|</v>
      </c>
      <c r="AG803" s="412" t="s">
        <v>1841</v>
      </c>
    </row>
    <row r="804" spans="1:33" ht="24" customHeight="1">
      <c r="A804" s="424"/>
      <c r="B804" s="412" t="s">
        <v>70</v>
      </c>
      <c r="C804" s="414">
        <v>1148.76</v>
      </c>
      <c r="H804" s="412" t="s">
        <v>1123</v>
      </c>
      <c r="O804" s="412"/>
      <c r="S804" s="416">
        <v>0.35</v>
      </c>
      <c r="T804" s="414" t="s">
        <v>1166</v>
      </c>
      <c r="U804" s="414" t="s">
        <v>374</v>
      </c>
      <c r="V804" s="414">
        <f>I810</f>
        <v>932</v>
      </c>
      <c r="W804" s="413" t="str">
        <f>J810</f>
        <v>NO.</v>
      </c>
      <c r="X804" s="414">
        <f t="shared" si="112"/>
        <v>326.2</v>
      </c>
      <c r="AE804" s="414" t="str">
        <f t="shared" si="105"/>
        <v>|</v>
      </c>
      <c r="AG804" s="412" t="s">
        <v>1841</v>
      </c>
    </row>
    <row r="805" spans="1:33" ht="24" customHeight="1">
      <c r="A805" s="424"/>
      <c r="B805" s="412" t="s">
        <v>1256</v>
      </c>
      <c r="C805" s="414">
        <v>967</v>
      </c>
      <c r="H805" s="412" t="s">
        <v>105</v>
      </c>
      <c r="O805" s="418"/>
      <c r="S805" s="416">
        <v>2.12</v>
      </c>
      <c r="T805" s="414" t="s">
        <v>1166</v>
      </c>
      <c r="U805" s="414" t="s">
        <v>2079</v>
      </c>
      <c r="V805" s="414">
        <f>I811</f>
        <v>651</v>
      </c>
      <c r="W805" s="413"/>
      <c r="X805" s="414">
        <f t="shared" si="112"/>
        <v>1380.12</v>
      </c>
      <c r="AE805" s="414" t="str">
        <f t="shared" si="105"/>
        <v>|</v>
      </c>
      <c r="AG805" s="412" t="s">
        <v>1841</v>
      </c>
    </row>
    <row r="806" spans="1:33" ht="24" customHeight="1">
      <c r="A806" s="424"/>
      <c r="B806" s="412" t="s">
        <v>4318</v>
      </c>
      <c r="C806" s="414">
        <v>33.9</v>
      </c>
      <c r="H806" s="418" t="s">
        <v>1288</v>
      </c>
      <c r="N806" s="423"/>
      <c r="O806" s="412"/>
      <c r="S806" s="416">
        <v>3.53</v>
      </c>
      <c r="T806" s="414" t="s">
        <v>1166</v>
      </c>
      <c r="U806" s="414" t="s">
        <v>2080</v>
      </c>
      <c r="V806" s="414">
        <f>I812</f>
        <v>534</v>
      </c>
      <c r="W806" s="413"/>
      <c r="X806" s="414">
        <f t="shared" si="112"/>
        <v>1885.02</v>
      </c>
      <c r="AE806" s="414" t="str">
        <f t="shared" si="105"/>
        <v>|</v>
      </c>
      <c r="AG806" s="412" t="s">
        <v>1841</v>
      </c>
    </row>
    <row r="807" spans="1:33" ht="24" customHeight="1">
      <c r="A807" s="424"/>
      <c r="B807" s="412" t="s">
        <v>1437</v>
      </c>
      <c r="C807" s="414">
        <v>2107</v>
      </c>
      <c r="F807" s="416">
        <v>9</v>
      </c>
      <c r="G807" s="414" t="s">
        <v>702</v>
      </c>
      <c r="H807" s="412" t="s">
        <v>1146</v>
      </c>
      <c r="I807" s="414" t="e">
        <f>C73</f>
        <v>#REF!</v>
      </c>
      <c r="J807" s="412" t="s">
        <v>702</v>
      </c>
      <c r="K807" s="414" t="e">
        <f t="shared" ref="K807:K812" si="113">F807*I807</f>
        <v>#REF!</v>
      </c>
      <c r="O807" s="412"/>
      <c r="S807" s="416">
        <v>1</v>
      </c>
      <c r="T807" s="414" t="s">
        <v>1089</v>
      </c>
      <c r="U807" s="414" t="s">
        <v>2081</v>
      </c>
      <c r="V807" s="414">
        <f>K819</f>
        <v>94.2</v>
      </c>
      <c r="W807" s="413"/>
      <c r="X807" s="414">
        <f t="shared" si="112"/>
        <v>94.2</v>
      </c>
      <c r="AE807" s="414" t="str">
        <f t="shared" si="105"/>
        <v>|</v>
      </c>
      <c r="AG807" s="412" t="s">
        <v>1841</v>
      </c>
    </row>
    <row r="808" spans="1:33" ht="24" customHeight="1">
      <c r="A808" s="424"/>
      <c r="B808" s="412" t="s">
        <v>3175</v>
      </c>
      <c r="C808" s="414">
        <v>940</v>
      </c>
      <c r="F808" s="416">
        <v>4.3079999999999998</v>
      </c>
      <c r="G808" s="414" t="s">
        <v>694</v>
      </c>
      <c r="H808" s="412" t="s">
        <v>695</v>
      </c>
      <c r="I808" s="414" t="e">
        <f>C67</f>
        <v>#REF!</v>
      </c>
      <c r="J808" s="412" t="s">
        <v>694</v>
      </c>
      <c r="K808" s="414" t="e">
        <f t="shared" si="113"/>
        <v>#REF!</v>
      </c>
      <c r="N808" s="412"/>
      <c r="O808" s="412"/>
      <c r="S808" s="444" t="s">
        <v>528</v>
      </c>
      <c r="U808" s="414" t="s">
        <v>2082</v>
      </c>
      <c r="V808" s="444" t="s">
        <v>528</v>
      </c>
      <c r="W808" s="413"/>
      <c r="X808" s="414">
        <v>270</v>
      </c>
      <c r="AE808" s="414" t="str">
        <f t="shared" si="105"/>
        <v>|</v>
      </c>
      <c r="AG808" s="412" t="s">
        <v>1841</v>
      </c>
    </row>
    <row r="809" spans="1:33" ht="24" customHeight="1">
      <c r="A809" s="424"/>
      <c r="B809" s="412" t="s">
        <v>2846</v>
      </c>
      <c r="C809" s="414">
        <v>826</v>
      </c>
      <c r="F809" s="416">
        <v>4.5</v>
      </c>
      <c r="G809" s="414" t="s">
        <v>702</v>
      </c>
      <c r="H809" s="412" t="s">
        <v>703</v>
      </c>
      <c r="I809" s="414" t="e">
        <f>C78</f>
        <v>#REF!</v>
      </c>
      <c r="J809" s="412" t="s">
        <v>702</v>
      </c>
      <c r="K809" s="414" t="e">
        <f t="shared" si="113"/>
        <v>#REF!</v>
      </c>
      <c r="O809" s="412"/>
      <c r="S809" s="444" t="s">
        <v>528</v>
      </c>
      <c r="U809" s="414" t="s">
        <v>2083</v>
      </c>
      <c r="V809" s="444" t="s">
        <v>528</v>
      </c>
      <c r="W809" s="413"/>
      <c r="X809" s="414">
        <v>150</v>
      </c>
      <c r="AE809" s="414" t="str">
        <f t="shared" si="105"/>
        <v>|</v>
      </c>
      <c r="AG809" s="412" t="s">
        <v>1841</v>
      </c>
    </row>
    <row r="810" spans="1:33" ht="24" customHeight="1">
      <c r="A810" s="424"/>
      <c r="B810" s="412" t="s">
        <v>2847</v>
      </c>
      <c r="C810" s="414">
        <v>644</v>
      </c>
      <c r="F810" s="416">
        <v>3.5</v>
      </c>
      <c r="G810" s="414" t="s">
        <v>701</v>
      </c>
      <c r="H810" s="412" t="s">
        <v>1392</v>
      </c>
      <c r="I810" s="414">
        <f>C11</f>
        <v>932</v>
      </c>
      <c r="J810" s="412" t="s">
        <v>701</v>
      </c>
      <c r="K810" s="414">
        <f t="shared" si="113"/>
        <v>3262</v>
      </c>
      <c r="O810" s="412"/>
      <c r="S810" s="444" t="s">
        <v>528</v>
      </c>
      <c r="U810" s="414" t="s">
        <v>1850</v>
      </c>
      <c r="V810" s="444" t="s">
        <v>528</v>
      </c>
      <c r="W810" s="413"/>
      <c r="X810" s="414">
        <v>0.06</v>
      </c>
      <c r="AE810" s="414" t="str">
        <f t="shared" si="105"/>
        <v>|</v>
      </c>
      <c r="AG810" s="412" t="s">
        <v>1841</v>
      </c>
    </row>
    <row r="811" spans="1:33" ht="24" customHeight="1">
      <c r="A811" s="424"/>
      <c r="F811" s="416">
        <v>21.2</v>
      </c>
      <c r="G811" s="414" t="s">
        <v>701</v>
      </c>
      <c r="H811" s="412" t="s">
        <v>1550</v>
      </c>
      <c r="I811" s="414">
        <f>C12</f>
        <v>651</v>
      </c>
      <c r="J811" s="412" t="s">
        <v>701</v>
      </c>
      <c r="K811" s="414">
        <f t="shared" si="113"/>
        <v>13801.2</v>
      </c>
      <c r="N811" s="412"/>
      <c r="O811" s="412"/>
      <c r="W811" s="413"/>
      <c r="X811" s="417" t="e">
        <f>SUM(X800:X810)</f>
        <v>#REF!</v>
      </c>
      <c r="Y811" s="414">
        <v>59.4</v>
      </c>
      <c r="Z811" s="414">
        <v>117</v>
      </c>
      <c r="AE811" s="414" t="str">
        <f t="shared" si="105"/>
        <v>|</v>
      </c>
      <c r="AG811" s="412" t="s">
        <v>1841</v>
      </c>
    </row>
    <row r="812" spans="1:33" ht="24" customHeight="1">
      <c r="A812" s="424"/>
      <c r="B812" s="412" t="s">
        <v>2330</v>
      </c>
      <c r="C812" s="414">
        <v>3.15</v>
      </c>
      <c r="F812" s="416">
        <v>35.299999999999997</v>
      </c>
      <c r="G812" s="414" t="s">
        <v>701</v>
      </c>
      <c r="H812" s="412" t="s">
        <v>245</v>
      </c>
      <c r="I812" s="414">
        <f>C13</f>
        <v>534</v>
      </c>
      <c r="J812" s="412" t="s">
        <v>701</v>
      </c>
      <c r="K812" s="414">
        <f t="shared" si="113"/>
        <v>18850.2</v>
      </c>
      <c r="N812" s="412"/>
      <c r="O812" s="412"/>
      <c r="W812" s="413"/>
      <c r="AE812" s="414" t="str">
        <f t="shared" si="105"/>
        <v>|</v>
      </c>
      <c r="AG812" s="412" t="s">
        <v>1841</v>
      </c>
    </row>
    <row r="813" spans="1:33" ht="24" customHeight="1">
      <c r="A813" s="424"/>
      <c r="F813" s="423" t="s">
        <v>358</v>
      </c>
      <c r="H813" s="412" t="s">
        <v>359</v>
      </c>
      <c r="J813" s="412" t="s">
        <v>358</v>
      </c>
      <c r="K813" s="414">
        <v>0</v>
      </c>
      <c r="N813" s="412"/>
      <c r="O813" s="412"/>
      <c r="W813" s="413"/>
      <c r="AE813" s="414" t="str">
        <f t="shared" ref="AE813:AE876" si="114">AG813</f>
        <v>|</v>
      </c>
      <c r="AG813" s="412" t="s">
        <v>1841</v>
      </c>
    </row>
    <row r="814" spans="1:33" ht="24" customHeight="1">
      <c r="A814" s="424"/>
      <c r="B814" s="412" t="s">
        <v>2848</v>
      </c>
      <c r="C814" s="414">
        <v>8.5</v>
      </c>
      <c r="K814" s="418" t="s">
        <v>1288</v>
      </c>
      <c r="N814" s="412"/>
      <c r="O814" s="412"/>
      <c r="U814" s="417" t="s">
        <v>2085</v>
      </c>
      <c r="W814" s="413"/>
      <c r="AE814" s="414" t="str">
        <f t="shared" si="114"/>
        <v>|</v>
      </c>
      <c r="AG814" s="412" t="s">
        <v>1841</v>
      </c>
    </row>
    <row r="815" spans="1:33" ht="24" customHeight="1">
      <c r="A815" s="424"/>
      <c r="B815" s="412" t="s">
        <v>862</v>
      </c>
      <c r="C815" s="414">
        <v>21.1</v>
      </c>
      <c r="H815" s="413" t="s">
        <v>492</v>
      </c>
      <c r="K815" s="414" t="e">
        <f>SUM(K807:K813)</f>
        <v>#REF!</v>
      </c>
      <c r="N815" s="412"/>
      <c r="O815" s="412"/>
      <c r="S815" s="416">
        <v>0.45300000000000001</v>
      </c>
      <c r="T815" s="414" t="s">
        <v>1089</v>
      </c>
      <c r="U815" s="414" t="s">
        <v>2077</v>
      </c>
      <c r="V815" s="414" t="e">
        <f>V800</f>
        <v>#REF!</v>
      </c>
      <c r="W815" s="413"/>
      <c r="X815" s="414" t="e">
        <f>V815*S815</f>
        <v>#REF!</v>
      </c>
      <c r="Z815" s="414" t="e">
        <f>X826+Y811</f>
        <v>#REF!</v>
      </c>
      <c r="AE815" s="414" t="str">
        <f t="shared" si="114"/>
        <v>|</v>
      </c>
      <c r="AG815" s="412" t="s">
        <v>1841</v>
      </c>
    </row>
    <row r="816" spans="1:33" ht="24" customHeight="1">
      <c r="A816" s="424"/>
      <c r="C816" s="414" t="s">
        <v>2591</v>
      </c>
      <c r="K816" s="418" t="s">
        <v>1676</v>
      </c>
      <c r="N816" s="412"/>
      <c r="O816" s="412"/>
      <c r="S816" s="416">
        <v>0.30199999999999999</v>
      </c>
      <c r="T816" s="414" t="s">
        <v>1089</v>
      </c>
      <c r="U816" s="414" t="s">
        <v>2078</v>
      </c>
      <c r="V816" s="414" t="e">
        <f t="shared" ref="V816:V825" si="115">V801</f>
        <v>#REF!</v>
      </c>
      <c r="W816" s="413"/>
      <c r="X816" s="414" t="e">
        <f t="shared" ref="X816:X822" si="116">V816*S816</f>
        <v>#REF!</v>
      </c>
      <c r="Z816" s="414" t="e">
        <f>Z815+Z811</f>
        <v>#REF!</v>
      </c>
      <c r="AE816" s="414" t="str">
        <f t="shared" si="114"/>
        <v>|</v>
      </c>
      <c r="AG816" s="412" t="s">
        <v>1841</v>
      </c>
    </row>
    <row r="817" spans="1:33" ht="24" customHeight="1">
      <c r="A817" s="424"/>
      <c r="H817" s="412" t="s">
        <v>621</v>
      </c>
      <c r="K817" s="414" t="e">
        <f>K815/10</f>
        <v>#REF!</v>
      </c>
      <c r="N817" s="412"/>
      <c r="O817" s="412"/>
      <c r="S817" s="416">
        <v>0.44</v>
      </c>
      <c r="T817" s="414" t="s">
        <v>1089</v>
      </c>
      <c r="U817" s="414" t="s">
        <v>861</v>
      </c>
      <c r="V817" s="414" t="e">
        <f t="shared" si="115"/>
        <v>#REF!</v>
      </c>
      <c r="W817" s="413"/>
      <c r="X817" s="414" t="e">
        <f t="shared" si="116"/>
        <v>#REF!</v>
      </c>
      <c r="Z817" s="414" t="e">
        <f>Z816+Z811</f>
        <v>#REF!</v>
      </c>
      <c r="AE817" s="414" t="str">
        <f t="shared" si="114"/>
        <v>|</v>
      </c>
      <c r="AG817" s="412" t="s">
        <v>1841</v>
      </c>
    </row>
    <row r="818" spans="1:33" ht="24" customHeight="1">
      <c r="A818" s="424"/>
      <c r="S818" s="416">
        <v>0.37</v>
      </c>
      <c r="T818" s="414" t="s">
        <v>427</v>
      </c>
      <c r="U818" s="414" t="s">
        <v>310</v>
      </c>
      <c r="V818" s="414" t="e">
        <f t="shared" si="115"/>
        <v>#REF!</v>
      </c>
      <c r="W818" s="413"/>
      <c r="X818" s="414" t="e">
        <f t="shared" si="116"/>
        <v>#REF!</v>
      </c>
      <c r="Z818" s="414" t="e">
        <f>Z817+Z811</f>
        <v>#REF!</v>
      </c>
      <c r="AE818" s="414" t="str">
        <f t="shared" si="114"/>
        <v>|</v>
      </c>
      <c r="AG818" s="412" t="s">
        <v>1841</v>
      </c>
    </row>
    <row r="819" spans="1:33" ht="24" customHeight="1">
      <c r="A819" s="424"/>
      <c r="F819" s="414">
        <v>1</v>
      </c>
      <c r="G819" s="414" t="s">
        <v>702</v>
      </c>
      <c r="H819" s="412" t="s">
        <v>33</v>
      </c>
      <c r="I819" s="414">
        <f>C25</f>
        <v>94.2</v>
      </c>
      <c r="K819" s="414">
        <f>F819*I819</f>
        <v>94.2</v>
      </c>
      <c r="R819" s="418"/>
      <c r="S819" s="416">
        <v>0.35</v>
      </c>
      <c r="T819" s="414" t="s">
        <v>1166</v>
      </c>
      <c r="U819" s="414" t="s">
        <v>374</v>
      </c>
      <c r="V819" s="414">
        <f t="shared" si="115"/>
        <v>932</v>
      </c>
      <c r="W819" s="413">
        <f>J825</f>
        <v>0</v>
      </c>
      <c r="X819" s="414">
        <f t="shared" si="116"/>
        <v>326.2</v>
      </c>
      <c r="Z819" s="414" t="e">
        <f>Z811+Z818</f>
        <v>#REF!</v>
      </c>
      <c r="AE819" s="414" t="str">
        <f t="shared" si="114"/>
        <v>|</v>
      </c>
      <c r="AG819" s="412" t="s">
        <v>1841</v>
      </c>
    </row>
    <row r="820" spans="1:33" ht="24" customHeight="1">
      <c r="A820" s="424"/>
      <c r="K820" s="418" t="s">
        <v>1288</v>
      </c>
      <c r="O820" s="413"/>
      <c r="S820" s="416">
        <v>2.12</v>
      </c>
      <c r="T820" s="414" t="s">
        <v>1166</v>
      </c>
      <c r="U820" s="414" t="s">
        <v>2079</v>
      </c>
      <c r="V820" s="414">
        <f t="shared" si="115"/>
        <v>651</v>
      </c>
      <c r="W820" s="413"/>
      <c r="X820" s="414">
        <f t="shared" si="116"/>
        <v>1380.12</v>
      </c>
      <c r="Z820" s="414" t="e">
        <f>Z811+Z819</f>
        <v>#REF!</v>
      </c>
      <c r="AE820" s="414" t="str">
        <f t="shared" si="114"/>
        <v>|</v>
      </c>
      <c r="AG820" s="412" t="s">
        <v>1841</v>
      </c>
    </row>
    <row r="821" spans="1:33" ht="24" customHeight="1">
      <c r="K821" s="414" t="e">
        <f>SUM(K817:K819)</f>
        <v>#REF!</v>
      </c>
      <c r="S821" s="416">
        <v>3.53</v>
      </c>
      <c r="T821" s="414" t="s">
        <v>1166</v>
      </c>
      <c r="U821" s="414" t="s">
        <v>2080</v>
      </c>
      <c r="V821" s="414">
        <f t="shared" si="115"/>
        <v>534</v>
      </c>
      <c r="W821" s="413"/>
      <c r="X821" s="414">
        <f t="shared" si="116"/>
        <v>1885.02</v>
      </c>
      <c r="Z821" s="414" t="e">
        <f>Z811+Z820</f>
        <v>#REF!</v>
      </c>
      <c r="AE821" s="414" t="str">
        <f t="shared" si="114"/>
        <v>|</v>
      </c>
      <c r="AG821" s="412" t="s">
        <v>1841</v>
      </c>
    </row>
    <row r="822" spans="1:33" ht="24" customHeight="1">
      <c r="A822" s="424"/>
      <c r="K822" s="418" t="s">
        <v>1288</v>
      </c>
      <c r="R822" s="418"/>
      <c r="S822" s="416">
        <v>1</v>
      </c>
      <c r="T822" s="414" t="s">
        <v>1089</v>
      </c>
      <c r="U822" s="414" t="s">
        <v>2081</v>
      </c>
      <c r="V822" s="414">
        <f t="shared" si="115"/>
        <v>94.2</v>
      </c>
      <c r="W822" s="413"/>
      <c r="X822" s="414">
        <f t="shared" si="116"/>
        <v>94.2</v>
      </c>
      <c r="Z822" s="414" t="e">
        <f>Z811+Z821</f>
        <v>#REF!</v>
      </c>
      <c r="AE822" s="414" t="str">
        <f t="shared" si="114"/>
        <v>|</v>
      </c>
      <c r="AG822" s="412" t="s">
        <v>1841</v>
      </c>
    </row>
    <row r="823" spans="1:33" ht="24" customHeight="1">
      <c r="A823" s="424"/>
      <c r="H823" s="412" t="s">
        <v>307</v>
      </c>
      <c r="K823" s="417" t="e">
        <f>(K821+C22)</f>
        <v>#REF!</v>
      </c>
      <c r="S823" s="444" t="s">
        <v>528</v>
      </c>
      <c r="U823" s="414" t="s">
        <v>2082</v>
      </c>
      <c r="V823" s="423" t="str">
        <f t="shared" si="115"/>
        <v>LS</v>
      </c>
      <c r="W823" s="413"/>
      <c r="X823" s="414">
        <v>270</v>
      </c>
      <c r="Z823" s="414" t="e">
        <f>Z811+Z822</f>
        <v>#REF!</v>
      </c>
      <c r="AE823" s="414" t="str">
        <f t="shared" si="114"/>
        <v>|</v>
      </c>
      <c r="AG823" s="412" t="s">
        <v>1841</v>
      </c>
    </row>
    <row r="824" spans="1:33" ht="24" customHeight="1">
      <c r="A824" s="424"/>
      <c r="H824" s="412" t="s">
        <v>309</v>
      </c>
      <c r="K824" s="417" t="e">
        <f>(K823+C23)</f>
        <v>#REF!</v>
      </c>
      <c r="N824" s="412"/>
      <c r="O824" s="412"/>
      <c r="S824" s="444" t="s">
        <v>528</v>
      </c>
      <c r="U824" s="414" t="s">
        <v>2083</v>
      </c>
      <c r="V824" s="423" t="str">
        <f t="shared" si="115"/>
        <v>LS</v>
      </c>
      <c r="W824" s="413"/>
      <c r="X824" s="414">
        <v>150</v>
      </c>
      <c r="Z824" s="414" t="e">
        <f>Z811+Z823</f>
        <v>#REF!</v>
      </c>
      <c r="AE824" s="414" t="str">
        <f t="shared" si="114"/>
        <v>|</v>
      </c>
      <c r="AG824" s="412" t="s">
        <v>1841</v>
      </c>
    </row>
    <row r="825" spans="1:33" ht="24" customHeight="1">
      <c r="A825" s="424"/>
      <c r="H825" s="412" t="s">
        <v>1818</v>
      </c>
      <c r="K825" s="417" t="e">
        <f>(K824+C24)</f>
        <v>#REF!</v>
      </c>
      <c r="O825" s="412"/>
      <c r="S825" s="444" t="s">
        <v>528</v>
      </c>
      <c r="U825" s="414" t="s">
        <v>1850</v>
      </c>
      <c r="V825" s="423" t="str">
        <f t="shared" si="115"/>
        <v>LS</v>
      </c>
      <c r="W825" s="413"/>
      <c r="X825" s="414">
        <v>0.17</v>
      </c>
      <c r="AE825" s="414" t="str">
        <f t="shared" si="114"/>
        <v>|</v>
      </c>
      <c r="AG825" s="412" t="s">
        <v>1841</v>
      </c>
    </row>
    <row r="826" spans="1:33" ht="24" customHeight="1">
      <c r="A826" s="424"/>
      <c r="H826" s="412" t="s">
        <v>301</v>
      </c>
      <c r="K826" s="417" t="e">
        <f>(K825+C24)</f>
        <v>#REF!</v>
      </c>
      <c r="N826" s="412"/>
      <c r="O826" s="412"/>
      <c r="W826" s="413"/>
      <c r="X826" s="417" t="e">
        <f>SUM(X815:X825)</f>
        <v>#REF!</v>
      </c>
      <c r="AE826" s="414" t="str">
        <f t="shared" si="114"/>
        <v>|</v>
      </c>
      <c r="AG826" s="412" t="s">
        <v>1841</v>
      </c>
    </row>
    <row r="827" spans="1:33" ht="24" customHeight="1">
      <c r="H827" s="412" t="s">
        <v>1244</v>
      </c>
      <c r="K827" s="417" t="e">
        <f>(K826+C24)</f>
        <v>#REF!</v>
      </c>
      <c r="O827" s="412"/>
      <c r="W827" s="413"/>
      <c r="AE827" s="414" t="str">
        <f t="shared" si="114"/>
        <v>|</v>
      </c>
      <c r="AG827" s="412" t="s">
        <v>1841</v>
      </c>
    </row>
    <row r="828" spans="1:33" ht="24" customHeight="1">
      <c r="H828" s="412">
        <v>5</v>
      </c>
      <c r="K828" s="417" t="e">
        <f>(K827+C24)</f>
        <v>#REF!</v>
      </c>
      <c r="O828" s="412"/>
      <c r="W828" s="413"/>
      <c r="AE828" s="414">
        <f>SUM(AE681:AE685)</f>
        <v>8206.1</v>
      </c>
      <c r="AG828" s="412"/>
    </row>
    <row r="829" spans="1:33" ht="24" customHeight="1">
      <c r="H829" s="412">
        <v>6</v>
      </c>
      <c r="K829" s="417" t="e">
        <f>(K828+C24)</f>
        <v>#REF!</v>
      </c>
      <c r="O829" s="412"/>
      <c r="W829" s="413"/>
      <c r="AG829" s="412"/>
    </row>
    <row r="830" spans="1:33" ht="24" customHeight="1">
      <c r="H830" s="412">
        <v>7</v>
      </c>
      <c r="K830" s="417" t="e">
        <f>(K829+C24)</f>
        <v>#REF!</v>
      </c>
      <c r="O830" s="412"/>
      <c r="W830" s="413"/>
      <c r="AG830" s="412"/>
    </row>
    <row r="831" spans="1:33" ht="24" customHeight="1">
      <c r="H831" s="412">
        <v>8</v>
      </c>
      <c r="K831" s="417" t="e">
        <f>(K830+C24)</f>
        <v>#REF!</v>
      </c>
      <c r="O831" s="412"/>
      <c r="W831" s="413"/>
      <c r="AG831" s="412"/>
    </row>
    <row r="832" spans="1:33" ht="24" customHeight="1">
      <c r="H832" s="412">
        <v>9</v>
      </c>
      <c r="K832" s="417" t="e">
        <f>(K831+C24)</f>
        <v>#REF!</v>
      </c>
      <c r="O832" s="412"/>
      <c r="W832" s="413"/>
      <c r="AG832" s="412"/>
    </row>
    <row r="833" spans="6:33" ht="24" customHeight="1">
      <c r="H833" s="412">
        <v>10</v>
      </c>
      <c r="K833" s="417" t="e">
        <f>(K832+C24)</f>
        <v>#REF!</v>
      </c>
      <c r="O833" s="412"/>
      <c r="W833" s="413"/>
      <c r="AG833" s="412"/>
    </row>
    <row r="834" spans="6:33" ht="24" customHeight="1">
      <c r="H834" s="412">
        <v>11</v>
      </c>
      <c r="K834" s="417" t="e">
        <f>(K833+C24)</f>
        <v>#REF!</v>
      </c>
      <c r="O834" s="412"/>
      <c r="W834" s="413"/>
      <c r="AG834" s="412"/>
    </row>
    <row r="835" spans="6:33" ht="24" customHeight="1">
      <c r="H835" s="412">
        <v>12</v>
      </c>
      <c r="K835" s="417" t="e">
        <f>(K834+C24)</f>
        <v>#REF!</v>
      </c>
      <c r="O835" s="412"/>
      <c r="W835" s="413"/>
      <c r="AG835" s="412"/>
    </row>
    <row r="836" spans="6:33" ht="24" customHeight="1">
      <c r="H836" s="412"/>
      <c r="K836" s="417"/>
      <c r="O836" s="412"/>
      <c r="W836" s="413"/>
      <c r="AG836" s="412"/>
    </row>
    <row r="837" spans="6:33" ht="24" hidden="1" customHeight="1">
      <c r="F837" s="412" t="s">
        <v>790</v>
      </c>
      <c r="O837" s="412"/>
      <c r="W837" s="413"/>
      <c r="AE837" s="414" t="str">
        <f t="shared" si="114"/>
        <v>|</v>
      </c>
      <c r="AG837" s="412" t="s">
        <v>1841</v>
      </c>
    </row>
    <row r="838" spans="6:33" ht="24" customHeight="1">
      <c r="F838" s="412" t="s">
        <v>790</v>
      </c>
      <c r="G838" s="414" t="s">
        <v>1833</v>
      </c>
      <c r="H838" s="413" t="s">
        <v>1074</v>
      </c>
      <c r="N838" s="412"/>
      <c r="O838" s="412"/>
      <c r="W838" s="413"/>
      <c r="AE838" s="414" t="str">
        <f t="shared" si="114"/>
        <v>|</v>
      </c>
      <c r="AG838" s="412" t="s">
        <v>1841</v>
      </c>
    </row>
    <row r="839" spans="6:33" ht="24" customHeight="1">
      <c r="H839" s="418" t="s">
        <v>1676</v>
      </c>
      <c r="N839" s="412"/>
      <c r="O839" s="412"/>
      <c r="W839" s="413"/>
      <c r="AE839" s="414" t="str">
        <f t="shared" si="114"/>
        <v>|</v>
      </c>
      <c r="AG839" s="412" t="s">
        <v>1841</v>
      </c>
    </row>
    <row r="840" spans="6:33" ht="24" customHeight="1">
      <c r="N840" s="412"/>
      <c r="O840" s="412"/>
      <c r="W840" s="413"/>
      <c r="AE840" s="414" t="str">
        <f t="shared" si="114"/>
        <v>|</v>
      </c>
      <c r="AG840" s="412" t="s">
        <v>1841</v>
      </c>
    </row>
    <row r="841" spans="6:33" ht="24" customHeight="1">
      <c r="F841" s="413" t="s">
        <v>1075</v>
      </c>
      <c r="G841" s="414" t="s">
        <v>1833</v>
      </c>
      <c r="H841" s="412" t="s">
        <v>1656</v>
      </c>
      <c r="N841" s="412"/>
      <c r="O841" s="412"/>
      <c r="W841" s="413"/>
      <c r="AE841" s="414" t="str">
        <f t="shared" si="114"/>
        <v>|</v>
      </c>
      <c r="AG841" s="412" t="s">
        <v>1841</v>
      </c>
    </row>
    <row r="842" spans="6:33" ht="24" customHeight="1">
      <c r="H842" s="412" t="s">
        <v>1657</v>
      </c>
      <c r="N842" s="412"/>
      <c r="O842" s="412"/>
      <c r="W842" s="413"/>
      <c r="AE842" s="414" t="str">
        <f t="shared" si="114"/>
        <v>|</v>
      </c>
      <c r="AG842" s="412" t="s">
        <v>1841</v>
      </c>
    </row>
    <row r="843" spans="6:33" ht="24" customHeight="1">
      <c r="H843" s="412" t="s">
        <v>1658</v>
      </c>
      <c r="N843" s="412"/>
      <c r="O843" s="412"/>
      <c r="W843" s="413"/>
      <c r="AE843" s="414" t="str">
        <f t="shared" si="114"/>
        <v>|::</v>
      </c>
      <c r="AG843" s="412" t="s">
        <v>246</v>
      </c>
    </row>
    <row r="844" spans="6:33" ht="24" customHeight="1">
      <c r="H844" s="412" t="s">
        <v>721</v>
      </c>
      <c r="N844" s="412"/>
      <c r="O844" s="412"/>
      <c r="W844" s="413"/>
      <c r="AE844" s="414">
        <f t="shared" si="114"/>
        <v>0</v>
      </c>
    </row>
    <row r="845" spans="6:33" ht="24" customHeight="1">
      <c r="H845" s="412" t="s">
        <v>722</v>
      </c>
      <c r="W845" s="413"/>
      <c r="AE845" s="414">
        <f t="shared" si="114"/>
        <v>0</v>
      </c>
    </row>
    <row r="846" spans="6:33" ht="24" customHeight="1">
      <c r="H846" s="412" t="s">
        <v>1399</v>
      </c>
      <c r="R846" s="418"/>
      <c r="W846" s="413"/>
      <c r="AE846" s="414">
        <f t="shared" si="114"/>
        <v>0</v>
      </c>
    </row>
    <row r="847" spans="6:33" ht="24" customHeight="1">
      <c r="H847" s="412" t="s">
        <v>71</v>
      </c>
      <c r="O847" s="413"/>
      <c r="W847" s="413"/>
      <c r="AE847" s="414" t="str">
        <f t="shared" si="114"/>
        <v>|</v>
      </c>
      <c r="AG847" s="412" t="s">
        <v>1841</v>
      </c>
    </row>
    <row r="848" spans="6:33" ht="24" customHeight="1">
      <c r="H848" s="412" t="s">
        <v>72</v>
      </c>
      <c r="R848" s="418"/>
      <c r="W848" s="413"/>
      <c r="AE848" s="414" t="str">
        <f t="shared" si="114"/>
        <v>|</v>
      </c>
      <c r="AG848" s="412" t="s">
        <v>1841</v>
      </c>
    </row>
    <row r="849" spans="6:33" ht="24" customHeight="1">
      <c r="H849" s="412" t="s">
        <v>73</v>
      </c>
      <c r="O849" s="417" t="s">
        <v>2664</v>
      </c>
      <c r="R849" s="418"/>
      <c r="W849" s="413"/>
      <c r="AE849" s="414" t="str">
        <f t="shared" si="114"/>
        <v>|</v>
      </c>
      <c r="AG849" s="412" t="s">
        <v>1841</v>
      </c>
    </row>
    <row r="850" spans="6:33" ht="24" customHeight="1">
      <c r="H850" s="412" t="s">
        <v>74</v>
      </c>
      <c r="O850" s="413" t="s">
        <v>1421</v>
      </c>
      <c r="R850" s="418"/>
      <c r="W850" s="413"/>
      <c r="AE850" s="414" t="str">
        <f t="shared" si="114"/>
        <v>|</v>
      </c>
      <c r="AG850" s="412" t="s">
        <v>1841</v>
      </c>
    </row>
    <row r="851" spans="6:33" ht="24" customHeight="1">
      <c r="H851" s="412" t="s">
        <v>1674</v>
      </c>
      <c r="R851" s="418"/>
      <c r="W851" s="413"/>
      <c r="AE851" s="414" t="str">
        <f t="shared" si="114"/>
        <v>|</v>
      </c>
      <c r="AG851" s="412" t="s">
        <v>1841</v>
      </c>
    </row>
    <row r="852" spans="6:33" ht="24" customHeight="1">
      <c r="H852" s="412" t="s">
        <v>836</v>
      </c>
      <c r="M852" s="439">
        <v>6.5000000000000002E-2</v>
      </c>
      <c r="N852" s="414" t="s">
        <v>702</v>
      </c>
      <c r="O852" s="412" t="s">
        <v>1685</v>
      </c>
      <c r="P852" s="414" t="e">
        <f>I859</f>
        <v>#REF!</v>
      </c>
      <c r="Q852" s="412" t="s">
        <v>702</v>
      </c>
      <c r="R852" s="414" t="e">
        <f>P852*M852</f>
        <v>#REF!</v>
      </c>
      <c r="W852" s="413"/>
      <c r="AE852" s="414" t="str">
        <f t="shared" si="114"/>
        <v>|</v>
      </c>
      <c r="AG852" s="412" t="s">
        <v>1841</v>
      </c>
    </row>
    <row r="853" spans="6:33" ht="24" customHeight="1">
      <c r="H853" s="412" t="s">
        <v>1450</v>
      </c>
      <c r="M853" s="446">
        <v>8.4499999999999993</v>
      </c>
      <c r="N853" s="414" t="s">
        <v>1341</v>
      </c>
      <c r="O853" s="412" t="s">
        <v>1686</v>
      </c>
      <c r="P853" s="414" t="e">
        <f t="shared" ref="P853:P862" si="117">I860</f>
        <v>#REF!</v>
      </c>
      <c r="Q853" s="412" t="s">
        <v>694</v>
      </c>
      <c r="R853" s="414" t="e">
        <f>P853*M853/1000</f>
        <v>#REF!</v>
      </c>
      <c r="W853" s="413"/>
      <c r="AE853" s="414" t="str">
        <f t="shared" si="114"/>
        <v>|</v>
      </c>
      <c r="AG853" s="412" t="s">
        <v>1841</v>
      </c>
    </row>
    <row r="854" spans="6:33" ht="24" customHeight="1">
      <c r="H854" s="412" t="s">
        <v>1451</v>
      </c>
      <c r="M854" s="414">
        <v>3</v>
      </c>
      <c r="N854" s="414" t="s">
        <v>701</v>
      </c>
      <c r="O854" s="412" t="s">
        <v>964</v>
      </c>
      <c r="P854" s="414">
        <f t="shared" si="117"/>
        <v>14.8</v>
      </c>
      <c r="Q854" s="412" t="s">
        <v>701</v>
      </c>
      <c r="R854" s="414">
        <f t="shared" ref="R854:R861" si="118">P854*M854</f>
        <v>44.4</v>
      </c>
      <c r="W854" s="413"/>
      <c r="AE854" s="414" t="str">
        <f t="shared" si="114"/>
        <v>|</v>
      </c>
      <c r="AG854" s="412" t="s">
        <v>1841</v>
      </c>
    </row>
    <row r="855" spans="6:33" ht="24" customHeight="1">
      <c r="M855" s="414">
        <v>12</v>
      </c>
      <c r="N855" s="414" t="s">
        <v>701</v>
      </c>
      <c r="O855" s="412" t="s">
        <v>965</v>
      </c>
      <c r="P855" s="414">
        <f t="shared" si="117"/>
        <v>2</v>
      </c>
      <c r="Q855" s="412" t="s">
        <v>701</v>
      </c>
      <c r="R855" s="414">
        <f t="shared" si="118"/>
        <v>24</v>
      </c>
      <c r="W855" s="413"/>
      <c r="AE855" s="414" t="str">
        <f t="shared" si="114"/>
        <v>|</v>
      </c>
      <c r="AG855" s="412" t="s">
        <v>1841</v>
      </c>
    </row>
    <row r="856" spans="6:33" ht="24" hidden="1" customHeight="1">
      <c r="M856" s="414">
        <v>2</v>
      </c>
      <c r="N856" s="414" t="s">
        <v>701</v>
      </c>
      <c r="O856" s="412" t="s">
        <v>966</v>
      </c>
      <c r="P856" s="414">
        <f t="shared" si="117"/>
        <v>4.9000000000000004</v>
      </c>
      <c r="Q856" s="412" t="s">
        <v>701</v>
      </c>
      <c r="R856" s="414">
        <f t="shared" si="118"/>
        <v>9.8000000000000007</v>
      </c>
      <c r="W856" s="413"/>
      <c r="AE856" s="414" t="str">
        <f t="shared" si="114"/>
        <v>|</v>
      </c>
      <c r="AG856" s="412" t="s">
        <v>1841</v>
      </c>
    </row>
    <row r="857" spans="6:33" ht="24" customHeight="1">
      <c r="G857" s="414" t="s">
        <v>242</v>
      </c>
      <c r="H857" s="413" t="s">
        <v>1448</v>
      </c>
      <c r="M857" s="414">
        <v>6</v>
      </c>
      <c r="N857" s="414" t="s">
        <v>701</v>
      </c>
      <c r="O857" s="412" t="s">
        <v>1808</v>
      </c>
      <c r="P857" s="414">
        <f t="shared" si="117"/>
        <v>4.45</v>
      </c>
      <c r="Q857" s="412" t="s">
        <v>701</v>
      </c>
      <c r="R857" s="414">
        <f t="shared" si="118"/>
        <v>26.7</v>
      </c>
      <c r="S857" s="414"/>
      <c r="T857" s="414" t="s">
        <v>242</v>
      </c>
      <c r="U857" s="413" t="s">
        <v>2285</v>
      </c>
      <c r="W857" s="413"/>
      <c r="AE857" s="414" t="str">
        <f t="shared" si="114"/>
        <v>|</v>
      </c>
      <c r="AG857" s="412" t="s">
        <v>1841</v>
      </c>
    </row>
    <row r="858" spans="6:33" ht="24" customHeight="1">
      <c r="H858" s="413" t="s">
        <v>1453</v>
      </c>
      <c r="M858" s="414">
        <v>1</v>
      </c>
      <c r="N858" s="414" t="s">
        <v>701</v>
      </c>
      <c r="O858" s="412" t="s">
        <v>967</v>
      </c>
      <c r="P858" s="414">
        <f t="shared" si="117"/>
        <v>999</v>
      </c>
      <c r="Q858" s="412" t="s">
        <v>701</v>
      </c>
      <c r="R858" s="414">
        <f t="shared" si="118"/>
        <v>999</v>
      </c>
      <c r="S858" s="414"/>
      <c r="U858" s="413" t="s">
        <v>1453</v>
      </c>
      <c r="W858" s="413"/>
      <c r="AE858" s="414" t="str">
        <f t="shared" si="114"/>
        <v>|</v>
      </c>
      <c r="AG858" s="412" t="s">
        <v>1841</v>
      </c>
    </row>
    <row r="859" spans="6:33" ht="24" customHeight="1">
      <c r="F859" s="439">
        <v>3.8100000000000002E-2</v>
      </c>
      <c r="G859" s="414" t="s">
        <v>702</v>
      </c>
      <c r="H859" s="412" t="s">
        <v>3247</v>
      </c>
      <c r="I859" s="414" t="e">
        <f>I877</f>
        <v>#REF!</v>
      </c>
      <c r="J859" s="412" t="s">
        <v>702</v>
      </c>
      <c r="K859" s="414" t="e">
        <f>F859*I859</f>
        <v>#REF!</v>
      </c>
      <c r="M859" s="414">
        <v>1</v>
      </c>
      <c r="N859" s="414" t="s">
        <v>701</v>
      </c>
      <c r="O859" s="412" t="s">
        <v>968</v>
      </c>
      <c r="P859" s="414">
        <f t="shared" si="117"/>
        <v>651</v>
      </c>
      <c r="Q859" s="412" t="s">
        <v>701</v>
      </c>
      <c r="R859" s="414">
        <f t="shared" si="118"/>
        <v>651</v>
      </c>
      <c r="S859" s="439">
        <v>4.9500000000000002E-2</v>
      </c>
      <c r="T859" s="414" t="s">
        <v>702</v>
      </c>
      <c r="U859" s="412" t="s">
        <v>1685</v>
      </c>
      <c r="V859" s="414" t="e">
        <f>I859</f>
        <v>#REF!</v>
      </c>
      <c r="W859" s="413" t="s">
        <v>702</v>
      </c>
      <c r="X859" s="414" t="e">
        <f>S859*V859</f>
        <v>#REF!</v>
      </c>
      <c r="AE859" s="414" t="str">
        <f t="shared" si="114"/>
        <v>|</v>
      </c>
      <c r="AG859" s="412" t="s">
        <v>1841</v>
      </c>
    </row>
    <row r="860" spans="6:33" ht="24" customHeight="1">
      <c r="F860" s="429">
        <v>5.01</v>
      </c>
      <c r="G860" s="414" t="s">
        <v>1341</v>
      </c>
      <c r="H860" s="412" t="s">
        <v>1686</v>
      </c>
      <c r="I860" s="414" t="e">
        <f>I878</f>
        <v>#REF!</v>
      </c>
      <c r="J860" s="412" t="s">
        <v>694</v>
      </c>
      <c r="K860" s="414" t="e">
        <f>F860*I860/1000</f>
        <v>#REF!</v>
      </c>
      <c r="M860" s="414">
        <v>1</v>
      </c>
      <c r="N860" s="414" t="s">
        <v>701</v>
      </c>
      <c r="O860" s="412" t="s">
        <v>969</v>
      </c>
      <c r="P860" s="414">
        <f t="shared" si="117"/>
        <v>25</v>
      </c>
      <c r="Q860" s="412" t="s">
        <v>701</v>
      </c>
      <c r="R860" s="414">
        <f t="shared" si="118"/>
        <v>25</v>
      </c>
      <c r="S860" s="429">
        <v>5.66</v>
      </c>
      <c r="T860" s="414" t="s">
        <v>1341</v>
      </c>
      <c r="U860" s="412" t="s">
        <v>1686</v>
      </c>
      <c r="V860" s="414" t="e">
        <f t="shared" ref="V860:V868" si="119">I860</f>
        <v>#REF!</v>
      </c>
      <c r="W860" s="413" t="s">
        <v>694</v>
      </c>
      <c r="X860" s="414" t="e">
        <f>S860*V860/1000</f>
        <v>#REF!</v>
      </c>
      <c r="AE860" s="414" t="str">
        <f t="shared" si="114"/>
        <v>|</v>
      </c>
      <c r="AG860" s="412" t="s">
        <v>1841</v>
      </c>
    </row>
    <row r="861" spans="6:33" ht="24" customHeight="1">
      <c r="F861" s="414">
        <v>3</v>
      </c>
      <c r="G861" s="414" t="s">
        <v>701</v>
      </c>
      <c r="H861" s="412" t="s">
        <v>964</v>
      </c>
      <c r="I861" s="414">
        <v>14.8</v>
      </c>
      <c r="J861" s="412" t="s">
        <v>701</v>
      </c>
      <c r="K861" s="414">
        <f t="shared" ref="K861:K868" si="120">F861*I861</f>
        <v>44.4</v>
      </c>
      <c r="M861" s="414">
        <v>0.5</v>
      </c>
      <c r="N861" s="414" t="s">
        <v>701</v>
      </c>
      <c r="O861" s="412" t="s">
        <v>970</v>
      </c>
      <c r="P861" s="414">
        <f t="shared" si="117"/>
        <v>534</v>
      </c>
      <c r="Q861" s="412" t="s">
        <v>701</v>
      </c>
      <c r="R861" s="414">
        <f t="shared" si="118"/>
        <v>267</v>
      </c>
      <c r="S861" s="414">
        <v>3</v>
      </c>
      <c r="T861" s="414" t="s">
        <v>701</v>
      </c>
      <c r="U861" s="412" t="s">
        <v>964</v>
      </c>
      <c r="V861" s="414">
        <f t="shared" si="119"/>
        <v>14.8</v>
      </c>
      <c r="W861" s="413" t="s">
        <v>701</v>
      </c>
      <c r="X861" s="414">
        <f t="shared" ref="X861:X868" si="121">S861*V861</f>
        <v>44.4</v>
      </c>
      <c r="AE861" s="414" t="str">
        <f t="shared" si="114"/>
        <v>|</v>
      </c>
      <c r="AG861" s="412" t="s">
        <v>1841</v>
      </c>
    </row>
    <row r="862" spans="6:33" ht="24" customHeight="1">
      <c r="F862" s="414">
        <v>12</v>
      </c>
      <c r="G862" s="414" t="s">
        <v>701</v>
      </c>
      <c r="H862" s="412" t="s">
        <v>965</v>
      </c>
      <c r="I862" s="414">
        <v>2</v>
      </c>
      <c r="J862" s="412" t="s">
        <v>701</v>
      </c>
      <c r="K862" s="414">
        <f t="shared" si="120"/>
        <v>24</v>
      </c>
      <c r="N862" s="414" t="s">
        <v>358</v>
      </c>
      <c r="O862" s="412" t="s">
        <v>1742</v>
      </c>
      <c r="P862" s="414">
        <f t="shared" si="117"/>
        <v>0</v>
      </c>
      <c r="Q862" s="412" t="s">
        <v>358</v>
      </c>
      <c r="R862" s="414">
        <v>2.1</v>
      </c>
      <c r="S862" s="414">
        <v>12</v>
      </c>
      <c r="T862" s="414" t="s">
        <v>701</v>
      </c>
      <c r="U862" s="412" t="s">
        <v>965</v>
      </c>
      <c r="V862" s="414">
        <f t="shared" si="119"/>
        <v>2</v>
      </c>
      <c r="W862" s="413" t="s">
        <v>701</v>
      </c>
      <c r="X862" s="414">
        <f t="shared" si="121"/>
        <v>24</v>
      </c>
      <c r="AE862" s="414" t="str">
        <f t="shared" si="114"/>
        <v>|</v>
      </c>
      <c r="AG862" s="412" t="s">
        <v>1841</v>
      </c>
    </row>
    <row r="863" spans="6:33" ht="24" customHeight="1">
      <c r="F863" s="414">
        <v>2</v>
      </c>
      <c r="G863" s="414" t="s">
        <v>701</v>
      </c>
      <c r="H863" s="412" t="s">
        <v>966</v>
      </c>
      <c r="I863" s="414">
        <v>4.9000000000000004</v>
      </c>
      <c r="J863" s="412" t="s">
        <v>701</v>
      </c>
      <c r="K863" s="414">
        <f t="shared" si="120"/>
        <v>9.8000000000000007</v>
      </c>
      <c r="Q863" s="412"/>
      <c r="R863" s="418" t="s">
        <v>1288</v>
      </c>
      <c r="S863" s="414">
        <v>2</v>
      </c>
      <c r="T863" s="414" t="s">
        <v>701</v>
      </c>
      <c r="U863" s="412" t="s">
        <v>966</v>
      </c>
      <c r="V863" s="414">
        <f t="shared" si="119"/>
        <v>4.9000000000000004</v>
      </c>
      <c r="W863" s="413" t="s">
        <v>701</v>
      </c>
      <c r="X863" s="414">
        <f t="shared" si="121"/>
        <v>9.8000000000000007</v>
      </c>
      <c r="AE863" s="414" t="str">
        <f t="shared" si="114"/>
        <v>|</v>
      </c>
      <c r="AG863" s="412" t="s">
        <v>1841</v>
      </c>
    </row>
    <row r="864" spans="6:33" ht="24" customHeight="1">
      <c r="F864" s="414">
        <v>6</v>
      </c>
      <c r="G864" s="414" t="s">
        <v>701</v>
      </c>
      <c r="H864" s="412" t="s">
        <v>1808</v>
      </c>
      <c r="I864" s="414">
        <v>4.45</v>
      </c>
      <c r="J864" s="412" t="s">
        <v>701</v>
      </c>
      <c r="K864" s="414">
        <f t="shared" si="120"/>
        <v>26.7</v>
      </c>
      <c r="O864" s="420" t="s">
        <v>222</v>
      </c>
      <c r="Q864" s="412"/>
      <c r="R864" s="417" t="e">
        <f>SUM(R852:R862)</f>
        <v>#REF!</v>
      </c>
      <c r="S864" s="414">
        <v>6</v>
      </c>
      <c r="T864" s="414" t="s">
        <v>701</v>
      </c>
      <c r="U864" s="412" t="s">
        <v>1808</v>
      </c>
      <c r="V864" s="414">
        <f t="shared" si="119"/>
        <v>4.45</v>
      </c>
      <c r="W864" s="413" t="s">
        <v>701</v>
      </c>
      <c r="X864" s="414">
        <f t="shared" si="121"/>
        <v>26.7</v>
      </c>
      <c r="AE864" s="414" t="str">
        <f t="shared" si="114"/>
        <v>|</v>
      </c>
      <c r="AG864" s="412" t="s">
        <v>1841</v>
      </c>
    </row>
    <row r="865" spans="2:33" ht="24" customHeight="1">
      <c r="F865" s="414">
        <v>1</v>
      </c>
      <c r="G865" s="414" t="s">
        <v>701</v>
      </c>
      <c r="H865" s="412" t="s">
        <v>967</v>
      </c>
      <c r="I865" s="414">
        <f>C10</f>
        <v>999</v>
      </c>
      <c r="J865" s="412" t="s">
        <v>701</v>
      </c>
      <c r="K865" s="414">
        <f t="shared" si="120"/>
        <v>999</v>
      </c>
      <c r="Q865" s="412"/>
      <c r="R865" s="418" t="s">
        <v>1288</v>
      </c>
      <c r="S865" s="414">
        <v>1</v>
      </c>
      <c r="T865" s="414" t="s">
        <v>701</v>
      </c>
      <c r="U865" s="412" t="s">
        <v>967</v>
      </c>
      <c r="V865" s="414">
        <f t="shared" si="119"/>
        <v>999</v>
      </c>
      <c r="W865" s="413" t="s">
        <v>701</v>
      </c>
      <c r="X865" s="414">
        <f t="shared" si="121"/>
        <v>999</v>
      </c>
      <c r="AE865" s="414">
        <f t="shared" si="114"/>
        <v>0</v>
      </c>
      <c r="AG865" s="412"/>
    </row>
    <row r="866" spans="2:33" ht="24" customHeight="1">
      <c r="F866" s="414">
        <v>1</v>
      </c>
      <c r="G866" s="414" t="s">
        <v>701</v>
      </c>
      <c r="H866" s="412" t="s">
        <v>968</v>
      </c>
      <c r="I866" s="414">
        <f>C12</f>
        <v>651</v>
      </c>
      <c r="J866" s="412" t="s">
        <v>701</v>
      </c>
      <c r="K866" s="414">
        <f t="shared" si="120"/>
        <v>651</v>
      </c>
      <c r="S866" s="414">
        <v>1</v>
      </c>
      <c r="T866" s="414" t="s">
        <v>701</v>
      </c>
      <c r="U866" s="412" t="s">
        <v>968</v>
      </c>
      <c r="V866" s="414">
        <f t="shared" si="119"/>
        <v>651</v>
      </c>
      <c r="W866" s="413" t="s">
        <v>701</v>
      </c>
      <c r="X866" s="414">
        <f t="shared" si="121"/>
        <v>651</v>
      </c>
      <c r="AE866" s="414">
        <f t="shared" si="114"/>
        <v>0</v>
      </c>
      <c r="AG866" s="412"/>
    </row>
    <row r="867" spans="2:33" ht="24" customHeight="1">
      <c r="F867" s="414">
        <v>1</v>
      </c>
      <c r="G867" s="414" t="s">
        <v>701</v>
      </c>
      <c r="H867" s="412" t="s">
        <v>969</v>
      </c>
      <c r="I867" s="414">
        <v>25</v>
      </c>
      <c r="J867" s="412" t="s">
        <v>701</v>
      </c>
      <c r="K867" s="414">
        <f t="shared" si="120"/>
        <v>25</v>
      </c>
      <c r="R867" s="418"/>
      <c r="S867" s="414">
        <v>1</v>
      </c>
      <c r="T867" s="414" t="s">
        <v>701</v>
      </c>
      <c r="U867" s="412" t="s">
        <v>969</v>
      </c>
      <c r="V867" s="414">
        <f t="shared" si="119"/>
        <v>25</v>
      </c>
      <c r="W867" s="413" t="s">
        <v>701</v>
      </c>
      <c r="X867" s="414">
        <f t="shared" si="121"/>
        <v>25</v>
      </c>
      <c r="AE867" s="414">
        <f t="shared" si="114"/>
        <v>0</v>
      </c>
      <c r="AG867" s="412"/>
    </row>
    <row r="868" spans="2:33" ht="24" customHeight="1">
      <c r="F868" s="414">
        <v>0.5</v>
      </c>
      <c r="G868" s="414" t="s">
        <v>701</v>
      </c>
      <c r="H868" s="412" t="s">
        <v>970</v>
      </c>
      <c r="I868" s="414">
        <f>C13</f>
        <v>534</v>
      </c>
      <c r="J868" s="412" t="s">
        <v>701</v>
      </c>
      <c r="K868" s="414">
        <f t="shared" si="120"/>
        <v>267</v>
      </c>
      <c r="R868" s="412" t="s">
        <v>790</v>
      </c>
      <c r="S868" s="414">
        <v>0.5</v>
      </c>
      <c r="T868" s="414" t="s">
        <v>701</v>
      </c>
      <c r="U868" s="412" t="s">
        <v>970</v>
      </c>
      <c r="V868" s="414">
        <f t="shared" si="119"/>
        <v>534</v>
      </c>
      <c r="W868" s="413" t="s">
        <v>701</v>
      </c>
      <c r="X868" s="414">
        <f t="shared" si="121"/>
        <v>267</v>
      </c>
      <c r="AE868" s="414">
        <f t="shared" si="114"/>
        <v>0</v>
      </c>
      <c r="AG868" s="412"/>
    </row>
    <row r="869" spans="2:33" ht="24" customHeight="1">
      <c r="G869" s="414" t="s">
        <v>358</v>
      </c>
      <c r="H869" s="412" t="s">
        <v>1742</v>
      </c>
      <c r="J869" s="412" t="s">
        <v>358</v>
      </c>
      <c r="K869" s="414">
        <v>1.1299999999999999</v>
      </c>
      <c r="N869" s="412"/>
      <c r="O869" s="412"/>
      <c r="S869" s="414"/>
      <c r="T869" s="414" t="s">
        <v>358</v>
      </c>
      <c r="U869" s="412" t="s">
        <v>1742</v>
      </c>
      <c r="W869" s="413" t="s">
        <v>358</v>
      </c>
      <c r="X869" s="414">
        <v>0.06</v>
      </c>
      <c r="AE869" s="414">
        <f t="shared" si="114"/>
        <v>0</v>
      </c>
      <c r="AG869" s="412"/>
    </row>
    <row r="870" spans="2:33" ht="24" customHeight="1">
      <c r="K870" s="418" t="s">
        <v>1288</v>
      </c>
      <c r="O870" s="412"/>
      <c r="S870" s="414"/>
      <c r="W870" s="413"/>
      <c r="X870" s="418" t="s">
        <v>1288</v>
      </c>
      <c r="AE870" s="414">
        <f t="shared" si="114"/>
        <v>0</v>
      </c>
      <c r="AG870" s="412"/>
    </row>
    <row r="871" spans="2:33" ht="24" customHeight="1">
      <c r="H871" s="420" t="s">
        <v>222</v>
      </c>
      <c r="K871" s="417" t="e">
        <f>SUM(K859:K869)</f>
        <v>#REF!</v>
      </c>
      <c r="N871" s="412"/>
      <c r="O871" s="412"/>
      <c r="S871" s="414"/>
      <c r="U871" s="420" t="s">
        <v>222</v>
      </c>
      <c r="W871" s="413"/>
      <c r="X871" s="417" t="e">
        <f>SUM(X859:X869)</f>
        <v>#REF!</v>
      </c>
      <c r="AE871" s="414">
        <f t="shared" si="114"/>
        <v>0</v>
      </c>
      <c r="AG871" s="412"/>
    </row>
    <row r="872" spans="2:33" ht="24" customHeight="1">
      <c r="K872" s="418" t="s">
        <v>1288</v>
      </c>
      <c r="O872" s="412"/>
      <c r="W872" s="413"/>
      <c r="AE872" s="414">
        <f t="shared" si="114"/>
        <v>0</v>
      </c>
      <c r="AG872" s="412"/>
    </row>
    <row r="873" spans="2:33" ht="24" hidden="1" customHeight="1">
      <c r="O873" s="412"/>
      <c r="W873" s="413"/>
      <c r="AE873" s="414">
        <f t="shared" si="114"/>
        <v>0</v>
      </c>
      <c r="AG873" s="412"/>
    </row>
    <row r="874" spans="2:33" ht="24" customHeight="1">
      <c r="N874" s="412"/>
      <c r="O874" s="412"/>
      <c r="W874" s="413"/>
      <c r="AE874" s="414">
        <f t="shared" si="114"/>
        <v>0</v>
      </c>
      <c r="AG874" s="412"/>
    </row>
    <row r="875" spans="2:33" ht="24" customHeight="1">
      <c r="G875" s="414" t="s">
        <v>1552</v>
      </c>
      <c r="H875" s="413" t="s">
        <v>1452</v>
      </c>
      <c r="N875" s="412"/>
      <c r="O875" s="412"/>
      <c r="S875" s="414"/>
      <c r="T875" s="414" t="s">
        <v>242</v>
      </c>
      <c r="U875" s="413" t="s">
        <v>2286</v>
      </c>
      <c r="W875" s="413"/>
      <c r="AE875" s="414">
        <f t="shared" si="114"/>
        <v>0</v>
      </c>
      <c r="AG875" s="412"/>
    </row>
    <row r="876" spans="2:33" ht="24" customHeight="1">
      <c r="H876" s="413" t="s">
        <v>1453</v>
      </c>
      <c r="N876" s="412"/>
      <c r="O876" s="412"/>
      <c r="S876" s="414"/>
      <c r="U876" s="413" t="s">
        <v>1453</v>
      </c>
      <c r="W876" s="413"/>
      <c r="AE876" s="414">
        <f t="shared" si="114"/>
        <v>0</v>
      </c>
      <c r="AG876" s="412"/>
    </row>
    <row r="877" spans="2:33" ht="37.9" customHeight="1">
      <c r="B877" s="426" t="s">
        <v>4319</v>
      </c>
      <c r="C877" s="414" t="e">
        <f>Y688</f>
        <v>#REF!</v>
      </c>
      <c r="F877" s="439">
        <v>3.6799999999999999E-2</v>
      </c>
      <c r="G877" s="414" t="s">
        <v>702</v>
      </c>
      <c r="H877" s="426" t="s">
        <v>4319</v>
      </c>
      <c r="I877" s="414" t="e">
        <f>Z718</f>
        <v>#REF!</v>
      </c>
      <c r="J877" s="412" t="s">
        <v>702</v>
      </c>
      <c r="K877" s="414" t="e">
        <f>F877*I877</f>
        <v>#REF!</v>
      </c>
      <c r="N877" s="412"/>
      <c r="O877" s="412"/>
      <c r="S877" s="439">
        <v>5.4699999999999999E-2</v>
      </c>
      <c r="T877" s="414" t="s">
        <v>702</v>
      </c>
      <c r="U877" s="412" t="s">
        <v>1685</v>
      </c>
      <c r="V877" s="414" t="e">
        <f>I877</f>
        <v>#REF!</v>
      </c>
      <c r="W877" s="413" t="s">
        <v>702</v>
      </c>
      <c r="X877" s="414" t="e">
        <f>S877*V877</f>
        <v>#REF!</v>
      </c>
      <c r="AE877" s="414">
        <f t="shared" ref="AE877:AE949" si="122">AG877</f>
        <v>0</v>
      </c>
      <c r="AG877" s="412"/>
    </row>
    <row r="878" spans="2:33" ht="34.5" customHeight="1">
      <c r="B878" s="412" t="s">
        <v>1686</v>
      </c>
      <c r="C878" s="414" t="e">
        <f>R1609</f>
        <v>#REF!</v>
      </c>
      <c r="F878" s="414">
        <v>4.87</v>
      </c>
      <c r="G878" s="414" t="s">
        <v>1341</v>
      </c>
      <c r="H878" s="412" t="s">
        <v>1686</v>
      </c>
      <c r="I878" s="414" t="e">
        <f>K1608</f>
        <v>#REF!</v>
      </c>
      <c r="J878" s="412" t="s">
        <v>694</v>
      </c>
      <c r="K878" s="414" t="e">
        <f>F878*I878/1000</f>
        <v>#REF!</v>
      </c>
      <c r="N878" s="412"/>
      <c r="O878" s="412"/>
      <c r="S878" s="429">
        <v>6.16</v>
      </c>
      <c r="T878" s="414" t="s">
        <v>1341</v>
      </c>
      <c r="U878" s="412" t="s">
        <v>1686</v>
      </c>
      <c r="V878" s="414" t="e">
        <f t="shared" ref="V878:V886" si="123">I878</f>
        <v>#REF!</v>
      </c>
      <c r="W878" s="413" t="s">
        <v>694</v>
      </c>
      <c r="X878" s="414" t="e">
        <f>S878*V878/1000</f>
        <v>#REF!</v>
      </c>
      <c r="AE878" s="414">
        <f t="shared" si="122"/>
        <v>0</v>
      </c>
      <c r="AG878" s="412"/>
    </row>
    <row r="879" spans="2:33" ht="24" customHeight="1">
      <c r="F879" s="414">
        <v>3</v>
      </c>
      <c r="G879" s="414" t="s">
        <v>701</v>
      </c>
      <c r="H879" s="412" t="s">
        <v>964</v>
      </c>
      <c r="I879" s="414">
        <f>I861</f>
        <v>14.8</v>
      </c>
      <c r="J879" s="412" t="s">
        <v>701</v>
      </c>
      <c r="K879" s="414">
        <f t="shared" ref="K879:K886" si="124">F879*I879</f>
        <v>44.4</v>
      </c>
      <c r="N879" s="412"/>
      <c r="O879" s="412"/>
      <c r="S879" s="414">
        <v>3</v>
      </c>
      <c r="T879" s="414" t="s">
        <v>701</v>
      </c>
      <c r="U879" s="412" t="s">
        <v>964</v>
      </c>
      <c r="V879" s="414">
        <f t="shared" si="123"/>
        <v>14.8</v>
      </c>
      <c r="W879" s="413" t="s">
        <v>701</v>
      </c>
      <c r="X879" s="414">
        <f t="shared" ref="X879:X886" si="125">S879*V879</f>
        <v>44.4</v>
      </c>
      <c r="AE879" s="414">
        <f t="shared" si="122"/>
        <v>0</v>
      </c>
      <c r="AG879" s="412"/>
    </row>
    <row r="880" spans="2:33" ht="24" customHeight="1">
      <c r="F880" s="414">
        <v>12</v>
      </c>
      <c r="G880" s="414" t="s">
        <v>701</v>
      </c>
      <c r="H880" s="412" t="s">
        <v>965</v>
      </c>
      <c r="I880" s="414">
        <f>I862</f>
        <v>2</v>
      </c>
      <c r="J880" s="412" t="s">
        <v>701</v>
      </c>
      <c r="K880" s="414">
        <f t="shared" si="124"/>
        <v>24</v>
      </c>
      <c r="N880" s="412"/>
      <c r="O880" s="412"/>
      <c r="S880" s="414">
        <v>12</v>
      </c>
      <c r="T880" s="414" t="s">
        <v>701</v>
      </c>
      <c r="U880" s="412" t="s">
        <v>965</v>
      </c>
      <c r="V880" s="414">
        <f t="shared" si="123"/>
        <v>2</v>
      </c>
      <c r="W880" s="413" t="s">
        <v>701</v>
      </c>
      <c r="X880" s="414">
        <f t="shared" si="125"/>
        <v>24</v>
      </c>
      <c r="AE880" s="414">
        <f t="shared" si="122"/>
        <v>0</v>
      </c>
      <c r="AG880" s="412"/>
    </row>
    <row r="881" spans="6:33" ht="24" customHeight="1">
      <c r="F881" s="414">
        <v>2</v>
      </c>
      <c r="G881" s="414" t="s">
        <v>701</v>
      </c>
      <c r="H881" s="412" t="s">
        <v>966</v>
      </c>
      <c r="I881" s="414">
        <f>I863</f>
        <v>4.9000000000000004</v>
      </c>
      <c r="J881" s="412" t="s">
        <v>701</v>
      </c>
      <c r="K881" s="414">
        <f t="shared" si="124"/>
        <v>9.8000000000000007</v>
      </c>
      <c r="S881" s="414">
        <v>2</v>
      </c>
      <c r="T881" s="414" t="s">
        <v>701</v>
      </c>
      <c r="U881" s="412" t="s">
        <v>966</v>
      </c>
      <c r="V881" s="414">
        <f t="shared" si="123"/>
        <v>4.9000000000000004</v>
      </c>
      <c r="W881" s="413" t="s">
        <v>701</v>
      </c>
      <c r="X881" s="414">
        <f t="shared" si="125"/>
        <v>9.8000000000000007</v>
      </c>
      <c r="AE881" s="414">
        <f t="shared" si="122"/>
        <v>0</v>
      </c>
      <c r="AG881" s="412"/>
    </row>
    <row r="882" spans="6:33" ht="24" customHeight="1">
      <c r="F882" s="414">
        <v>6</v>
      </c>
      <c r="G882" s="414" t="s">
        <v>701</v>
      </c>
      <c r="H882" s="412" t="s">
        <v>1808</v>
      </c>
      <c r="I882" s="414">
        <f>I864</f>
        <v>4.45</v>
      </c>
      <c r="J882" s="412" t="s">
        <v>701</v>
      </c>
      <c r="K882" s="414">
        <f t="shared" si="124"/>
        <v>26.7</v>
      </c>
      <c r="R882" s="418"/>
      <c r="S882" s="414">
        <v>6</v>
      </c>
      <c r="T882" s="414" t="s">
        <v>701</v>
      </c>
      <c r="U882" s="412" t="s">
        <v>1808</v>
      </c>
      <c r="V882" s="414">
        <f t="shared" si="123"/>
        <v>4.45</v>
      </c>
      <c r="W882" s="413" t="s">
        <v>701</v>
      </c>
      <c r="X882" s="414">
        <f t="shared" si="125"/>
        <v>26.7</v>
      </c>
      <c r="AE882" s="414">
        <f t="shared" si="122"/>
        <v>0</v>
      </c>
      <c r="AG882" s="412"/>
    </row>
    <row r="883" spans="6:33" ht="24" customHeight="1">
      <c r="F883" s="414">
        <v>1</v>
      </c>
      <c r="G883" s="414" t="s">
        <v>701</v>
      </c>
      <c r="H883" s="412" t="s">
        <v>967</v>
      </c>
      <c r="I883" s="414">
        <f>C10</f>
        <v>999</v>
      </c>
      <c r="J883" s="412" t="s">
        <v>701</v>
      </c>
      <c r="K883" s="414">
        <f t="shared" si="124"/>
        <v>999</v>
      </c>
      <c r="O883" s="413"/>
      <c r="S883" s="414">
        <v>1</v>
      </c>
      <c r="T883" s="414" t="s">
        <v>701</v>
      </c>
      <c r="U883" s="412" t="s">
        <v>967</v>
      </c>
      <c r="V883" s="414">
        <f t="shared" si="123"/>
        <v>999</v>
      </c>
      <c r="W883" s="413" t="s">
        <v>701</v>
      </c>
      <c r="X883" s="414">
        <f t="shared" si="125"/>
        <v>999</v>
      </c>
      <c r="AE883" s="414">
        <f t="shared" si="122"/>
        <v>0</v>
      </c>
      <c r="AG883" s="412"/>
    </row>
    <row r="884" spans="6:33" ht="24" customHeight="1">
      <c r="F884" s="414">
        <v>1</v>
      </c>
      <c r="G884" s="414" t="s">
        <v>701</v>
      </c>
      <c r="H884" s="412" t="s">
        <v>968</v>
      </c>
      <c r="I884" s="414">
        <f>C12</f>
        <v>651</v>
      </c>
      <c r="J884" s="412" t="s">
        <v>701</v>
      </c>
      <c r="K884" s="414">
        <f t="shared" si="124"/>
        <v>651</v>
      </c>
      <c r="R884" s="418"/>
      <c r="S884" s="414">
        <v>1</v>
      </c>
      <c r="T884" s="414" t="s">
        <v>701</v>
      </c>
      <c r="U884" s="412" t="s">
        <v>968</v>
      </c>
      <c r="V884" s="414">
        <f t="shared" si="123"/>
        <v>651</v>
      </c>
      <c r="W884" s="413" t="s">
        <v>701</v>
      </c>
      <c r="X884" s="414">
        <f t="shared" si="125"/>
        <v>651</v>
      </c>
      <c r="AE884" s="414" t="str">
        <f t="shared" si="122"/>
        <v>|</v>
      </c>
      <c r="AG884" s="412" t="s">
        <v>1841</v>
      </c>
    </row>
    <row r="885" spans="6:33" ht="24" customHeight="1">
      <c r="F885" s="414">
        <v>1</v>
      </c>
      <c r="G885" s="414" t="s">
        <v>701</v>
      </c>
      <c r="H885" s="412" t="s">
        <v>969</v>
      </c>
      <c r="I885" s="414">
        <v>25</v>
      </c>
      <c r="J885" s="412" t="s">
        <v>701</v>
      </c>
      <c r="K885" s="414">
        <f t="shared" si="124"/>
        <v>25</v>
      </c>
      <c r="S885" s="414">
        <v>1</v>
      </c>
      <c r="T885" s="414" t="s">
        <v>701</v>
      </c>
      <c r="U885" s="412" t="s">
        <v>969</v>
      </c>
      <c r="V885" s="414">
        <f t="shared" si="123"/>
        <v>25</v>
      </c>
      <c r="W885" s="413" t="s">
        <v>701</v>
      </c>
      <c r="X885" s="414">
        <f t="shared" si="125"/>
        <v>25</v>
      </c>
      <c r="AE885" s="414" t="str">
        <f t="shared" si="122"/>
        <v>|</v>
      </c>
      <c r="AG885" s="412" t="s">
        <v>1841</v>
      </c>
    </row>
    <row r="886" spans="6:33" ht="24" customHeight="1">
      <c r="F886" s="414">
        <v>0.5</v>
      </c>
      <c r="G886" s="414" t="s">
        <v>701</v>
      </c>
      <c r="H886" s="412" t="s">
        <v>970</v>
      </c>
      <c r="I886" s="414">
        <f>C13</f>
        <v>534</v>
      </c>
      <c r="J886" s="412" t="s">
        <v>701</v>
      </c>
      <c r="K886" s="414">
        <f t="shared" si="124"/>
        <v>267</v>
      </c>
      <c r="M886" s="413" t="s">
        <v>895</v>
      </c>
      <c r="N886" s="412" t="s">
        <v>1833</v>
      </c>
      <c r="O886" s="412" t="s">
        <v>896</v>
      </c>
      <c r="S886" s="414">
        <v>0.5</v>
      </c>
      <c r="T886" s="414" t="s">
        <v>701</v>
      </c>
      <c r="U886" s="412" t="s">
        <v>970</v>
      </c>
      <c r="V886" s="414">
        <f t="shared" si="123"/>
        <v>534</v>
      </c>
      <c r="W886" s="413" t="s">
        <v>701</v>
      </c>
      <c r="X886" s="414">
        <f t="shared" si="125"/>
        <v>267</v>
      </c>
      <c r="AE886" s="414" t="str">
        <f t="shared" si="122"/>
        <v>|</v>
      </c>
      <c r="AG886" s="412" t="s">
        <v>1841</v>
      </c>
    </row>
    <row r="887" spans="6:33" ht="24" customHeight="1">
      <c r="G887" s="414" t="s">
        <v>358</v>
      </c>
      <c r="H887" s="412" t="s">
        <v>1742</v>
      </c>
      <c r="J887" s="412" t="s">
        <v>358</v>
      </c>
      <c r="K887" s="414">
        <v>1.98</v>
      </c>
      <c r="O887" s="412" t="s">
        <v>470</v>
      </c>
      <c r="S887" s="414"/>
      <c r="T887" s="414" t="s">
        <v>358</v>
      </c>
      <c r="U887" s="412" t="s">
        <v>1742</v>
      </c>
      <c r="W887" s="413" t="s">
        <v>358</v>
      </c>
      <c r="X887" s="414">
        <v>0.27</v>
      </c>
      <c r="AE887" s="414" t="str">
        <f t="shared" si="122"/>
        <v>|</v>
      </c>
      <c r="AG887" s="412" t="s">
        <v>1841</v>
      </c>
    </row>
    <row r="888" spans="6:33" ht="24" customHeight="1">
      <c r="K888" s="418" t="s">
        <v>1288</v>
      </c>
      <c r="O888" s="418" t="s">
        <v>1288</v>
      </c>
      <c r="P888" s="418" t="s">
        <v>1288</v>
      </c>
      <c r="S888" s="414"/>
      <c r="W888" s="413"/>
      <c r="X888" s="418" t="s">
        <v>1288</v>
      </c>
      <c r="AE888" s="414" t="str">
        <f t="shared" si="122"/>
        <v>|</v>
      </c>
      <c r="AG888" s="412" t="s">
        <v>1841</v>
      </c>
    </row>
    <row r="889" spans="6:33" ht="24" customHeight="1">
      <c r="H889" s="420" t="s">
        <v>222</v>
      </c>
      <c r="K889" s="417" t="e">
        <f>SUM(K877:K887)</f>
        <v>#REF!</v>
      </c>
      <c r="L889" s="414" t="e">
        <f>K889-1729</f>
        <v>#REF!</v>
      </c>
      <c r="O889" s="412" t="s">
        <v>471</v>
      </c>
      <c r="S889" s="414"/>
      <c r="U889" s="420" t="s">
        <v>222</v>
      </c>
      <c r="W889" s="413"/>
      <c r="X889" s="417" t="e">
        <f>SUM(X877:X887)</f>
        <v>#REF!</v>
      </c>
      <c r="AE889" s="414" t="str">
        <f t="shared" si="122"/>
        <v>|</v>
      </c>
      <c r="AG889" s="412" t="s">
        <v>1841</v>
      </c>
    </row>
    <row r="890" spans="6:33" ht="24" customHeight="1">
      <c r="K890" s="418" t="s">
        <v>1288</v>
      </c>
      <c r="M890" s="414">
        <v>0.5</v>
      </c>
      <c r="N890" s="413" t="s">
        <v>619</v>
      </c>
      <c r="O890" s="412" t="s">
        <v>55</v>
      </c>
      <c r="P890" s="414">
        <f>C16</f>
        <v>976</v>
      </c>
      <c r="Q890" s="413" t="s">
        <v>1395</v>
      </c>
      <c r="R890" s="414">
        <f>(M890*P890)</f>
        <v>488</v>
      </c>
      <c r="W890" s="413"/>
      <c r="AE890" s="414" t="str">
        <f t="shared" si="122"/>
        <v>|</v>
      </c>
      <c r="AG890" s="412" t="s">
        <v>1841</v>
      </c>
    </row>
    <row r="891" spans="6:33" ht="24" customHeight="1">
      <c r="F891" s="413"/>
      <c r="G891" s="414" t="s">
        <v>419</v>
      </c>
      <c r="H891" s="413" t="s">
        <v>455</v>
      </c>
      <c r="K891" s="414" t="e">
        <f>K889-1800.2</f>
        <v>#REF!</v>
      </c>
      <c r="M891" s="414">
        <v>0.25</v>
      </c>
      <c r="N891" s="413" t="s">
        <v>619</v>
      </c>
      <c r="O891" s="412" t="s">
        <v>710</v>
      </c>
      <c r="P891" s="414">
        <f>C12</f>
        <v>651</v>
      </c>
      <c r="Q891" s="413" t="s">
        <v>1395</v>
      </c>
      <c r="R891" s="414">
        <f>(M891*P891)</f>
        <v>162.75</v>
      </c>
      <c r="S891" s="414"/>
      <c r="T891" s="414" t="s">
        <v>242</v>
      </c>
      <c r="U891" s="413" t="s">
        <v>2287</v>
      </c>
      <c r="W891" s="413"/>
      <c r="AE891" s="414" t="str">
        <f t="shared" si="122"/>
        <v>|</v>
      </c>
      <c r="AG891" s="412" t="s">
        <v>1841</v>
      </c>
    </row>
    <row r="892" spans="6:33" ht="24" customHeight="1">
      <c r="H892" s="413" t="s">
        <v>1453</v>
      </c>
      <c r="R892" s="418" t="s">
        <v>1288</v>
      </c>
      <c r="S892" s="414"/>
      <c r="U892" s="413" t="s">
        <v>1453</v>
      </c>
      <c r="W892" s="413"/>
      <c r="AE892" s="414" t="str">
        <f t="shared" si="122"/>
        <v>|</v>
      </c>
      <c r="AG892" s="412" t="s">
        <v>1841</v>
      </c>
    </row>
    <row r="893" spans="6:33" ht="24" customHeight="1">
      <c r="F893" s="439">
        <v>3.5299999999999998E-2</v>
      </c>
      <c r="G893" s="414" t="s">
        <v>702</v>
      </c>
      <c r="H893" s="412" t="s">
        <v>1685</v>
      </c>
      <c r="I893" s="414" t="e">
        <f t="shared" ref="I893:I898" si="126">I877</f>
        <v>#REF!</v>
      </c>
      <c r="J893" s="412" t="s">
        <v>702</v>
      </c>
      <c r="K893" s="414" t="e">
        <f>F893*I893</f>
        <v>#REF!</v>
      </c>
      <c r="O893" s="413" t="s">
        <v>947</v>
      </c>
      <c r="R893" s="414">
        <f>SUM(R890:R891)</f>
        <v>650.75</v>
      </c>
      <c r="S893" s="439">
        <v>5.91E-2</v>
      </c>
      <c r="T893" s="414" t="s">
        <v>702</v>
      </c>
      <c r="U893" s="412" t="s">
        <v>1685</v>
      </c>
      <c r="V893" s="414" t="e">
        <f>V877</f>
        <v>#REF!</v>
      </c>
      <c r="W893" s="413" t="s">
        <v>702</v>
      </c>
      <c r="X893" s="414" t="e">
        <f>S893*V893</f>
        <v>#REF!</v>
      </c>
      <c r="AE893" s="414" t="str">
        <f t="shared" si="122"/>
        <v>|</v>
      </c>
      <c r="AG893" s="412" t="s">
        <v>1841</v>
      </c>
    </row>
    <row r="894" spans="6:33" ht="24" customHeight="1">
      <c r="F894" s="414">
        <v>4.59</v>
      </c>
      <c r="G894" s="414" t="s">
        <v>1341</v>
      </c>
      <c r="H894" s="412" t="s">
        <v>1686</v>
      </c>
      <c r="I894" s="414" t="e">
        <f t="shared" si="126"/>
        <v>#REF!</v>
      </c>
      <c r="J894" s="412" t="s">
        <v>694</v>
      </c>
      <c r="K894" s="414" t="e">
        <f>F894*I894/1000</f>
        <v>#REF!</v>
      </c>
      <c r="R894" s="418" t="s">
        <v>1288</v>
      </c>
      <c r="S894" s="429">
        <v>6.58</v>
      </c>
      <c r="T894" s="414" t="s">
        <v>1341</v>
      </c>
      <c r="U894" s="412" t="s">
        <v>1686</v>
      </c>
      <c r="V894" s="414" t="e">
        <f t="shared" ref="V894:V902" si="127">V878</f>
        <v>#REF!</v>
      </c>
      <c r="W894" s="413" t="s">
        <v>694</v>
      </c>
      <c r="X894" s="414" t="e">
        <f>S894*V894/1000</f>
        <v>#REF!</v>
      </c>
      <c r="AE894" s="414" t="str">
        <f t="shared" si="122"/>
        <v>|</v>
      </c>
      <c r="AG894" s="412" t="s">
        <v>1841</v>
      </c>
    </row>
    <row r="895" spans="6:33" ht="24" customHeight="1">
      <c r="F895" s="414">
        <v>3</v>
      </c>
      <c r="G895" s="414" t="s">
        <v>701</v>
      </c>
      <c r="H895" s="412" t="s">
        <v>964</v>
      </c>
      <c r="I895" s="414">
        <f t="shared" si="126"/>
        <v>14.8</v>
      </c>
      <c r="J895" s="412" t="s">
        <v>701</v>
      </c>
      <c r="K895" s="414">
        <f t="shared" ref="K895:K902" si="128">F895*I895</f>
        <v>44.4</v>
      </c>
      <c r="O895" s="413" t="s">
        <v>948</v>
      </c>
      <c r="R895" s="414">
        <f>R893/0.0283</f>
        <v>22994.7</v>
      </c>
      <c r="S895" s="414">
        <v>3</v>
      </c>
      <c r="T895" s="414" t="s">
        <v>701</v>
      </c>
      <c r="U895" s="412" t="s">
        <v>964</v>
      </c>
      <c r="V895" s="414">
        <f t="shared" si="127"/>
        <v>14.8</v>
      </c>
      <c r="W895" s="413" t="s">
        <v>701</v>
      </c>
      <c r="X895" s="414">
        <f t="shared" ref="X895:X902" si="129">S895*V895</f>
        <v>44.4</v>
      </c>
      <c r="AE895" s="414" t="str">
        <f t="shared" si="122"/>
        <v>|</v>
      </c>
      <c r="AG895" s="412" t="s">
        <v>1841</v>
      </c>
    </row>
    <row r="896" spans="6:33" ht="24" customHeight="1">
      <c r="F896" s="414">
        <v>12</v>
      </c>
      <c r="G896" s="414" t="s">
        <v>701</v>
      </c>
      <c r="H896" s="412" t="s">
        <v>965</v>
      </c>
      <c r="I896" s="414">
        <f t="shared" si="126"/>
        <v>2</v>
      </c>
      <c r="J896" s="412" t="s">
        <v>701</v>
      </c>
      <c r="K896" s="414">
        <f t="shared" si="128"/>
        <v>24</v>
      </c>
      <c r="R896" s="418" t="s">
        <v>1288</v>
      </c>
      <c r="S896" s="414">
        <v>12</v>
      </c>
      <c r="T896" s="414" t="s">
        <v>701</v>
      </c>
      <c r="U896" s="412" t="s">
        <v>965</v>
      </c>
      <c r="V896" s="414">
        <f t="shared" si="127"/>
        <v>2</v>
      </c>
      <c r="W896" s="413" t="s">
        <v>701</v>
      </c>
      <c r="X896" s="414">
        <f t="shared" si="129"/>
        <v>24</v>
      </c>
      <c r="AE896" s="414" t="str">
        <f t="shared" si="122"/>
        <v>|</v>
      </c>
      <c r="AG896" s="412" t="s">
        <v>1841</v>
      </c>
    </row>
    <row r="897" spans="6:33" ht="24" customHeight="1">
      <c r="F897" s="414">
        <v>2</v>
      </c>
      <c r="G897" s="414" t="s">
        <v>701</v>
      </c>
      <c r="H897" s="414" t="str">
        <f>H881</f>
        <v>TOWER BOLT RECEIVER</v>
      </c>
      <c r="I897" s="414">
        <f t="shared" si="126"/>
        <v>4.9000000000000004</v>
      </c>
      <c r="J897" s="412" t="s">
        <v>701</v>
      </c>
      <c r="K897" s="414">
        <f t="shared" si="128"/>
        <v>9.8000000000000007</v>
      </c>
      <c r="S897" s="414">
        <v>2</v>
      </c>
      <c r="T897" s="414" t="s">
        <v>701</v>
      </c>
      <c r="U897" s="412" t="s">
        <v>966</v>
      </c>
      <c r="V897" s="414">
        <f t="shared" si="127"/>
        <v>4.9000000000000004</v>
      </c>
      <c r="W897" s="413" t="s">
        <v>701</v>
      </c>
      <c r="X897" s="414">
        <f t="shared" si="129"/>
        <v>9.8000000000000007</v>
      </c>
      <c r="AE897" s="414" t="str">
        <f t="shared" si="122"/>
        <v>|</v>
      </c>
      <c r="AG897" s="412" t="s">
        <v>1841</v>
      </c>
    </row>
    <row r="898" spans="6:33" ht="24" customHeight="1">
      <c r="F898" s="414">
        <v>6</v>
      </c>
      <c r="G898" s="414" t="s">
        <v>701</v>
      </c>
      <c r="H898" s="412" t="s">
        <v>1808</v>
      </c>
      <c r="I898" s="414">
        <f t="shared" si="126"/>
        <v>4.45</v>
      </c>
      <c r="J898" s="412" t="s">
        <v>701</v>
      </c>
      <c r="K898" s="414">
        <f t="shared" si="128"/>
        <v>26.7</v>
      </c>
      <c r="S898" s="414">
        <v>6</v>
      </c>
      <c r="T898" s="414" t="s">
        <v>701</v>
      </c>
      <c r="U898" s="412" t="s">
        <v>1808</v>
      </c>
      <c r="V898" s="414">
        <f t="shared" si="127"/>
        <v>4.45</v>
      </c>
      <c r="W898" s="413" t="s">
        <v>701</v>
      </c>
      <c r="X898" s="414">
        <f t="shared" si="129"/>
        <v>26.7</v>
      </c>
      <c r="AE898" s="414" t="str">
        <f t="shared" si="122"/>
        <v>|</v>
      </c>
      <c r="AG898" s="412" t="s">
        <v>1841</v>
      </c>
    </row>
    <row r="899" spans="6:33" ht="24" customHeight="1">
      <c r="F899" s="414">
        <v>1</v>
      </c>
      <c r="G899" s="414" t="s">
        <v>701</v>
      </c>
      <c r="H899" s="412" t="s">
        <v>967</v>
      </c>
      <c r="I899" s="414">
        <f>C10</f>
        <v>999</v>
      </c>
      <c r="J899" s="412" t="s">
        <v>701</v>
      </c>
      <c r="K899" s="414">
        <f t="shared" si="128"/>
        <v>999</v>
      </c>
      <c r="S899" s="414">
        <v>1</v>
      </c>
      <c r="T899" s="414" t="s">
        <v>701</v>
      </c>
      <c r="U899" s="412" t="s">
        <v>967</v>
      </c>
      <c r="V899" s="414">
        <f t="shared" si="127"/>
        <v>999</v>
      </c>
      <c r="W899" s="413" t="s">
        <v>701</v>
      </c>
      <c r="X899" s="414">
        <f t="shared" si="129"/>
        <v>999</v>
      </c>
      <c r="AE899" s="414" t="str">
        <f t="shared" si="122"/>
        <v>|</v>
      </c>
      <c r="AG899" s="412" t="s">
        <v>1841</v>
      </c>
    </row>
    <row r="900" spans="6:33" ht="24" customHeight="1">
      <c r="F900" s="414">
        <v>1</v>
      </c>
      <c r="G900" s="414" t="s">
        <v>701</v>
      </c>
      <c r="H900" s="412" t="s">
        <v>968</v>
      </c>
      <c r="I900" s="414">
        <f>C12</f>
        <v>651</v>
      </c>
      <c r="J900" s="412" t="s">
        <v>701</v>
      </c>
      <c r="K900" s="414">
        <f t="shared" si="128"/>
        <v>651</v>
      </c>
      <c r="S900" s="414">
        <v>1</v>
      </c>
      <c r="T900" s="414" t="s">
        <v>701</v>
      </c>
      <c r="U900" s="412" t="s">
        <v>968</v>
      </c>
      <c r="V900" s="414">
        <f t="shared" si="127"/>
        <v>651</v>
      </c>
      <c r="W900" s="413" t="s">
        <v>701</v>
      </c>
      <c r="X900" s="414">
        <f t="shared" si="129"/>
        <v>651</v>
      </c>
      <c r="AE900" s="414" t="str">
        <f t="shared" si="122"/>
        <v>|</v>
      </c>
      <c r="AG900" s="412" t="s">
        <v>1841</v>
      </c>
    </row>
    <row r="901" spans="6:33" ht="24" customHeight="1">
      <c r="F901" s="414">
        <v>1</v>
      </c>
      <c r="G901" s="414" t="s">
        <v>701</v>
      </c>
      <c r="H901" s="414" t="str">
        <f>H885</f>
        <v>MOULDING CHARGES</v>
      </c>
      <c r="I901" s="414">
        <v>25</v>
      </c>
      <c r="J901" s="412" t="s">
        <v>701</v>
      </c>
      <c r="K901" s="414">
        <f t="shared" si="128"/>
        <v>25</v>
      </c>
      <c r="S901" s="414">
        <v>1</v>
      </c>
      <c r="T901" s="414" t="s">
        <v>701</v>
      </c>
      <c r="U901" s="412" t="s">
        <v>969</v>
      </c>
      <c r="V901" s="414">
        <f t="shared" si="127"/>
        <v>25</v>
      </c>
      <c r="W901" s="413" t="s">
        <v>701</v>
      </c>
      <c r="X901" s="414">
        <f t="shared" si="129"/>
        <v>25</v>
      </c>
      <c r="AE901" s="414">
        <f t="shared" si="122"/>
        <v>0</v>
      </c>
    </row>
    <row r="902" spans="6:33" ht="24" customHeight="1">
      <c r="F902" s="414">
        <v>0.5</v>
      </c>
      <c r="G902" s="414" t="s">
        <v>701</v>
      </c>
      <c r="H902" s="412" t="s">
        <v>970</v>
      </c>
      <c r="I902" s="414">
        <f>C13</f>
        <v>534</v>
      </c>
      <c r="J902" s="412" t="s">
        <v>701</v>
      </c>
      <c r="K902" s="414">
        <f t="shared" si="128"/>
        <v>267</v>
      </c>
      <c r="N902" s="412"/>
      <c r="O902" s="412"/>
      <c r="S902" s="414">
        <v>0.5</v>
      </c>
      <c r="T902" s="414" t="s">
        <v>701</v>
      </c>
      <c r="U902" s="412" t="s">
        <v>970</v>
      </c>
      <c r="V902" s="414">
        <f t="shared" si="127"/>
        <v>534</v>
      </c>
      <c r="W902" s="413" t="s">
        <v>701</v>
      </c>
      <c r="X902" s="414">
        <f t="shared" si="129"/>
        <v>267</v>
      </c>
      <c r="AE902" s="414">
        <f t="shared" si="122"/>
        <v>0</v>
      </c>
    </row>
    <row r="903" spans="6:33" ht="24" customHeight="1">
      <c r="G903" s="414" t="s">
        <v>358</v>
      </c>
      <c r="H903" s="412" t="s">
        <v>1742</v>
      </c>
      <c r="J903" s="412" t="s">
        <v>358</v>
      </c>
      <c r="K903" s="414">
        <v>1.39</v>
      </c>
      <c r="M903" s="440"/>
      <c r="N903" s="412"/>
      <c r="O903" s="412"/>
      <c r="S903" s="414"/>
      <c r="T903" s="414" t="s">
        <v>358</v>
      </c>
      <c r="U903" s="412" t="s">
        <v>1742</v>
      </c>
      <c r="W903" s="413" t="s">
        <v>358</v>
      </c>
      <c r="X903" s="414">
        <v>0.21</v>
      </c>
      <c r="AE903" s="414">
        <f t="shared" si="122"/>
        <v>0</v>
      </c>
    </row>
    <row r="904" spans="6:33" ht="24" customHeight="1">
      <c r="K904" s="418" t="s">
        <v>1288</v>
      </c>
      <c r="N904" s="412"/>
      <c r="O904" s="412"/>
      <c r="S904" s="414"/>
      <c r="W904" s="413"/>
      <c r="X904" s="418" t="s">
        <v>1288</v>
      </c>
      <c r="AE904" s="414">
        <f t="shared" si="122"/>
        <v>0</v>
      </c>
    </row>
    <row r="905" spans="6:33" ht="24" customHeight="1">
      <c r="H905" s="420" t="s">
        <v>222</v>
      </c>
      <c r="K905" s="417" t="e">
        <f>SUM(K893:K903)</f>
        <v>#REF!</v>
      </c>
      <c r="S905" s="414"/>
      <c r="U905" s="420" t="s">
        <v>222</v>
      </c>
      <c r="W905" s="413"/>
      <c r="X905" s="417" t="e">
        <f>SUM(X893:X903)</f>
        <v>#REF!</v>
      </c>
      <c r="AE905" s="414">
        <f t="shared" si="122"/>
        <v>0</v>
      </c>
    </row>
    <row r="906" spans="6:33" ht="24" customHeight="1">
      <c r="K906" s="418" t="s">
        <v>1288</v>
      </c>
      <c r="W906" s="413"/>
      <c r="AE906" s="414">
        <f t="shared" si="122"/>
        <v>0</v>
      </c>
    </row>
    <row r="907" spans="6:33" ht="24" customHeight="1">
      <c r="R907" s="418"/>
      <c r="W907" s="413"/>
      <c r="AE907" s="414">
        <f t="shared" si="122"/>
        <v>0</v>
      </c>
    </row>
    <row r="908" spans="6:33" ht="100.15" customHeight="1">
      <c r="F908" s="447">
        <v>21.3</v>
      </c>
      <c r="G908" s="414" t="s">
        <v>1833</v>
      </c>
      <c r="H908" s="448" t="s">
        <v>1405</v>
      </c>
      <c r="O908" s="413"/>
      <c r="W908" s="413"/>
      <c r="AE908" s="414">
        <f t="shared" si="122"/>
        <v>0</v>
      </c>
    </row>
    <row r="909" spans="6:33" ht="24" customHeight="1">
      <c r="H909" s="412" t="s">
        <v>1842</v>
      </c>
      <c r="W909" s="413"/>
      <c r="AE909" s="414">
        <f t="shared" si="122"/>
        <v>0</v>
      </c>
    </row>
    <row r="910" spans="6:33" ht="24" customHeight="1">
      <c r="H910" s="418" t="s">
        <v>1288</v>
      </c>
      <c r="J910" s="412" t="s">
        <v>1062</v>
      </c>
      <c r="W910" s="413"/>
      <c r="AE910" s="414">
        <f t="shared" si="122"/>
        <v>0</v>
      </c>
    </row>
    <row r="911" spans="6:33" ht="24" customHeight="1">
      <c r="W911" s="413"/>
      <c r="AE911" s="414">
        <f t="shared" si="122"/>
        <v>0</v>
      </c>
    </row>
    <row r="912" spans="6:33" ht="24" customHeight="1">
      <c r="H912" s="412" t="s">
        <v>2987</v>
      </c>
      <c r="J912" s="412" t="s">
        <v>488</v>
      </c>
      <c r="K912" s="417">
        <v>2135</v>
      </c>
      <c r="W912" s="413"/>
      <c r="AE912" s="414">
        <f t="shared" si="122"/>
        <v>0</v>
      </c>
    </row>
    <row r="913" spans="6:33" ht="24" customHeight="1">
      <c r="F913" s="412" t="s">
        <v>790</v>
      </c>
      <c r="W913" s="413"/>
      <c r="AE913" s="414">
        <f t="shared" si="122"/>
        <v>0</v>
      </c>
    </row>
    <row r="914" spans="6:33" ht="24" customHeight="1">
      <c r="H914" s="413" t="s">
        <v>1843</v>
      </c>
      <c r="K914" s="418" t="s">
        <v>1676</v>
      </c>
      <c r="W914" s="413"/>
      <c r="AE914" s="414">
        <f t="shared" si="122"/>
        <v>0</v>
      </c>
    </row>
    <row r="915" spans="6:33" ht="24" customHeight="1">
      <c r="H915" s="413" t="s">
        <v>1111</v>
      </c>
      <c r="W915" s="413"/>
      <c r="AE915" s="414">
        <f t="shared" si="122"/>
        <v>0</v>
      </c>
    </row>
    <row r="916" spans="6:33" ht="24" customHeight="1">
      <c r="F916" s="427">
        <v>21.2</v>
      </c>
      <c r="H916" s="417" t="s">
        <v>1406</v>
      </c>
      <c r="W916" s="413"/>
      <c r="AE916" s="414">
        <f t="shared" si="122"/>
        <v>0</v>
      </c>
    </row>
    <row r="917" spans="6:33" ht="24" customHeight="1">
      <c r="F917" s="427"/>
      <c r="H917" s="418" t="s">
        <v>1288</v>
      </c>
      <c r="W917" s="413"/>
      <c r="AE917" s="414" t="str">
        <f t="shared" si="122"/>
        <v>|</v>
      </c>
      <c r="AG917" s="412" t="s">
        <v>1841</v>
      </c>
    </row>
    <row r="918" spans="6:33" ht="24" customHeight="1">
      <c r="G918" s="414" t="s">
        <v>125</v>
      </c>
      <c r="H918" s="412" t="s">
        <v>1112</v>
      </c>
      <c r="K918" s="412" t="s">
        <v>790</v>
      </c>
      <c r="W918" s="413"/>
      <c r="AE918" s="414" t="str">
        <f t="shared" si="122"/>
        <v>|</v>
      </c>
      <c r="AG918" s="412" t="s">
        <v>1841</v>
      </c>
    </row>
    <row r="919" spans="6:33" ht="24" customHeight="1">
      <c r="H919" s="418" t="s">
        <v>1288</v>
      </c>
      <c r="K919" s="412" t="s">
        <v>790</v>
      </c>
      <c r="W919" s="413"/>
      <c r="AE919" s="414" t="str">
        <f t="shared" si="122"/>
        <v>|</v>
      </c>
      <c r="AG919" s="412" t="s">
        <v>1841</v>
      </c>
    </row>
    <row r="920" spans="6:33" ht="24" customHeight="1">
      <c r="F920" s="414">
        <v>1</v>
      </c>
      <c r="G920" s="414" t="s">
        <v>702</v>
      </c>
      <c r="H920" s="412" t="s">
        <v>1272</v>
      </c>
      <c r="I920" s="414">
        <f>C30</f>
        <v>13690</v>
      </c>
      <c r="J920" s="412" t="s">
        <v>702</v>
      </c>
      <c r="K920" s="414">
        <f>(F920*I920)</f>
        <v>13690</v>
      </c>
      <c r="W920" s="413"/>
      <c r="AE920" s="414" t="str">
        <f t="shared" si="122"/>
        <v>|</v>
      </c>
      <c r="AG920" s="412" t="s">
        <v>1841</v>
      </c>
    </row>
    <row r="921" spans="6:33" ht="24" customHeight="1">
      <c r="F921" s="414">
        <v>1</v>
      </c>
      <c r="G921" s="414" t="s">
        <v>702</v>
      </c>
      <c r="H921" s="412" t="s">
        <v>1112</v>
      </c>
      <c r="I921" s="414" t="e">
        <f>C88</f>
        <v>#REF!</v>
      </c>
      <c r="J921" s="412" t="s">
        <v>702</v>
      </c>
      <c r="K921" s="414" t="e">
        <f>(F921*I921)</f>
        <v>#REF!</v>
      </c>
      <c r="W921" s="413"/>
      <c r="AE921" s="414" t="str">
        <f t="shared" si="122"/>
        <v>|</v>
      </c>
      <c r="AG921" s="412" t="s">
        <v>1841</v>
      </c>
    </row>
    <row r="922" spans="6:33" ht="24" customHeight="1">
      <c r="K922" s="418" t="s">
        <v>1676</v>
      </c>
      <c r="W922" s="413"/>
      <c r="AE922" s="414">
        <f t="shared" si="122"/>
        <v>0</v>
      </c>
    </row>
    <row r="923" spans="6:33" ht="24" customHeight="1">
      <c r="H923" s="412" t="s">
        <v>1273</v>
      </c>
      <c r="K923" s="417" t="e">
        <f>SUM(K920:K921)</f>
        <v>#REF!</v>
      </c>
      <c r="W923" s="413"/>
      <c r="AE923" s="414" t="str">
        <f t="shared" si="122"/>
        <v>|</v>
      </c>
      <c r="AG923" s="412" t="s">
        <v>1841</v>
      </c>
    </row>
    <row r="924" spans="6:33" ht="24" customHeight="1">
      <c r="K924" s="418" t="s">
        <v>1676</v>
      </c>
      <c r="W924" s="413"/>
      <c r="AE924" s="414" t="str">
        <f t="shared" si="122"/>
        <v>|</v>
      </c>
      <c r="AG924" s="412" t="s">
        <v>1841</v>
      </c>
    </row>
    <row r="925" spans="6:33" ht="24" customHeight="1">
      <c r="G925" s="414" t="s">
        <v>1261</v>
      </c>
      <c r="H925" s="412" t="s">
        <v>1274</v>
      </c>
      <c r="K925" s="412" t="s">
        <v>790</v>
      </c>
      <c r="W925" s="413"/>
      <c r="AE925" s="414" t="str">
        <f t="shared" si="122"/>
        <v>|</v>
      </c>
      <c r="AG925" s="412" t="s">
        <v>1841</v>
      </c>
    </row>
    <row r="926" spans="6:33" ht="24" customHeight="1">
      <c r="H926" s="418" t="s">
        <v>1288</v>
      </c>
      <c r="M926" s="413" t="s">
        <v>456</v>
      </c>
      <c r="N926" s="414" t="s">
        <v>1833</v>
      </c>
      <c r="O926" s="412" t="s">
        <v>254</v>
      </c>
      <c r="Q926" s="412"/>
      <c r="W926" s="413"/>
      <c r="AE926" s="414">
        <f t="shared" si="122"/>
        <v>0</v>
      </c>
      <c r="AG926" s="412"/>
    </row>
    <row r="927" spans="6:33" ht="24" customHeight="1">
      <c r="F927" s="414">
        <v>1</v>
      </c>
      <c r="G927" s="414" t="s">
        <v>702</v>
      </c>
      <c r="H927" s="412" t="s">
        <v>1272</v>
      </c>
      <c r="I927" s="414">
        <f>C30</f>
        <v>13690</v>
      </c>
      <c r="J927" s="412" t="s">
        <v>702</v>
      </c>
      <c r="K927" s="414">
        <f>(F927*I927)</f>
        <v>13690</v>
      </c>
      <c r="O927" s="412" t="s">
        <v>200</v>
      </c>
      <c r="Q927" s="412"/>
      <c r="W927" s="413"/>
      <c r="AE927" s="414" t="str">
        <f t="shared" si="122"/>
        <v>|</v>
      </c>
      <c r="AG927" s="412" t="s">
        <v>1841</v>
      </c>
    </row>
    <row r="928" spans="6:33" ht="24" customHeight="1">
      <c r="F928" s="414">
        <v>1</v>
      </c>
      <c r="G928" s="414" t="s">
        <v>702</v>
      </c>
      <c r="H928" s="412" t="s">
        <v>1112</v>
      </c>
      <c r="I928" s="414" t="e">
        <f>C89</f>
        <v>#REF!</v>
      </c>
      <c r="J928" s="412" t="s">
        <v>702</v>
      </c>
      <c r="K928" s="414" t="e">
        <f>(F928*I928)</f>
        <v>#REF!</v>
      </c>
      <c r="O928" s="412" t="s">
        <v>1197</v>
      </c>
      <c r="Q928" s="412"/>
      <c r="W928" s="413"/>
      <c r="AE928" s="414" t="str">
        <f t="shared" si="122"/>
        <v>|</v>
      </c>
      <c r="AG928" s="412" t="s">
        <v>1841</v>
      </c>
    </row>
    <row r="929" spans="6:33" ht="24" customHeight="1">
      <c r="K929" s="418" t="s">
        <v>1676</v>
      </c>
      <c r="O929" s="418" t="s">
        <v>1288</v>
      </c>
      <c r="Q929" s="412"/>
      <c r="W929" s="413"/>
      <c r="AE929" s="414" t="str">
        <f t="shared" si="122"/>
        <v>|</v>
      </c>
      <c r="AG929" s="412" t="s">
        <v>1841</v>
      </c>
    </row>
    <row r="930" spans="6:33" ht="24" customHeight="1">
      <c r="H930" s="412" t="s">
        <v>1275</v>
      </c>
      <c r="K930" s="417" t="e">
        <f>SUM(K927:K928)</f>
        <v>#REF!</v>
      </c>
      <c r="O930" s="412" t="s">
        <v>68</v>
      </c>
      <c r="Q930" s="412"/>
      <c r="W930" s="413"/>
      <c r="AE930" s="414" t="str">
        <f t="shared" si="122"/>
        <v>|</v>
      </c>
      <c r="AG930" s="412" t="s">
        <v>1841</v>
      </c>
    </row>
    <row r="931" spans="6:33" ht="24" customHeight="1">
      <c r="K931" s="418" t="s">
        <v>1676</v>
      </c>
      <c r="O931" s="412" t="s">
        <v>69</v>
      </c>
      <c r="Q931" s="412"/>
      <c r="W931" s="413"/>
      <c r="AE931" s="414" t="str">
        <f t="shared" si="122"/>
        <v>|</v>
      </c>
      <c r="AG931" s="412" t="s">
        <v>1841</v>
      </c>
    </row>
    <row r="932" spans="6:33" ht="24" customHeight="1">
      <c r="Q932" s="412" t="s">
        <v>1288</v>
      </c>
      <c r="W932" s="413"/>
      <c r="AE932" s="414" t="str">
        <f t="shared" si="122"/>
        <v>|</v>
      </c>
      <c r="AG932" s="412" t="s">
        <v>1841</v>
      </c>
    </row>
    <row r="933" spans="6:33" ht="24" customHeight="1">
      <c r="F933" s="413" t="s">
        <v>456</v>
      </c>
      <c r="G933" s="414" t="s">
        <v>1833</v>
      </c>
      <c r="H933" s="412" t="s">
        <v>199</v>
      </c>
      <c r="O933" s="412" t="s">
        <v>954</v>
      </c>
      <c r="Q933" s="412"/>
      <c r="W933" s="413"/>
      <c r="AE933" s="414" t="str">
        <f t="shared" si="122"/>
        <v>|</v>
      </c>
      <c r="AG933" s="412" t="s">
        <v>1841</v>
      </c>
    </row>
    <row r="934" spans="6:33" ht="24" customHeight="1">
      <c r="H934" s="412" t="s">
        <v>200</v>
      </c>
      <c r="O934" s="412" t="s">
        <v>1634</v>
      </c>
      <c r="Q934" s="412"/>
      <c r="R934" s="439">
        <v>2.4299999999999999E-2</v>
      </c>
      <c r="W934" s="413"/>
      <c r="AE934" s="414" t="str">
        <f t="shared" si="122"/>
        <v>|</v>
      </c>
      <c r="AG934" s="412" t="s">
        <v>1841</v>
      </c>
    </row>
    <row r="935" spans="6:33" ht="24" customHeight="1">
      <c r="H935" s="412" t="s">
        <v>1197</v>
      </c>
      <c r="Q935" s="412" t="s">
        <v>790</v>
      </c>
      <c r="R935" s="418" t="s">
        <v>1288</v>
      </c>
      <c r="W935" s="413"/>
      <c r="AE935" s="414" t="str">
        <f t="shared" si="122"/>
        <v>|</v>
      </c>
      <c r="AG935" s="412" t="s">
        <v>1841</v>
      </c>
    </row>
    <row r="936" spans="6:33" ht="24" customHeight="1">
      <c r="H936" s="418" t="s">
        <v>1288</v>
      </c>
      <c r="O936" s="412" t="s">
        <v>1635</v>
      </c>
      <c r="Q936" s="449" t="s">
        <v>790</v>
      </c>
      <c r="R936" s="439">
        <v>1.47E-2</v>
      </c>
      <c r="W936" s="413"/>
      <c r="AE936" s="414" t="str">
        <f t="shared" si="122"/>
        <v>|</v>
      </c>
      <c r="AG936" s="412" t="s">
        <v>1841</v>
      </c>
    </row>
    <row r="937" spans="6:33" ht="24" customHeight="1">
      <c r="H937" s="412" t="s">
        <v>68</v>
      </c>
      <c r="O937" s="412" t="s">
        <v>1438</v>
      </c>
      <c r="Q937" s="412" t="s">
        <v>790</v>
      </c>
      <c r="R937" s="439">
        <v>4.5999999999999999E-3</v>
      </c>
      <c r="W937" s="413"/>
      <c r="AE937" s="414" t="str">
        <f t="shared" si="122"/>
        <v>|</v>
      </c>
      <c r="AG937" s="412" t="s">
        <v>1841</v>
      </c>
    </row>
    <row r="938" spans="6:33" ht="24" customHeight="1">
      <c r="H938" s="412" t="s">
        <v>69</v>
      </c>
      <c r="Q938" s="412"/>
      <c r="R938" s="418" t="s">
        <v>1288</v>
      </c>
      <c r="W938" s="413"/>
      <c r="AE938" s="414" t="str">
        <f t="shared" si="122"/>
        <v>|</v>
      </c>
      <c r="AG938" s="412" t="s">
        <v>1841</v>
      </c>
    </row>
    <row r="939" spans="6:33" ht="24" customHeight="1">
      <c r="J939" s="412" t="s">
        <v>1288</v>
      </c>
      <c r="Q939" s="412"/>
      <c r="R939" s="439">
        <v>1.9300000000000001E-2</v>
      </c>
      <c r="W939" s="413"/>
      <c r="AE939" s="414" t="str">
        <f t="shared" si="122"/>
        <v>|</v>
      </c>
      <c r="AG939" s="412" t="s">
        <v>1841</v>
      </c>
    </row>
    <row r="940" spans="6:33" ht="24" customHeight="1">
      <c r="H940" s="412" t="s">
        <v>954</v>
      </c>
      <c r="Q940" s="412"/>
      <c r="R940" s="418" t="s">
        <v>1288</v>
      </c>
      <c r="W940" s="413"/>
      <c r="AE940" s="414" t="str">
        <f t="shared" si="122"/>
        <v>|</v>
      </c>
      <c r="AG940" s="412" t="s">
        <v>1841</v>
      </c>
    </row>
    <row r="941" spans="6:33" ht="24" customHeight="1">
      <c r="H941" s="412" t="s">
        <v>1634</v>
      </c>
      <c r="K941" s="439">
        <v>2.4299999999999999E-2</v>
      </c>
      <c r="Q941" s="412"/>
      <c r="W941" s="413"/>
      <c r="AE941" s="414" t="str">
        <f t="shared" si="122"/>
        <v>|</v>
      </c>
      <c r="AG941" s="412" t="s">
        <v>1841</v>
      </c>
    </row>
    <row r="942" spans="6:33" ht="24" customHeight="1">
      <c r="J942" s="412" t="s">
        <v>790</v>
      </c>
      <c r="K942" s="418" t="s">
        <v>1288</v>
      </c>
      <c r="Q942" s="412"/>
      <c r="W942" s="413"/>
      <c r="AE942" s="414" t="str">
        <f t="shared" si="122"/>
        <v>|</v>
      </c>
      <c r="AG942" s="412" t="s">
        <v>1841</v>
      </c>
    </row>
    <row r="943" spans="6:33" ht="24" customHeight="1">
      <c r="H943" s="412" t="s">
        <v>1635</v>
      </c>
      <c r="J943" s="449" t="s">
        <v>790</v>
      </c>
      <c r="K943" s="439">
        <v>1.47E-2</v>
      </c>
      <c r="M943" s="439">
        <v>1.14E-2</v>
      </c>
      <c r="N943" s="414" t="s">
        <v>702</v>
      </c>
      <c r="O943" s="412" t="s">
        <v>2351</v>
      </c>
      <c r="P943" s="414" t="e">
        <f>C86</f>
        <v>#REF!</v>
      </c>
      <c r="Q943" s="412" t="s">
        <v>702</v>
      </c>
      <c r="R943" s="414" t="e">
        <f>(M943*P943)</f>
        <v>#REF!</v>
      </c>
      <c r="W943" s="413"/>
      <c r="AE943" s="414" t="str">
        <f t="shared" si="122"/>
        <v>|</v>
      </c>
      <c r="AG943" s="412" t="s">
        <v>1841</v>
      </c>
    </row>
    <row r="944" spans="6:33" ht="24" customHeight="1">
      <c r="H944" s="412" t="s">
        <v>1438</v>
      </c>
      <c r="J944" s="412" t="s">
        <v>790</v>
      </c>
      <c r="K944" s="439">
        <v>4.5999999999999999E-3</v>
      </c>
      <c r="M944" s="439">
        <v>2.4299999999999999E-2</v>
      </c>
      <c r="N944" s="414" t="s">
        <v>702</v>
      </c>
      <c r="O944" s="412" t="s">
        <v>2352</v>
      </c>
      <c r="P944" s="414" t="e">
        <f>P943</f>
        <v>#REF!</v>
      </c>
      <c r="Q944" s="412" t="s">
        <v>702</v>
      </c>
      <c r="R944" s="414" t="e">
        <f>(M944*P944)</f>
        <v>#REF!</v>
      </c>
      <c r="W944" s="413"/>
      <c r="AE944" s="414" t="str">
        <f t="shared" si="122"/>
        <v>|</v>
      </c>
      <c r="AG944" s="412" t="s">
        <v>1841</v>
      </c>
    </row>
    <row r="945" spans="6:33" ht="24" customHeight="1">
      <c r="K945" s="418" t="s">
        <v>1288</v>
      </c>
      <c r="M945" s="439">
        <v>1.9300000000000001E-2</v>
      </c>
      <c r="N945" s="414" t="s">
        <v>702</v>
      </c>
      <c r="O945" s="412" t="s">
        <v>2353</v>
      </c>
      <c r="P945" s="414" t="e">
        <f>C87</f>
        <v>#REF!</v>
      </c>
      <c r="Q945" s="412" t="s">
        <v>702</v>
      </c>
      <c r="R945" s="414" t="e">
        <f>(M945*P945)</f>
        <v>#REF!</v>
      </c>
      <c r="W945" s="413"/>
      <c r="AE945" s="414" t="str">
        <f t="shared" si="122"/>
        <v>|</v>
      </c>
      <c r="AG945" s="412" t="s">
        <v>1841</v>
      </c>
    </row>
    <row r="946" spans="6:33" ht="24" customHeight="1">
      <c r="K946" s="439">
        <v>1.9300000000000001E-2</v>
      </c>
      <c r="M946" s="440"/>
      <c r="O946" s="412"/>
      <c r="P946" s="412" t="s">
        <v>790</v>
      </c>
      <c r="Q946" s="412"/>
      <c r="R946" s="412" t="s">
        <v>790</v>
      </c>
      <c r="W946" s="413"/>
      <c r="AE946" s="414">
        <f t="shared" si="122"/>
        <v>0</v>
      </c>
    </row>
    <row r="947" spans="6:33" ht="24" customHeight="1">
      <c r="K947" s="418" t="s">
        <v>1288</v>
      </c>
      <c r="M947" s="440">
        <v>1.823</v>
      </c>
      <c r="N947" s="414" t="s">
        <v>488</v>
      </c>
      <c r="O947" s="412" t="s">
        <v>356</v>
      </c>
      <c r="P947" s="414">
        <f>I954</f>
        <v>1537</v>
      </c>
      <c r="Q947" s="412" t="s">
        <v>488</v>
      </c>
      <c r="R947" s="414">
        <f t="shared" ref="R947:R953" si="130">(M947*P947)</f>
        <v>2801.95</v>
      </c>
      <c r="W947" s="413"/>
      <c r="AE947" s="414">
        <f t="shared" si="122"/>
        <v>0</v>
      </c>
    </row>
    <row r="948" spans="6:33" ht="24" hidden="1" customHeight="1">
      <c r="M948" s="414">
        <v>1</v>
      </c>
      <c r="N948" s="414" t="s">
        <v>619</v>
      </c>
      <c r="O948" s="412" t="s">
        <v>1190</v>
      </c>
      <c r="P948" s="414">
        <f t="shared" ref="P948:P953" si="131">I955</f>
        <v>57.65</v>
      </c>
      <c r="Q948" s="412" t="s">
        <v>701</v>
      </c>
      <c r="R948" s="414">
        <f t="shared" si="130"/>
        <v>57.65</v>
      </c>
      <c r="W948" s="413"/>
      <c r="AE948" s="414">
        <f t="shared" si="122"/>
        <v>0</v>
      </c>
    </row>
    <row r="949" spans="6:33" ht="24" customHeight="1">
      <c r="M949" s="414">
        <v>3</v>
      </c>
      <c r="N949" s="414" t="s">
        <v>701</v>
      </c>
      <c r="O949" s="412" t="s">
        <v>1191</v>
      </c>
      <c r="P949" s="414">
        <f t="shared" si="131"/>
        <v>89.6</v>
      </c>
      <c r="Q949" s="412" t="s">
        <v>701</v>
      </c>
      <c r="R949" s="414">
        <f t="shared" si="130"/>
        <v>268.8</v>
      </c>
      <c r="W949" s="413"/>
      <c r="AE949" s="414">
        <f t="shared" si="122"/>
        <v>0</v>
      </c>
    </row>
    <row r="950" spans="6:33" ht="24" customHeight="1">
      <c r="F950" s="439">
        <v>1.14E-2</v>
      </c>
      <c r="G950" s="414" t="s">
        <v>702</v>
      </c>
      <c r="H950" s="412" t="s">
        <v>234</v>
      </c>
      <c r="I950" s="414" t="e">
        <f>C88</f>
        <v>#REF!</v>
      </c>
      <c r="J950" s="412" t="s">
        <v>702</v>
      </c>
      <c r="K950" s="414" t="e">
        <f>(F950*I950)</f>
        <v>#REF!</v>
      </c>
      <c r="M950" s="414">
        <v>2</v>
      </c>
      <c r="N950" s="414" t="s">
        <v>701</v>
      </c>
      <c r="O950" s="412" t="s">
        <v>1192</v>
      </c>
      <c r="P950" s="414">
        <f t="shared" si="131"/>
        <v>64.8</v>
      </c>
      <c r="Q950" s="412" t="s">
        <v>701</v>
      </c>
      <c r="R950" s="414">
        <f t="shared" si="130"/>
        <v>129.6</v>
      </c>
      <c r="W950" s="413"/>
      <c r="AE950" s="414">
        <f t="shared" ref="AE950:AE1013" si="132">AG950</f>
        <v>0</v>
      </c>
    </row>
    <row r="951" spans="6:33" ht="24" customHeight="1">
      <c r="F951" s="439">
        <v>2.4299999999999999E-2</v>
      </c>
      <c r="G951" s="414" t="s">
        <v>702</v>
      </c>
      <c r="H951" s="412" t="s">
        <v>235</v>
      </c>
      <c r="I951" s="414" t="e">
        <f>C89</f>
        <v>#REF!</v>
      </c>
      <c r="J951" s="412" t="s">
        <v>702</v>
      </c>
      <c r="K951" s="414" t="e">
        <f>(F951*I951)</f>
        <v>#REF!</v>
      </c>
      <c r="M951" s="414">
        <v>1</v>
      </c>
      <c r="N951" s="414" t="s">
        <v>701</v>
      </c>
      <c r="O951" s="412" t="s">
        <v>1193</v>
      </c>
      <c r="P951" s="414">
        <f t="shared" si="131"/>
        <v>181</v>
      </c>
      <c r="Q951" s="412" t="s">
        <v>701</v>
      </c>
      <c r="R951" s="414">
        <f t="shared" si="130"/>
        <v>181</v>
      </c>
      <c r="W951" s="413"/>
      <c r="AE951" s="414">
        <f t="shared" si="132"/>
        <v>0</v>
      </c>
    </row>
    <row r="952" spans="6:33" ht="24" customHeight="1">
      <c r="F952" s="439">
        <v>1.9300000000000001E-2</v>
      </c>
      <c r="G952" s="414" t="s">
        <v>702</v>
      </c>
      <c r="H952" s="412" t="s">
        <v>236</v>
      </c>
      <c r="I952" s="414" t="e">
        <f>C90</f>
        <v>#REF!</v>
      </c>
      <c r="J952" s="412" t="s">
        <v>702</v>
      </c>
      <c r="K952" s="414" t="e">
        <f>(F952*I952)</f>
        <v>#REF!</v>
      </c>
      <c r="M952" s="414">
        <v>1</v>
      </c>
      <c r="N952" s="414" t="s">
        <v>701</v>
      </c>
      <c r="O952" s="412" t="s">
        <v>1194</v>
      </c>
      <c r="P952" s="414">
        <f t="shared" si="131"/>
        <v>7.3</v>
      </c>
      <c r="Q952" s="412" t="s">
        <v>701</v>
      </c>
      <c r="R952" s="414">
        <f t="shared" si="130"/>
        <v>7.3</v>
      </c>
      <c r="W952" s="413"/>
      <c r="AE952" s="414">
        <f t="shared" si="132"/>
        <v>0</v>
      </c>
    </row>
    <row r="953" spans="6:33" ht="24" customHeight="1">
      <c r="F953" s="440"/>
      <c r="H953" s="412" t="s">
        <v>355</v>
      </c>
      <c r="I953" s="412" t="s">
        <v>790</v>
      </c>
      <c r="K953" s="412" t="s">
        <v>790</v>
      </c>
      <c r="M953" s="414">
        <v>1</v>
      </c>
      <c r="N953" s="414" t="s">
        <v>701</v>
      </c>
      <c r="O953" s="412" t="s">
        <v>1614</v>
      </c>
      <c r="P953" s="414">
        <f t="shared" si="131"/>
        <v>49.55</v>
      </c>
      <c r="Q953" s="412" t="s">
        <v>701</v>
      </c>
      <c r="R953" s="414">
        <f t="shared" si="130"/>
        <v>49.55</v>
      </c>
      <c r="W953" s="413"/>
      <c r="AE953" s="414">
        <f t="shared" si="132"/>
        <v>0</v>
      </c>
    </row>
    <row r="954" spans="6:33" ht="24" customHeight="1">
      <c r="F954" s="440">
        <v>1.823</v>
      </c>
      <c r="G954" s="414" t="s">
        <v>488</v>
      </c>
      <c r="H954" s="412" t="s">
        <v>356</v>
      </c>
      <c r="I954" s="414">
        <f>C31</f>
        <v>1537</v>
      </c>
      <c r="J954" s="412" t="s">
        <v>488</v>
      </c>
      <c r="K954" s="414">
        <f t="shared" ref="K954:K961" si="133">(F954*I954)</f>
        <v>2801.95</v>
      </c>
      <c r="Q954" s="412"/>
      <c r="R954" s="418" t="s">
        <v>1288</v>
      </c>
      <c r="W954" s="413"/>
      <c r="AE954" s="414">
        <f t="shared" si="132"/>
        <v>0</v>
      </c>
    </row>
    <row r="955" spans="6:33" ht="24" customHeight="1">
      <c r="F955" s="414">
        <v>1</v>
      </c>
      <c r="G955" s="414" t="s">
        <v>619</v>
      </c>
      <c r="H955" s="412" t="s">
        <v>3248</v>
      </c>
      <c r="I955" s="414">
        <f>C598</f>
        <v>57.65</v>
      </c>
      <c r="J955" s="412" t="s">
        <v>701</v>
      </c>
      <c r="K955" s="414">
        <f t="shared" si="133"/>
        <v>57.65</v>
      </c>
      <c r="O955" s="412" t="s">
        <v>1195</v>
      </c>
      <c r="Q955" s="412"/>
      <c r="R955" s="414" t="e">
        <f>SUM(R943:R953)</f>
        <v>#REF!</v>
      </c>
      <c r="W955" s="413"/>
      <c r="AE955" s="414">
        <f t="shared" si="132"/>
        <v>0</v>
      </c>
    </row>
    <row r="956" spans="6:33" ht="24" customHeight="1">
      <c r="F956" s="414">
        <v>3</v>
      </c>
      <c r="G956" s="414" t="s">
        <v>701</v>
      </c>
      <c r="H956" s="412" t="s">
        <v>3249</v>
      </c>
      <c r="I956" s="414">
        <f>C279</f>
        <v>89.6</v>
      </c>
      <c r="J956" s="412" t="s">
        <v>701</v>
      </c>
      <c r="K956" s="414">
        <f t="shared" si="133"/>
        <v>268.8</v>
      </c>
      <c r="Q956" s="412"/>
      <c r="R956" s="418" t="s">
        <v>1288</v>
      </c>
      <c r="W956" s="413"/>
      <c r="AE956" s="414">
        <f t="shared" si="132"/>
        <v>0</v>
      </c>
    </row>
    <row r="957" spans="6:33" ht="24" customHeight="1">
      <c r="F957" s="414">
        <v>2</v>
      </c>
      <c r="G957" s="414" t="s">
        <v>701</v>
      </c>
      <c r="H957" s="412" t="s">
        <v>3250</v>
      </c>
      <c r="I957" s="414">
        <f>C284</f>
        <v>64.8</v>
      </c>
      <c r="J957" s="412" t="s">
        <v>701</v>
      </c>
      <c r="K957" s="414">
        <f t="shared" si="133"/>
        <v>129.6</v>
      </c>
      <c r="O957" s="420" t="s">
        <v>447</v>
      </c>
      <c r="Q957" s="412"/>
      <c r="R957" s="417" t="e">
        <f>R955/M947</f>
        <v>#REF!</v>
      </c>
      <c r="W957" s="413"/>
      <c r="AE957" s="414">
        <f t="shared" si="132"/>
        <v>0</v>
      </c>
    </row>
    <row r="958" spans="6:33" ht="24" customHeight="1">
      <c r="F958" s="414">
        <v>1</v>
      </c>
      <c r="G958" s="414" t="s">
        <v>701</v>
      </c>
      <c r="H958" s="412" t="s">
        <v>3251</v>
      </c>
      <c r="I958" s="414">
        <f>C286</f>
        <v>181</v>
      </c>
      <c r="J958" s="412" t="s">
        <v>701</v>
      </c>
      <c r="K958" s="414">
        <f t="shared" si="133"/>
        <v>181</v>
      </c>
      <c r="M958" s="412" t="s">
        <v>790</v>
      </c>
      <c r="Q958" s="412"/>
      <c r="W958" s="413"/>
      <c r="AE958" s="414">
        <f t="shared" si="132"/>
        <v>0</v>
      </c>
    </row>
    <row r="959" spans="6:33" ht="24" customHeight="1">
      <c r="F959" s="414">
        <v>1</v>
      </c>
      <c r="G959" s="414" t="s">
        <v>701</v>
      </c>
      <c r="H959" s="412" t="s">
        <v>1194</v>
      </c>
      <c r="I959" s="414">
        <f>C288</f>
        <v>7.3</v>
      </c>
      <c r="J959" s="412" t="s">
        <v>701</v>
      </c>
      <c r="K959" s="414">
        <f t="shared" si="133"/>
        <v>7.3</v>
      </c>
      <c r="Q959" s="412"/>
      <c r="R959" s="418" t="s">
        <v>1676</v>
      </c>
      <c r="W959" s="413"/>
      <c r="AE959" s="414" t="str">
        <f t="shared" si="132"/>
        <v>|</v>
      </c>
      <c r="AG959" s="412" t="s">
        <v>1841</v>
      </c>
    </row>
    <row r="960" spans="6:33" ht="24" customHeight="1">
      <c r="F960" s="414">
        <v>1</v>
      </c>
      <c r="G960" s="414" t="s">
        <v>701</v>
      </c>
      <c r="H960" s="412" t="s">
        <v>3252</v>
      </c>
      <c r="I960" s="414">
        <f>D598</f>
        <v>49.55</v>
      </c>
      <c r="J960" s="412" t="s">
        <v>701</v>
      </c>
      <c r="K960" s="414">
        <f t="shared" si="133"/>
        <v>49.55</v>
      </c>
      <c r="W960" s="413"/>
      <c r="AE960" s="414" t="str">
        <f t="shared" si="132"/>
        <v>|</v>
      </c>
      <c r="AG960" s="412" t="s">
        <v>1841</v>
      </c>
    </row>
    <row r="961" spans="6:33" ht="24" customHeight="1">
      <c r="F961" s="414">
        <v>64</v>
      </c>
      <c r="G961" s="414" t="s">
        <v>838</v>
      </c>
      <c r="H961" s="412" t="s">
        <v>3176</v>
      </c>
      <c r="I961" s="414">
        <v>2.41</v>
      </c>
      <c r="J961" s="412" t="s">
        <v>129</v>
      </c>
      <c r="K961" s="414">
        <f t="shared" si="133"/>
        <v>154.24</v>
      </c>
      <c r="W961" s="413"/>
      <c r="AE961" s="414" t="str">
        <f t="shared" si="132"/>
        <v>|</v>
      </c>
      <c r="AG961" s="412" t="s">
        <v>1841</v>
      </c>
    </row>
    <row r="962" spans="6:33" ht="24" customHeight="1">
      <c r="H962" s="412" t="s">
        <v>1195</v>
      </c>
      <c r="K962" s="414" t="e">
        <f>SUM(K950:K961)</f>
        <v>#REF!</v>
      </c>
      <c r="W962" s="413"/>
      <c r="AE962" s="414" t="str">
        <f t="shared" si="132"/>
        <v>|</v>
      </c>
      <c r="AG962" s="412" t="s">
        <v>1841</v>
      </c>
    </row>
    <row r="963" spans="6:33" ht="24" customHeight="1">
      <c r="K963" s="418" t="s">
        <v>1288</v>
      </c>
      <c r="W963" s="413"/>
      <c r="AE963" s="414" t="str">
        <f t="shared" si="132"/>
        <v>|</v>
      </c>
      <c r="AG963" s="412" t="s">
        <v>1841</v>
      </c>
    </row>
    <row r="964" spans="6:33" ht="24" customHeight="1">
      <c r="H964" s="420" t="s">
        <v>447</v>
      </c>
      <c r="K964" s="417" t="e">
        <f>K962/F954</f>
        <v>#REF!</v>
      </c>
      <c r="W964" s="413"/>
      <c r="AE964" s="414" t="str">
        <f t="shared" si="132"/>
        <v>|</v>
      </c>
      <c r="AG964" s="412" t="s">
        <v>1841</v>
      </c>
    </row>
    <row r="965" spans="6:33" ht="24" hidden="1" customHeight="1">
      <c r="F965" s="412" t="s">
        <v>790</v>
      </c>
      <c r="W965" s="413"/>
      <c r="AE965" s="414" t="str">
        <f t="shared" si="132"/>
        <v>|</v>
      </c>
      <c r="AG965" s="412" t="s">
        <v>1841</v>
      </c>
    </row>
    <row r="966" spans="6:33" ht="24" customHeight="1">
      <c r="K966" s="418" t="s">
        <v>1676</v>
      </c>
      <c r="W966" s="413"/>
      <c r="AE966" s="414" t="str">
        <f t="shared" si="132"/>
        <v>|</v>
      </c>
      <c r="AG966" s="412" t="s">
        <v>1841</v>
      </c>
    </row>
    <row r="967" spans="6:33" ht="24" hidden="1" customHeight="1">
      <c r="W967" s="413"/>
      <c r="AE967" s="414" t="str">
        <f t="shared" si="132"/>
        <v>|</v>
      </c>
      <c r="AG967" s="412" t="s">
        <v>1841</v>
      </c>
    </row>
    <row r="968" spans="6:33" ht="24" customHeight="1">
      <c r="W968" s="413"/>
      <c r="AE968" s="414" t="str">
        <f t="shared" si="132"/>
        <v>|</v>
      </c>
      <c r="AG968" s="412" t="s">
        <v>1841</v>
      </c>
    </row>
    <row r="969" spans="6:33" ht="24" customHeight="1">
      <c r="F969" s="413" t="s">
        <v>1086</v>
      </c>
      <c r="G969" s="414" t="s">
        <v>1833</v>
      </c>
      <c r="H969" s="412" t="s">
        <v>199</v>
      </c>
      <c r="W969" s="413"/>
      <c r="AE969" s="414" t="str">
        <f t="shared" si="132"/>
        <v>|</v>
      </c>
      <c r="AG969" s="412" t="s">
        <v>1841</v>
      </c>
    </row>
    <row r="970" spans="6:33" ht="24" customHeight="1">
      <c r="H970" s="412" t="s">
        <v>200</v>
      </c>
      <c r="W970" s="413"/>
      <c r="AE970" s="414" t="str">
        <f t="shared" si="132"/>
        <v>|</v>
      </c>
      <c r="AG970" s="412" t="s">
        <v>1841</v>
      </c>
    </row>
    <row r="971" spans="6:33" ht="24" customHeight="1">
      <c r="H971" s="412" t="s">
        <v>1198</v>
      </c>
      <c r="W971" s="413"/>
      <c r="AE971" s="414" t="str">
        <f t="shared" si="132"/>
        <v>|</v>
      </c>
      <c r="AG971" s="412" t="s">
        <v>1841</v>
      </c>
    </row>
    <row r="972" spans="6:33" ht="24" customHeight="1">
      <c r="H972" s="418" t="s">
        <v>1288</v>
      </c>
      <c r="W972" s="413"/>
      <c r="AE972" s="414" t="str">
        <f t="shared" si="132"/>
        <v>|</v>
      </c>
      <c r="AG972" s="412" t="s">
        <v>1841</v>
      </c>
    </row>
    <row r="973" spans="6:33" ht="24" customHeight="1">
      <c r="W973" s="413"/>
      <c r="AE973" s="414" t="str">
        <f t="shared" si="132"/>
        <v>|</v>
      </c>
      <c r="AG973" s="412" t="s">
        <v>1841</v>
      </c>
    </row>
    <row r="974" spans="6:33" ht="24" customHeight="1">
      <c r="H974" s="412" t="s">
        <v>515</v>
      </c>
      <c r="W974" s="413"/>
      <c r="AE974" s="414">
        <f t="shared" si="132"/>
        <v>0</v>
      </c>
    </row>
    <row r="975" spans="6:33" ht="24" customHeight="1">
      <c r="H975" s="412" t="s">
        <v>516</v>
      </c>
      <c r="W975" s="413"/>
      <c r="AE975" s="414" t="str">
        <f t="shared" si="132"/>
        <v>|</v>
      </c>
      <c r="AG975" s="412" t="s">
        <v>1841</v>
      </c>
    </row>
    <row r="976" spans="6:33" ht="24" customHeight="1">
      <c r="J976" s="412" t="s">
        <v>1288</v>
      </c>
      <c r="W976" s="413"/>
      <c r="AE976" s="414">
        <f t="shared" si="132"/>
        <v>0</v>
      </c>
    </row>
    <row r="977" spans="6:33" ht="24" customHeight="1">
      <c r="H977" s="412" t="s">
        <v>517</v>
      </c>
      <c r="W977" s="413"/>
      <c r="AE977" s="414">
        <f t="shared" si="132"/>
        <v>0</v>
      </c>
    </row>
    <row r="978" spans="6:33" ht="24" customHeight="1">
      <c r="H978" s="412" t="s">
        <v>518</v>
      </c>
      <c r="K978" s="439">
        <v>2.1999999999999999E-2</v>
      </c>
      <c r="W978" s="413"/>
      <c r="AE978" s="414" t="str">
        <f t="shared" si="132"/>
        <v>|</v>
      </c>
      <c r="AG978" s="412" t="s">
        <v>1841</v>
      </c>
    </row>
    <row r="979" spans="6:33" ht="24" customHeight="1">
      <c r="J979" s="412" t="s">
        <v>790</v>
      </c>
      <c r="K979" s="418" t="s">
        <v>1288</v>
      </c>
      <c r="W979" s="413"/>
      <c r="AE979" s="414" t="str">
        <f t="shared" si="132"/>
        <v>|</v>
      </c>
      <c r="AG979" s="412" t="s">
        <v>1841</v>
      </c>
    </row>
    <row r="980" spans="6:33" ht="24" customHeight="1">
      <c r="H980" s="412" t="s">
        <v>692</v>
      </c>
      <c r="J980" s="449" t="s">
        <v>790</v>
      </c>
      <c r="K980" s="439">
        <v>1.3100000000000001E-2</v>
      </c>
      <c r="W980" s="413"/>
      <c r="AE980" s="414" t="str">
        <f t="shared" si="132"/>
        <v>|</v>
      </c>
      <c r="AG980" s="412" t="s">
        <v>1841</v>
      </c>
    </row>
    <row r="981" spans="6:33" ht="24" customHeight="1">
      <c r="H981" s="412" t="s">
        <v>1750</v>
      </c>
      <c r="J981" s="412" t="s">
        <v>790</v>
      </c>
      <c r="K981" s="439">
        <v>3.3999999999999998E-3</v>
      </c>
      <c r="W981" s="413"/>
      <c r="AE981" s="414" t="str">
        <f t="shared" si="132"/>
        <v>|</v>
      </c>
      <c r="AG981" s="412" t="s">
        <v>1841</v>
      </c>
    </row>
    <row r="982" spans="6:33" ht="24" customHeight="1">
      <c r="K982" s="418" t="s">
        <v>1288</v>
      </c>
      <c r="W982" s="413"/>
      <c r="AE982" s="414">
        <f t="shared" si="132"/>
        <v>0</v>
      </c>
    </row>
    <row r="983" spans="6:33" ht="24" customHeight="1">
      <c r="K983" s="439">
        <v>1.6500000000000001E-2</v>
      </c>
      <c r="W983" s="413"/>
      <c r="AE983" s="414">
        <f t="shared" si="132"/>
        <v>0</v>
      </c>
    </row>
    <row r="984" spans="6:33" ht="24" customHeight="1">
      <c r="K984" s="418" t="s">
        <v>1288</v>
      </c>
      <c r="O984" s="414" t="s">
        <v>2662</v>
      </c>
      <c r="W984" s="413"/>
      <c r="AE984" s="414">
        <f t="shared" si="132"/>
        <v>0</v>
      </c>
    </row>
    <row r="985" spans="6:33" ht="24" customHeight="1">
      <c r="F985" s="439">
        <v>1.15E-2</v>
      </c>
      <c r="G985" s="414" t="s">
        <v>702</v>
      </c>
      <c r="H985" s="412" t="s">
        <v>234</v>
      </c>
      <c r="I985" s="414" t="e">
        <f>C88</f>
        <v>#REF!</v>
      </c>
      <c r="J985" s="412" t="s">
        <v>702</v>
      </c>
      <c r="K985" s="414" t="e">
        <f>(F985*I985)</f>
        <v>#REF!</v>
      </c>
      <c r="M985" s="413" t="s">
        <v>1200</v>
      </c>
      <c r="O985" s="412" t="s">
        <v>2259</v>
      </c>
      <c r="Q985" s="412"/>
      <c r="R985" s="412" t="s">
        <v>790</v>
      </c>
      <c r="W985" s="413"/>
      <c r="AE985" s="414">
        <f t="shared" si="132"/>
        <v>0</v>
      </c>
    </row>
    <row r="986" spans="6:33" ht="24" customHeight="1">
      <c r="F986" s="439">
        <v>2.1999999999999999E-2</v>
      </c>
      <c r="G986" s="414" t="s">
        <v>702</v>
      </c>
      <c r="H986" s="412" t="s">
        <v>235</v>
      </c>
      <c r="I986" s="414" t="e">
        <f>C89</f>
        <v>#REF!</v>
      </c>
      <c r="J986" s="412" t="s">
        <v>702</v>
      </c>
      <c r="K986" s="414" t="e">
        <f>(F986*I986)</f>
        <v>#REF!</v>
      </c>
      <c r="O986" s="418" t="s">
        <v>1288</v>
      </c>
      <c r="Q986" s="412"/>
      <c r="W986" s="413"/>
      <c r="AE986" s="414">
        <f t="shared" si="132"/>
        <v>0</v>
      </c>
    </row>
    <row r="987" spans="6:33" ht="24" customHeight="1">
      <c r="F987" s="439">
        <v>1.6500000000000001E-2</v>
      </c>
      <c r="G987" s="414" t="s">
        <v>702</v>
      </c>
      <c r="H987" s="412" t="s">
        <v>236</v>
      </c>
      <c r="I987" s="414" t="e">
        <f>C90</f>
        <v>#REF!</v>
      </c>
      <c r="J987" s="412" t="s">
        <v>702</v>
      </c>
      <c r="K987" s="414" t="e">
        <f>(F987*I987)</f>
        <v>#REF!</v>
      </c>
      <c r="L987" s="414" t="s">
        <v>3062</v>
      </c>
      <c r="M987" s="450">
        <v>1.153E-2</v>
      </c>
      <c r="N987" s="414" t="s">
        <v>702</v>
      </c>
      <c r="O987" s="412" t="s">
        <v>553</v>
      </c>
      <c r="P987" s="414" t="e">
        <f t="shared" ref="P987:P997" si="134">I1053</f>
        <v>#REF!</v>
      </c>
      <c r="Q987" s="412" t="s">
        <v>702</v>
      </c>
      <c r="R987" s="414" t="e">
        <f t="shared" ref="R987:R997" si="135">(M987*P987)</f>
        <v>#REF!</v>
      </c>
      <c r="W987" s="413"/>
      <c r="AE987" s="414">
        <f t="shared" si="132"/>
        <v>0</v>
      </c>
    </row>
    <row r="988" spans="6:33" ht="24" customHeight="1">
      <c r="F988" s="439"/>
      <c r="H988" s="412" t="s">
        <v>355</v>
      </c>
      <c r="I988" s="412" t="s">
        <v>790</v>
      </c>
      <c r="K988" s="412" t="s">
        <v>790</v>
      </c>
      <c r="M988" s="450">
        <v>1.013E-2</v>
      </c>
      <c r="N988" s="414" t="s">
        <v>702</v>
      </c>
      <c r="O988" s="412" t="s">
        <v>554</v>
      </c>
      <c r="P988" s="414" t="e">
        <f t="shared" si="134"/>
        <v>#REF!</v>
      </c>
      <c r="Q988" s="412" t="s">
        <v>702</v>
      </c>
      <c r="R988" s="414" t="e">
        <f t="shared" si="135"/>
        <v>#REF!</v>
      </c>
      <c r="W988" s="413"/>
      <c r="AE988" s="414">
        <f t="shared" si="132"/>
        <v>0</v>
      </c>
    </row>
    <row r="989" spans="6:33" ht="24" customHeight="1">
      <c r="F989" s="439">
        <v>1.64</v>
      </c>
      <c r="G989" s="414" t="s">
        <v>488</v>
      </c>
      <c r="H989" s="412" t="s">
        <v>356</v>
      </c>
      <c r="I989" s="414">
        <f>C31</f>
        <v>1537</v>
      </c>
      <c r="J989" s="412" t="s">
        <v>488</v>
      </c>
      <c r="K989" s="414">
        <f t="shared" ref="K989:K996" si="136">(F989*I989)</f>
        <v>2520.6799999999998</v>
      </c>
      <c r="M989" s="450">
        <v>0.77780000000000005</v>
      </c>
      <c r="N989" s="414" t="s">
        <v>488</v>
      </c>
      <c r="O989" s="412" t="s">
        <v>1700</v>
      </c>
      <c r="P989" s="414">
        <f t="shared" si="134"/>
        <v>387.4</v>
      </c>
      <c r="Q989" s="412" t="s">
        <v>488</v>
      </c>
      <c r="R989" s="414">
        <f t="shared" si="135"/>
        <v>301.32</v>
      </c>
      <c r="W989" s="413"/>
      <c r="AE989" s="414">
        <f t="shared" si="132"/>
        <v>0</v>
      </c>
    </row>
    <row r="990" spans="6:33" ht="24" customHeight="1">
      <c r="F990" s="414">
        <v>1</v>
      </c>
      <c r="G990" s="414" t="s">
        <v>619</v>
      </c>
      <c r="H990" s="412" t="s">
        <v>925</v>
      </c>
      <c r="I990" s="414">
        <f>C598</f>
        <v>57.65</v>
      </c>
      <c r="J990" s="412" t="s">
        <v>701</v>
      </c>
      <c r="K990" s="414">
        <f t="shared" si="136"/>
        <v>57.65</v>
      </c>
      <c r="M990" s="450">
        <v>1.23</v>
      </c>
      <c r="N990" s="414" t="s">
        <v>488</v>
      </c>
      <c r="O990" s="412" t="s">
        <v>1701</v>
      </c>
      <c r="P990" s="414">
        <f t="shared" si="134"/>
        <v>1281</v>
      </c>
      <c r="Q990" s="412" t="s">
        <v>488</v>
      </c>
      <c r="R990" s="414">
        <f t="shared" si="135"/>
        <v>1575.63</v>
      </c>
      <c r="W990" s="413"/>
      <c r="AE990" s="414">
        <f t="shared" si="132"/>
        <v>0</v>
      </c>
    </row>
    <row r="991" spans="6:33" ht="24" customHeight="1">
      <c r="F991" s="414">
        <v>3</v>
      </c>
      <c r="G991" s="414" t="s">
        <v>701</v>
      </c>
      <c r="H991" s="412" t="str">
        <f>H956</f>
        <v xml:space="preserve">  5"BUTT HINGS (p-40)</v>
      </c>
      <c r="I991" s="414">
        <f>C279</f>
        <v>89.6</v>
      </c>
      <c r="J991" s="412" t="s">
        <v>701</v>
      </c>
      <c r="K991" s="414">
        <f t="shared" si="136"/>
        <v>268.8</v>
      </c>
      <c r="M991" s="414">
        <v>2</v>
      </c>
      <c r="N991" s="414" t="s">
        <v>701</v>
      </c>
      <c r="O991" s="412" t="s">
        <v>1702</v>
      </c>
      <c r="P991" s="414">
        <f t="shared" si="134"/>
        <v>64.8</v>
      </c>
      <c r="Q991" s="412" t="s">
        <v>701</v>
      </c>
      <c r="R991" s="414">
        <f t="shared" si="135"/>
        <v>129.6</v>
      </c>
      <c r="W991" s="413"/>
      <c r="AE991" s="414">
        <f t="shared" si="132"/>
        <v>0</v>
      </c>
    </row>
    <row r="992" spans="6:33" ht="24" customHeight="1">
      <c r="F992" s="414">
        <v>2</v>
      </c>
      <c r="G992" s="414" t="s">
        <v>701</v>
      </c>
      <c r="H992" s="412" t="str">
        <f t="shared" ref="H992:H996" si="137">H957</f>
        <v xml:space="preserve"> 6"X1/2"TOWER BOLT (p-40)</v>
      </c>
      <c r="I992" s="414">
        <f>C284</f>
        <v>64.8</v>
      </c>
      <c r="J992" s="412" t="s">
        <v>701</v>
      </c>
      <c r="K992" s="414">
        <f t="shared" si="136"/>
        <v>129.6</v>
      </c>
      <c r="M992" s="414">
        <v>3</v>
      </c>
      <c r="N992" s="414" t="s">
        <v>701</v>
      </c>
      <c r="O992" s="412" t="s">
        <v>1234</v>
      </c>
      <c r="P992" s="414">
        <f t="shared" si="134"/>
        <v>89.6</v>
      </c>
      <c r="Q992" s="412" t="s">
        <v>701</v>
      </c>
      <c r="R992" s="414">
        <f t="shared" si="135"/>
        <v>268.8</v>
      </c>
      <c r="W992" s="413"/>
      <c r="AE992" s="414">
        <f t="shared" si="132"/>
        <v>0</v>
      </c>
    </row>
    <row r="993" spans="6:33" ht="24" customHeight="1">
      <c r="F993" s="414">
        <v>1</v>
      </c>
      <c r="G993" s="414" t="s">
        <v>701</v>
      </c>
      <c r="H993" s="412" t="str">
        <f t="shared" si="137"/>
        <v>10"X5/8"ALDROP (p-41)</v>
      </c>
      <c r="I993" s="414">
        <f>C286</f>
        <v>181</v>
      </c>
      <c r="J993" s="412" t="s">
        <v>701</v>
      </c>
      <c r="K993" s="414">
        <f t="shared" si="136"/>
        <v>181</v>
      </c>
      <c r="M993" s="414">
        <v>1</v>
      </c>
      <c r="N993" s="414" t="s">
        <v>701</v>
      </c>
      <c r="O993" s="412" t="s">
        <v>1611</v>
      </c>
      <c r="P993" s="414">
        <f t="shared" si="134"/>
        <v>181</v>
      </c>
      <c r="Q993" s="412" t="s">
        <v>701</v>
      </c>
      <c r="R993" s="414">
        <f t="shared" si="135"/>
        <v>181</v>
      </c>
      <c r="W993" s="413"/>
      <c r="AE993" s="414">
        <f t="shared" si="132"/>
        <v>0</v>
      </c>
    </row>
    <row r="994" spans="6:33" ht="24" customHeight="1">
      <c r="F994" s="414">
        <v>1</v>
      </c>
      <c r="G994" s="414" t="s">
        <v>701</v>
      </c>
      <c r="H994" s="412" t="str">
        <f t="shared" si="137"/>
        <v>NYLONBUSH</v>
      </c>
      <c r="I994" s="414">
        <f>C288</f>
        <v>7.3</v>
      </c>
      <c r="J994" s="412" t="s">
        <v>701</v>
      </c>
      <c r="K994" s="414">
        <f t="shared" si="136"/>
        <v>7.3</v>
      </c>
      <c r="M994" s="414">
        <v>1</v>
      </c>
      <c r="N994" s="414" t="s">
        <v>701</v>
      </c>
      <c r="O994" s="412" t="s">
        <v>1612</v>
      </c>
      <c r="P994" s="414">
        <f t="shared" si="134"/>
        <v>7.3</v>
      </c>
      <c r="Q994" s="412" t="s">
        <v>701</v>
      </c>
      <c r="R994" s="414">
        <f t="shared" si="135"/>
        <v>7.3</v>
      </c>
      <c r="W994" s="413"/>
      <c r="AE994" s="414" t="str">
        <f t="shared" si="132"/>
        <v>|</v>
      </c>
      <c r="AG994" s="412" t="s">
        <v>1841</v>
      </c>
    </row>
    <row r="995" spans="6:33" ht="24" customHeight="1">
      <c r="F995" s="414">
        <v>1</v>
      </c>
      <c r="G995" s="414" t="s">
        <v>701</v>
      </c>
      <c r="H995" s="412" t="str">
        <f t="shared" si="137"/>
        <v>DOOR STOPPER (p-41)</v>
      </c>
      <c r="I995" s="414">
        <f>D598</f>
        <v>49.55</v>
      </c>
      <c r="J995" s="412" t="s">
        <v>701</v>
      </c>
      <c r="K995" s="414">
        <f t="shared" si="136"/>
        <v>49.55</v>
      </c>
      <c r="M995" s="414">
        <v>1</v>
      </c>
      <c r="N995" s="414" t="s">
        <v>701</v>
      </c>
      <c r="O995" s="412" t="s">
        <v>926</v>
      </c>
      <c r="P995" s="414">
        <f t="shared" si="134"/>
        <v>57.65</v>
      </c>
      <c r="Q995" s="412" t="s">
        <v>701</v>
      </c>
      <c r="R995" s="414">
        <f t="shared" si="135"/>
        <v>57.65</v>
      </c>
      <c r="W995" s="413"/>
      <c r="AE995" s="414" t="str">
        <f t="shared" si="132"/>
        <v>|</v>
      </c>
      <c r="AG995" s="412" t="s">
        <v>1841</v>
      </c>
    </row>
    <row r="996" spans="6:33" ht="24" customHeight="1">
      <c r="F996" s="414">
        <v>10</v>
      </c>
      <c r="G996" s="414" t="s">
        <v>838</v>
      </c>
      <c r="H996" s="412" t="str">
        <f t="shared" si="137"/>
        <v>Brass screw p-55 it-232</v>
      </c>
      <c r="I996" s="414">
        <f>I961</f>
        <v>2.41</v>
      </c>
      <c r="J996" s="412" t="s">
        <v>701</v>
      </c>
      <c r="K996" s="414">
        <f t="shared" si="136"/>
        <v>24.1</v>
      </c>
      <c r="M996" s="414">
        <v>1</v>
      </c>
      <c r="N996" s="414" t="s">
        <v>701</v>
      </c>
      <c r="O996" s="412" t="s">
        <v>1614</v>
      </c>
      <c r="P996" s="414">
        <f t="shared" si="134"/>
        <v>49.55</v>
      </c>
      <c r="Q996" s="412" t="s">
        <v>701</v>
      </c>
      <c r="R996" s="414">
        <f t="shared" si="135"/>
        <v>49.55</v>
      </c>
      <c r="W996" s="413"/>
      <c r="AE996" s="414" t="str">
        <f t="shared" si="132"/>
        <v>|</v>
      </c>
      <c r="AG996" s="412" t="s">
        <v>1841</v>
      </c>
    </row>
    <row r="997" spans="6:33" ht="24" customHeight="1">
      <c r="K997" s="418" t="s">
        <v>1288</v>
      </c>
      <c r="M997" s="414">
        <v>58</v>
      </c>
      <c r="O997" s="412" t="s">
        <v>1420</v>
      </c>
      <c r="P997" s="414">
        <f t="shared" si="134"/>
        <v>2.41</v>
      </c>
      <c r="Q997" s="412"/>
      <c r="R997" s="414">
        <f t="shared" si="135"/>
        <v>139.78</v>
      </c>
      <c r="W997" s="413"/>
      <c r="AE997" s="414" t="str">
        <f t="shared" si="132"/>
        <v>|</v>
      </c>
      <c r="AG997" s="412" t="s">
        <v>1841</v>
      </c>
    </row>
    <row r="998" spans="6:33" ht="24" customHeight="1">
      <c r="H998" s="412" t="s">
        <v>1751</v>
      </c>
      <c r="K998" s="414" t="e">
        <f>SUM(K985:K996)</f>
        <v>#REF!</v>
      </c>
      <c r="O998" s="413" t="s">
        <v>1615</v>
      </c>
      <c r="Q998" s="412"/>
      <c r="R998" s="414" t="e">
        <f>SUM(R987:R997)</f>
        <v>#REF!</v>
      </c>
      <c r="W998" s="413"/>
      <c r="AE998" s="414" t="str">
        <f t="shared" si="132"/>
        <v>|</v>
      </c>
      <c r="AG998" s="412" t="s">
        <v>1841</v>
      </c>
    </row>
    <row r="999" spans="6:33" ht="24" customHeight="1">
      <c r="K999" s="418" t="s">
        <v>1288</v>
      </c>
      <c r="N999" s="414" t="s">
        <v>790</v>
      </c>
      <c r="Q999" s="412"/>
      <c r="R999" s="418" t="s">
        <v>1288</v>
      </c>
      <c r="W999" s="413"/>
      <c r="AE999" s="414" t="str">
        <f t="shared" si="132"/>
        <v>|</v>
      </c>
      <c r="AG999" s="412" t="s">
        <v>1841</v>
      </c>
    </row>
    <row r="1000" spans="6:33" ht="24" customHeight="1">
      <c r="H1000" s="420" t="s">
        <v>3061</v>
      </c>
      <c r="K1000" s="417" t="e">
        <f>K998/F989</f>
        <v>#REF!</v>
      </c>
      <c r="O1000" s="420" t="s">
        <v>447</v>
      </c>
      <c r="Q1000" s="412"/>
      <c r="R1000" s="417" t="e">
        <f>R998/M990</f>
        <v>#REF!</v>
      </c>
      <c r="W1000" s="413"/>
      <c r="AE1000" s="414" t="str">
        <f t="shared" si="132"/>
        <v>|</v>
      </c>
      <c r="AG1000" s="412" t="s">
        <v>1841</v>
      </c>
    </row>
    <row r="1001" spans="6:33" ht="24" customHeight="1">
      <c r="K1001" s="418" t="s">
        <v>1676</v>
      </c>
      <c r="Q1001" s="412"/>
      <c r="R1001" s="418" t="s">
        <v>1676</v>
      </c>
      <c r="W1001" s="413"/>
      <c r="AE1001" s="414" t="str">
        <f t="shared" si="132"/>
        <v>|::</v>
      </c>
      <c r="AG1001" s="412" t="s">
        <v>246</v>
      </c>
    </row>
    <row r="1002" spans="6:33" ht="24" customHeight="1">
      <c r="F1002" s="413" t="s">
        <v>1085</v>
      </c>
      <c r="G1002" s="414" t="s">
        <v>1833</v>
      </c>
      <c r="H1002" s="412" t="s">
        <v>199</v>
      </c>
      <c r="W1002" s="413"/>
      <c r="AE1002" s="414">
        <f t="shared" si="132"/>
        <v>0</v>
      </c>
    </row>
    <row r="1003" spans="6:33" ht="24" customHeight="1">
      <c r="H1003" s="412" t="s">
        <v>200</v>
      </c>
      <c r="W1003" s="413"/>
      <c r="AE1003" s="414">
        <f t="shared" si="132"/>
        <v>0</v>
      </c>
    </row>
    <row r="1004" spans="6:33" ht="24" customHeight="1">
      <c r="H1004" s="412" t="s">
        <v>1199</v>
      </c>
      <c r="W1004" s="413"/>
      <c r="AE1004" s="414" t="str">
        <f t="shared" si="132"/>
        <v>|</v>
      </c>
      <c r="AG1004" s="412" t="s">
        <v>1841</v>
      </c>
    </row>
    <row r="1005" spans="6:33" ht="24" customHeight="1">
      <c r="H1005" s="418" t="s">
        <v>1288</v>
      </c>
      <c r="W1005" s="413"/>
      <c r="AG1005" s="412"/>
    </row>
    <row r="1006" spans="6:33" ht="24" customHeight="1">
      <c r="H1006" s="412" t="s">
        <v>1752</v>
      </c>
      <c r="W1006" s="413"/>
      <c r="AE1006" s="414" t="str">
        <f t="shared" si="132"/>
        <v>|</v>
      </c>
      <c r="AG1006" s="412" t="s">
        <v>1841</v>
      </c>
    </row>
    <row r="1007" spans="6:33" ht="24" customHeight="1">
      <c r="H1007" s="412" t="s">
        <v>69</v>
      </c>
      <c r="W1007" s="413"/>
      <c r="AE1007" s="414" t="str">
        <f t="shared" si="132"/>
        <v>|</v>
      </c>
      <c r="AG1007" s="412" t="s">
        <v>1841</v>
      </c>
    </row>
    <row r="1008" spans="6:33" ht="24" customHeight="1">
      <c r="J1008" s="412" t="s">
        <v>1288</v>
      </c>
      <c r="W1008" s="413"/>
      <c r="AE1008" s="414" t="str">
        <f t="shared" si="132"/>
        <v>|</v>
      </c>
      <c r="AG1008" s="412" t="s">
        <v>1841</v>
      </c>
    </row>
    <row r="1009" spans="6:33" ht="24" customHeight="1">
      <c r="H1009" s="412" t="s">
        <v>1753</v>
      </c>
      <c r="W1009" s="413"/>
      <c r="AE1009" s="414" t="str">
        <f t="shared" si="132"/>
        <v>|</v>
      </c>
      <c r="AG1009" s="412" t="s">
        <v>1841</v>
      </c>
    </row>
    <row r="1010" spans="6:33" ht="24" customHeight="1">
      <c r="H1010" s="412" t="s">
        <v>368</v>
      </c>
      <c r="K1010" s="439">
        <v>1.1900000000000001E-2</v>
      </c>
      <c r="W1010" s="413"/>
      <c r="AE1010" s="414" t="str">
        <f t="shared" si="132"/>
        <v>|</v>
      </c>
      <c r="AG1010" s="412" t="s">
        <v>1841</v>
      </c>
    </row>
    <row r="1011" spans="6:33" ht="24" customHeight="1">
      <c r="J1011" s="412" t="s">
        <v>790</v>
      </c>
      <c r="K1011" s="418" t="s">
        <v>1288</v>
      </c>
      <c r="W1011" s="413"/>
      <c r="AE1011" s="414">
        <f t="shared" si="132"/>
        <v>0</v>
      </c>
    </row>
    <row r="1012" spans="6:33" ht="24" customHeight="1">
      <c r="H1012" s="412" t="s">
        <v>369</v>
      </c>
      <c r="J1012" s="449" t="s">
        <v>790</v>
      </c>
      <c r="K1012" s="439">
        <v>1.18E-2</v>
      </c>
      <c r="W1012" s="413"/>
      <c r="AE1012" s="414">
        <f t="shared" si="132"/>
        <v>0</v>
      </c>
    </row>
    <row r="1013" spans="6:33" ht="24" customHeight="1">
      <c r="H1013" s="412" t="s">
        <v>193</v>
      </c>
      <c r="J1013" s="412" t="s">
        <v>790</v>
      </c>
      <c r="K1013" s="451" t="s">
        <v>1288</v>
      </c>
      <c r="W1013" s="413"/>
      <c r="AE1013" s="414">
        <f t="shared" si="132"/>
        <v>0</v>
      </c>
    </row>
    <row r="1014" spans="6:33" ht="24" customHeight="1">
      <c r="W1014" s="413"/>
      <c r="AE1014" s="414">
        <f t="shared" ref="AE1014:AE1034" si="138">AG1014</f>
        <v>0</v>
      </c>
    </row>
    <row r="1015" spans="6:33" ht="24" customHeight="1">
      <c r="F1015" s="439">
        <v>1.14E-2</v>
      </c>
      <c r="G1015" s="414" t="s">
        <v>702</v>
      </c>
      <c r="H1015" s="412" t="s">
        <v>234</v>
      </c>
      <c r="I1015" s="414" t="e">
        <f>C88</f>
        <v>#REF!</v>
      </c>
      <c r="J1015" s="412" t="s">
        <v>702</v>
      </c>
      <c r="K1015" s="414" t="e">
        <f>(F1015*I1015)</f>
        <v>#REF!</v>
      </c>
      <c r="W1015" s="413"/>
      <c r="AE1015" s="414">
        <f t="shared" si="138"/>
        <v>0</v>
      </c>
    </row>
    <row r="1016" spans="6:33" ht="24" customHeight="1">
      <c r="F1016" s="439">
        <v>1.1900000000000001E-2</v>
      </c>
      <c r="G1016" s="414" t="s">
        <v>702</v>
      </c>
      <c r="H1016" s="412" t="s">
        <v>235</v>
      </c>
      <c r="I1016" s="414" t="e">
        <f>C89</f>
        <v>#REF!</v>
      </c>
      <c r="J1016" s="412" t="s">
        <v>702</v>
      </c>
      <c r="K1016" s="414" t="e">
        <f>(F1016*I1016)</f>
        <v>#REF!</v>
      </c>
      <c r="W1016" s="413"/>
      <c r="AE1016" s="414">
        <f t="shared" si="138"/>
        <v>0</v>
      </c>
    </row>
    <row r="1017" spans="6:33" ht="24" customHeight="1">
      <c r="F1017" s="439">
        <v>1.18E-2</v>
      </c>
      <c r="G1017" s="414" t="s">
        <v>702</v>
      </c>
      <c r="H1017" s="412" t="s">
        <v>236</v>
      </c>
      <c r="I1017" s="414" t="e">
        <f>C90</f>
        <v>#REF!</v>
      </c>
      <c r="J1017" s="412" t="s">
        <v>702</v>
      </c>
      <c r="K1017" s="414" t="e">
        <f>(F1017*I1017)</f>
        <v>#REF!</v>
      </c>
      <c r="W1017" s="413"/>
      <c r="AE1017" s="414">
        <f t="shared" si="138"/>
        <v>0</v>
      </c>
    </row>
    <row r="1018" spans="6:33" ht="24" customHeight="1">
      <c r="F1018" s="439"/>
      <c r="H1018" s="412" t="s">
        <v>355</v>
      </c>
      <c r="I1018" s="412" t="s">
        <v>790</v>
      </c>
      <c r="K1018" s="412" t="s">
        <v>790</v>
      </c>
      <c r="W1018" s="413"/>
      <c r="AE1018" s="414">
        <f t="shared" si="138"/>
        <v>0</v>
      </c>
    </row>
    <row r="1019" spans="6:33" ht="24" customHeight="1">
      <c r="F1019" s="439">
        <v>1.2150000000000001</v>
      </c>
      <c r="G1019" s="414" t="s">
        <v>488</v>
      </c>
      <c r="H1019" s="412" t="s">
        <v>356</v>
      </c>
      <c r="I1019" s="414">
        <f>C31</f>
        <v>1537</v>
      </c>
      <c r="J1019" s="412" t="s">
        <v>488</v>
      </c>
      <c r="K1019" s="414">
        <f t="shared" ref="K1019:K1026" si="139">(F1019*I1019)</f>
        <v>1867.46</v>
      </c>
      <c r="W1019" s="413"/>
      <c r="AE1019" s="414">
        <f t="shared" si="138"/>
        <v>0</v>
      </c>
    </row>
    <row r="1020" spans="6:33" ht="24" customHeight="1">
      <c r="F1020" s="414">
        <v>1</v>
      </c>
      <c r="G1020" s="414" t="s">
        <v>619</v>
      </c>
      <c r="H1020" s="412" t="s">
        <v>925</v>
      </c>
      <c r="I1020" s="414">
        <f>C598</f>
        <v>57.65</v>
      </c>
      <c r="J1020" s="412" t="s">
        <v>701</v>
      </c>
      <c r="K1020" s="414">
        <f t="shared" si="139"/>
        <v>57.65</v>
      </c>
      <c r="W1020" s="413"/>
      <c r="AE1020" s="414">
        <f t="shared" si="138"/>
        <v>0</v>
      </c>
    </row>
    <row r="1021" spans="6:33" ht="24" customHeight="1">
      <c r="F1021" s="414">
        <v>3</v>
      </c>
      <c r="G1021" s="414" t="s">
        <v>701</v>
      </c>
      <c r="H1021" s="412" t="str">
        <f>H991</f>
        <v xml:space="preserve">  5"BUTT HINGS (p-40)</v>
      </c>
      <c r="I1021" s="414">
        <f>C279</f>
        <v>89.6</v>
      </c>
      <c r="J1021" s="412" t="s">
        <v>701</v>
      </c>
      <c r="K1021" s="414">
        <f t="shared" si="139"/>
        <v>268.8</v>
      </c>
      <c r="W1021" s="413"/>
      <c r="AE1021" s="414">
        <f t="shared" si="138"/>
        <v>0</v>
      </c>
    </row>
    <row r="1022" spans="6:33" ht="24" customHeight="1">
      <c r="F1022" s="414">
        <v>2</v>
      </c>
      <c r="G1022" s="414" t="s">
        <v>701</v>
      </c>
      <c r="H1022" s="412" t="str">
        <f t="shared" ref="H1022:H1026" si="140">H992</f>
        <v xml:space="preserve"> 6"X1/2"TOWER BOLT (p-40)</v>
      </c>
      <c r="I1022" s="414">
        <f>C284</f>
        <v>64.8</v>
      </c>
      <c r="J1022" s="412" t="s">
        <v>701</v>
      </c>
      <c r="K1022" s="414">
        <f t="shared" si="139"/>
        <v>129.6</v>
      </c>
      <c r="W1022" s="413"/>
      <c r="AE1022" s="414">
        <f t="shared" si="138"/>
        <v>0</v>
      </c>
    </row>
    <row r="1023" spans="6:33" ht="24" customHeight="1">
      <c r="F1023" s="414">
        <v>1</v>
      </c>
      <c r="G1023" s="414" t="s">
        <v>701</v>
      </c>
      <c r="H1023" s="412" t="str">
        <f t="shared" si="140"/>
        <v>10"X5/8"ALDROP (p-41)</v>
      </c>
      <c r="I1023" s="414">
        <f>C286</f>
        <v>181</v>
      </c>
      <c r="J1023" s="412" t="s">
        <v>701</v>
      </c>
      <c r="K1023" s="414">
        <f t="shared" si="139"/>
        <v>181</v>
      </c>
      <c r="W1023" s="413"/>
      <c r="AE1023" s="414">
        <f t="shared" si="138"/>
        <v>0</v>
      </c>
    </row>
    <row r="1024" spans="6:33" ht="24" customHeight="1">
      <c r="F1024" s="414">
        <v>1</v>
      </c>
      <c r="G1024" s="414" t="s">
        <v>701</v>
      </c>
      <c r="H1024" s="412" t="str">
        <f t="shared" si="140"/>
        <v>NYLONBUSH</v>
      </c>
      <c r="I1024" s="414">
        <f>C288</f>
        <v>7.3</v>
      </c>
      <c r="J1024" s="412" t="s">
        <v>701</v>
      </c>
      <c r="K1024" s="414">
        <f t="shared" si="139"/>
        <v>7.3</v>
      </c>
      <c r="W1024" s="413"/>
      <c r="AE1024" s="414">
        <f t="shared" si="138"/>
        <v>0</v>
      </c>
    </row>
    <row r="1025" spans="6:31" ht="24" customHeight="1">
      <c r="F1025" s="414">
        <v>1</v>
      </c>
      <c r="G1025" s="414" t="s">
        <v>701</v>
      </c>
      <c r="H1025" s="412" t="str">
        <f t="shared" si="140"/>
        <v>DOOR STOPPER (p-41)</v>
      </c>
      <c r="I1025" s="414">
        <f>D598</f>
        <v>49.55</v>
      </c>
      <c r="J1025" s="412" t="s">
        <v>701</v>
      </c>
      <c r="K1025" s="414">
        <f t="shared" si="139"/>
        <v>49.55</v>
      </c>
      <c r="W1025" s="413"/>
      <c r="AE1025" s="414">
        <f t="shared" si="138"/>
        <v>0</v>
      </c>
    </row>
    <row r="1026" spans="6:31" ht="24" customHeight="1">
      <c r="F1026" s="414">
        <v>10</v>
      </c>
      <c r="G1026" s="414" t="s">
        <v>838</v>
      </c>
      <c r="H1026" s="412" t="str">
        <f t="shared" si="140"/>
        <v>Brass screw p-55 it-232</v>
      </c>
      <c r="I1026" s="414">
        <f>I996</f>
        <v>2.41</v>
      </c>
      <c r="J1026" s="412" t="s">
        <v>701</v>
      </c>
      <c r="K1026" s="414">
        <f t="shared" si="139"/>
        <v>24.1</v>
      </c>
      <c r="M1026" s="413" t="s">
        <v>371</v>
      </c>
      <c r="N1026" s="414" t="s">
        <v>1833</v>
      </c>
      <c r="O1026" s="412" t="s">
        <v>1772</v>
      </c>
      <c r="Q1026" s="412"/>
      <c r="W1026" s="413"/>
      <c r="AE1026" s="414">
        <f t="shared" si="138"/>
        <v>0</v>
      </c>
    </row>
    <row r="1027" spans="6:31" ht="24" customHeight="1">
      <c r="K1027" s="418" t="s">
        <v>1288</v>
      </c>
      <c r="O1027" s="412" t="s">
        <v>1774</v>
      </c>
      <c r="Q1027" s="412"/>
      <c r="W1027" s="413"/>
      <c r="AE1027" s="414">
        <f t="shared" si="138"/>
        <v>0</v>
      </c>
    </row>
    <row r="1028" spans="6:31" ht="24" customHeight="1">
      <c r="H1028" s="412" t="s">
        <v>370</v>
      </c>
      <c r="K1028" s="414" t="e">
        <f>SUM(K1015:K1026)</f>
        <v>#REF!</v>
      </c>
      <c r="O1028" s="412" t="s">
        <v>1775</v>
      </c>
      <c r="Q1028" s="412"/>
      <c r="W1028" s="413"/>
      <c r="AE1028" s="414">
        <f t="shared" si="138"/>
        <v>0</v>
      </c>
    </row>
    <row r="1029" spans="6:31" ht="24" customHeight="1">
      <c r="K1029" s="418" t="s">
        <v>1288</v>
      </c>
      <c r="O1029" s="412" t="s">
        <v>1776</v>
      </c>
      <c r="Q1029" s="412"/>
      <c r="W1029" s="413"/>
      <c r="AE1029" s="414">
        <f t="shared" si="138"/>
        <v>0</v>
      </c>
    </row>
    <row r="1030" spans="6:31" ht="24" customHeight="1">
      <c r="H1030" s="420" t="s">
        <v>447</v>
      </c>
      <c r="K1030" s="417" t="e">
        <f>K1028/F1019</f>
        <v>#REF!</v>
      </c>
      <c r="O1030" s="412" t="s">
        <v>1777</v>
      </c>
      <c r="Q1030" s="412"/>
      <c r="W1030" s="413"/>
      <c r="AE1030" s="414">
        <f t="shared" si="138"/>
        <v>0</v>
      </c>
    </row>
    <row r="1031" spans="6:31" ht="24" customHeight="1">
      <c r="K1031" s="418" t="s">
        <v>1676</v>
      </c>
      <c r="O1031" s="412" t="s">
        <v>1778</v>
      </c>
      <c r="Q1031" s="412"/>
      <c r="W1031" s="413"/>
      <c r="AE1031" s="414">
        <f t="shared" si="138"/>
        <v>0</v>
      </c>
    </row>
    <row r="1032" spans="6:31" ht="24" customHeight="1">
      <c r="H1032" s="417" t="s">
        <v>2123</v>
      </c>
      <c r="I1032" s="417"/>
      <c r="J1032" s="415"/>
      <c r="K1032" s="417">
        <f>K912</f>
        <v>2135</v>
      </c>
      <c r="O1032" s="418" t="s">
        <v>1288</v>
      </c>
      <c r="Q1032" s="412"/>
      <c r="W1032" s="413"/>
      <c r="AE1032" s="414">
        <f t="shared" si="138"/>
        <v>0</v>
      </c>
    </row>
    <row r="1033" spans="6:31" ht="24" customHeight="1">
      <c r="F1033" s="413" t="s">
        <v>371</v>
      </c>
      <c r="G1033" s="414" t="s">
        <v>1833</v>
      </c>
      <c r="H1033" s="412" t="s">
        <v>1772</v>
      </c>
      <c r="O1033" s="412" t="s">
        <v>515</v>
      </c>
      <c r="Q1033" s="412"/>
      <c r="W1033" s="413"/>
      <c r="AE1033" s="414">
        <f t="shared" si="138"/>
        <v>0</v>
      </c>
    </row>
    <row r="1034" spans="6:31" ht="24" customHeight="1">
      <c r="H1034" s="412" t="s">
        <v>1774</v>
      </c>
      <c r="O1034" s="412" t="s">
        <v>1779</v>
      </c>
      <c r="Q1034" s="412"/>
      <c r="W1034" s="413"/>
      <c r="AE1034" s="414">
        <f t="shared" si="138"/>
        <v>0</v>
      </c>
    </row>
    <row r="1035" spans="6:31" ht="24" customHeight="1">
      <c r="H1035" s="412" t="s">
        <v>1775</v>
      </c>
      <c r="Q1035" s="412" t="s">
        <v>1288</v>
      </c>
      <c r="W1035" s="413"/>
    </row>
    <row r="1036" spans="6:31" ht="24" customHeight="1">
      <c r="H1036" s="412" t="s">
        <v>1776</v>
      </c>
      <c r="O1036" s="412" t="s">
        <v>1780</v>
      </c>
      <c r="Q1036" s="412"/>
      <c r="W1036" s="413"/>
      <c r="AE1036" s="414">
        <f t="shared" ref="AE1036:AE1041" si="141">AG1036</f>
        <v>0</v>
      </c>
    </row>
    <row r="1037" spans="6:31" ht="24" customHeight="1">
      <c r="H1037" s="412" t="s">
        <v>1777</v>
      </c>
      <c r="O1037" s="412" t="s">
        <v>790</v>
      </c>
      <c r="P1037" s="412" t="s">
        <v>790</v>
      </c>
      <c r="Q1037" s="412"/>
      <c r="R1037" s="449" t="s">
        <v>790</v>
      </c>
      <c r="W1037" s="413"/>
      <c r="AE1037" s="414">
        <f t="shared" si="141"/>
        <v>0</v>
      </c>
    </row>
    <row r="1038" spans="6:31" ht="24" customHeight="1">
      <c r="H1038" s="412" t="s">
        <v>1778</v>
      </c>
      <c r="Q1038" s="412" t="s">
        <v>790</v>
      </c>
      <c r="R1038" s="412" t="s">
        <v>790</v>
      </c>
      <c r="W1038" s="413"/>
      <c r="AE1038" s="414">
        <f t="shared" si="141"/>
        <v>0</v>
      </c>
    </row>
    <row r="1039" spans="6:31" ht="24" customHeight="1">
      <c r="H1039" s="418" t="s">
        <v>1288</v>
      </c>
      <c r="O1039" s="412" t="s">
        <v>1719</v>
      </c>
      <c r="Q1039" s="449" t="s">
        <v>790</v>
      </c>
      <c r="R1039" s="449" t="s">
        <v>790</v>
      </c>
      <c r="W1039" s="413"/>
      <c r="AE1039" s="414">
        <f t="shared" si="141"/>
        <v>0</v>
      </c>
    </row>
    <row r="1040" spans="6:31" ht="24" customHeight="1">
      <c r="H1040" s="412" t="s">
        <v>515</v>
      </c>
      <c r="O1040" s="412" t="s">
        <v>88</v>
      </c>
      <c r="Q1040" s="412"/>
      <c r="R1040" s="449" t="s">
        <v>1418</v>
      </c>
      <c r="W1040" s="413"/>
      <c r="AE1040" s="414">
        <f t="shared" si="141"/>
        <v>0</v>
      </c>
    </row>
    <row r="1041" spans="6:33" ht="24" customHeight="1">
      <c r="H1041" s="412" t="s">
        <v>1779</v>
      </c>
      <c r="Q1041" s="412"/>
      <c r="R1041" s="412" t="s">
        <v>790</v>
      </c>
      <c r="W1041" s="413"/>
      <c r="AE1041" s="414">
        <f t="shared" si="141"/>
        <v>0</v>
      </c>
    </row>
    <row r="1042" spans="6:33" ht="24" customHeight="1">
      <c r="J1042" s="412" t="s">
        <v>1288</v>
      </c>
      <c r="Q1042" s="412"/>
      <c r="R1042" s="449" t="s">
        <v>790</v>
      </c>
      <c r="W1042" s="413"/>
      <c r="AB1042" s="413" t="s">
        <v>371</v>
      </c>
      <c r="AC1042" s="414" t="s">
        <v>1833</v>
      </c>
      <c r="AD1042" s="412" t="s">
        <v>4320</v>
      </c>
      <c r="AF1042" s="412"/>
    </row>
    <row r="1043" spans="6:33" ht="24" customHeight="1">
      <c r="H1043" s="412" t="s">
        <v>1780</v>
      </c>
      <c r="Q1043" s="412"/>
      <c r="R1043" s="412" t="s">
        <v>790</v>
      </c>
      <c r="W1043" s="413"/>
      <c r="AD1043" s="412" t="s">
        <v>1774</v>
      </c>
      <c r="AF1043" s="412"/>
    </row>
    <row r="1044" spans="6:33" ht="24" customHeight="1">
      <c r="H1044" s="412" t="s">
        <v>790</v>
      </c>
      <c r="I1044" s="412" t="s">
        <v>790</v>
      </c>
      <c r="K1044" s="449" t="s">
        <v>790</v>
      </c>
      <c r="M1044" s="413" t="s">
        <v>1200</v>
      </c>
      <c r="O1044" s="412" t="s">
        <v>576</v>
      </c>
      <c r="Q1044" s="412"/>
      <c r="R1044" s="412" t="s">
        <v>790</v>
      </c>
      <c r="W1044" s="413"/>
      <c r="AD1044" s="412" t="s">
        <v>1775</v>
      </c>
      <c r="AF1044" s="412"/>
    </row>
    <row r="1045" spans="6:33" ht="24" hidden="1" customHeight="1">
      <c r="J1045" s="412" t="s">
        <v>790</v>
      </c>
      <c r="K1045" s="412" t="s">
        <v>790</v>
      </c>
      <c r="O1045" s="418" t="s">
        <v>1288</v>
      </c>
      <c r="Q1045" s="412"/>
      <c r="W1045" s="413"/>
      <c r="AD1045" s="412" t="s">
        <v>1776</v>
      </c>
      <c r="AF1045" s="412"/>
    </row>
    <row r="1046" spans="6:33" ht="24" customHeight="1">
      <c r="H1046" s="412" t="s">
        <v>1719</v>
      </c>
      <c r="J1046" s="449" t="s">
        <v>790</v>
      </c>
      <c r="K1046" s="449" t="s">
        <v>790</v>
      </c>
      <c r="M1046" s="450">
        <v>1.153E-2</v>
      </c>
      <c r="N1046" s="414" t="s">
        <v>702</v>
      </c>
      <c r="O1046" s="412" t="s">
        <v>1436</v>
      </c>
      <c r="P1046" s="414" t="e">
        <f>C86</f>
        <v>#REF!</v>
      </c>
      <c r="Q1046" s="412" t="s">
        <v>702</v>
      </c>
      <c r="R1046" s="414" t="e">
        <f t="shared" ref="R1046:R1055" si="142">(M1046*P1046)</f>
        <v>#REF!</v>
      </c>
      <c r="W1046" s="413"/>
      <c r="AD1046" s="412" t="s">
        <v>1777</v>
      </c>
      <c r="AF1046" s="412"/>
    </row>
    <row r="1047" spans="6:33" ht="24" customHeight="1">
      <c r="H1047" s="412" t="s">
        <v>88</v>
      </c>
      <c r="K1047" s="449" t="s">
        <v>1418</v>
      </c>
      <c r="M1047" s="450">
        <v>1.35E-2</v>
      </c>
      <c r="N1047" s="414" t="s">
        <v>702</v>
      </c>
      <c r="O1047" s="412" t="s">
        <v>1436</v>
      </c>
      <c r="P1047" s="414" t="e">
        <f>P1046</f>
        <v>#REF!</v>
      </c>
      <c r="Q1047" s="412" t="s">
        <v>702</v>
      </c>
      <c r="R1047" s="414" t="e">
        <f t="shared" si="142"/>
        <v>#REF!</v>
      </c>
      <c r="W1047" s="413"/>
      <c r="AD1047" s="412" t="s">
        <v>4321</v>
      </c>
      <c r="AF1047" s="412"/>
    </row>
    <row r="1048" spans="6:33" ht="24" customHeight="1">
      <c r="K1048" s="412" t="s">
        <v>790</v>
      </c>
      <c r="M1048" s="450">
        <v>1.016</v>
      </c>
      <c r="N1048" s="414" t="s">
        <v>488</v>
      </c>
      <c r="O1048" s="412" t="s">
        <v>1700</v>
      </c>
      <c r="P1048" s="414">
        <f>I1055</f>
        <v>387.4</v>
      </c>
      <c r="Q1048" s="412" t="s">
        <v>488</v>
      </c>
      <c r="R1048" s="414">
        <f t="shared" si="142"/>
        <v>393.6</v>
      </c>
      <c r="W1048" s="413"/>
      <c r="AD1048" s="418" t="s">
        <v>1288</v>
      </c>
      <c r="AF1048" s="412"/>
    </row>
    <row r="1049" spans="6:33" ht="24" hidden="1" customHeight="1">
      <c r="K1049" s="449" t="s">
        <v>790</v>
      </c>
      <c r="M1049" s="450">
        <v>1.64</v>
      </c>
      <c r="N1049" s="414" t="s">
        <v>488</v>
      </c>
      <c r="O1049" s="412" t="s">
        <v>1701</v>
      </c>
      <c r="P1049" s="414">
        <f t="shared" ref="P1049:P1054" si="143">I1056</f>
        <v>1281</v>
      </c>
      <c r="Q1049" s="412" t="s">
        <v>488</v>
      </c>
      <c r="R1049" s="414">
        <f t="shared" si="142"/>
        <v>2100.84</v>
      </c>
      <c r="W1049" s="413"/>
      <c r="AD1049" s="412" t="s">
        <v>1409</v>
      </c>
      <c r="AF1049" s="412"/>
    </row>
    <row r="1050" spans="6:33" ht="24" hidden="1" customHeight="1">
      <c r="K1050" s="412" t="s">
        <v>790</v>
      </c>
      <c r="M1050" s="414">
        <v>2</v>
      </c>
      <c r="N1050" s="414" t="s">
        <v>701</v>
      </c>
      <c r="O1050" s="412" t="s">
        <v>1702</v>
      </c>
      <c r="P1050" s="414">
        <f t="shared" si="143"/>
        <v>64.8</v>
      </c>
      <c r="Q1050" s="412" t="s">
        <v>701</v>
      </c>
      <c r="R1050" s="414">
        <f t="shared" si="142"/>
        <v>129.6</v>
      </c>
      <c r="W1050" s="413"/>
      <c r="AD1050" s="412" t="s">
        <v>1410</v>
      </c>
      <c r="AF1050" s="412"/>
    </row>
    <row r="1051" spans="6:33" ht="24" customHeight="1">
      <c r="F1051" s="413" t="s">
        <v>1200</v>
      </c>
      <c r="H1051" s="412" t="s">
        <v>576</v>
      </c>
      <c r="K1051" s="412" t="s">
        <v>790</v>
      </c>
      <c r="M1051" s="414">
        <v>3</v>
      </c>
      <c r="N1051" s="414" t="s">
        <v>701</v>
      </c>
      <c r="O1051" s="412" t="s">
        <v>1234</v>
      </c>
      <c r="P1051" s="414">
        <f t="shared" si="143"/>
        <v>89.6</v>
      </c>
      <c r="Q1051" s="412" t="s">
        <v>701</v>
      </c>
      <c r="R1051" s="414">
        <f t="shared" si="142"/>
        <v>268.8</v>
      </c>
      <c r="W1051" s="413"/>
      <c r="AF1051" s="412" t="s">
        <v>1288</v>
      </c>
    </row>
    <row r="1052" spans="6:33" ht="24" customHeight="1">
      <c r="H1052" s="418" t="s">
        <v>1288</v>
      </c>
      <c r="M1052" s="414">
        <v>1</v>
      </c>
      <c r="N1052" s="414" t="s">
        <v>701</v>
      </c>
      <c r="O1052" s="412" t="s">
        <v>1611</v>
      </c>
      <c r="P1052" s="414">
        <f t="shared" si="143"/>
        <v>181</v>
      </c>
      <c r="Q1052" s="412" t="s">
        <v>701</v>
      </c>
      <c r="R1052" s="414">
        <f t="shared" si="142"/>
        <v>181</v>
      </c>
      <c r="W1052" s="413"/>
      <c r="AD1052" s="412" t="s">
        <v>1411</v>
      </c>
      <c r="AF1052" s="412"/>
    </row>
    <row r="1053" spans="6:33" ht="24" customHeight="1">
      <c r="F1053" s="450">
        <v>1.153E-2</v>
      </c>
      <c r="G1053" s="414" t="s">
        <v>702</v>
      </c>
      <c r="H1053" s="412" t="s">
        <v>553</v>
      </c>
      <c r="I1053" s="414" t="e">
        <f>C88</f>
        <v>#REF!</v>
      </c>
      <c r="J1053" s="412" t="s">
        <v>702</v>
      </c>
      <c r="K1053" s="414" t="e">
        <f t="shared" ref="K1053:K1063" si="144">(F1053*I1053)</f>
        <v>#REF!</v>
      </c>
      <c r="M1053" s="414">
        <v>1</v>
      </c>
      <c r="N1053" s="414" t="s">
        <v>701</v>
      </c>
      <c r="O1053" s="412" t="s">
        <v>1612</v>
      </c>
      <c r="P1053" s="414">
        <f t="shared" si="143"/>
        <v>7.3</v>
      </c>
      <c r="Q1053" s="412" t="s">
        <v>701</v>
      </c>
      <c r="R1053" s="414">
        <f t="shared" si="142"/>
        <v>7.3</v>
      </c>
      <c r="W1053" s="413"/>
      <c r="AD1053" s="412" t="s">
        <v>790</v>
      </c>
      <c r="AE1053" s="412" t="s">
        <v>790</v>
      </c>
      <c r="AF1053" s="412"/>
      <c r="AG1053" s="449" t="s">
        <v>790</v>
      </c>
    </row>
    <row r="1054" spans="6:33" ht="24" customHeight="1">
      <c r="F1054" s="450">
        <v>1.35E-2</v>
      </c>
      <c r="G1054" s="414" t="s">
        <v>702</v>
      </c>
      <c r="H1054" s="412" t="s">
        <v>554</v>
      </c>
      <c r="I1054" s="414" t="e">
        <f>C89</f>
        <v>#REF!</v>
      </c>
      <c r="J1054" s="412" t="s">
        <v>702</v>
      </c>
      <c r="K1054" s="414" t="e">
        <f t="shared" si="144"/>
        <v>#REF!</v>
      </c>
      <c r="M1054" s="414">
        <v>1</v>
      </c>
      <c r="N1054" s="414" t="s">
        <v>701</v>
      </c>
      <c r="O1054" s="412" t="s">
        <v>1613</v>
      </c>
      <c r="P1054" s="414">
        <f t="shared" si="143"/>
        <v>57.65</v>
      </c>
      <c r="Q1054" s="412" t="s">
        <v>701</v>
      </c>
      <c r="R1054" s="414">
        <f t="shared" si="142"/>
        <v>57.65</v>
      </c>
      <c r="W1054" s="413"/>
      <c r="AF1054" s="412" t="s">
        <v>790</v>
      </c>
      <c r="AG1054" s="412" t="s">
        <v>790</v>
      </c>
    </row>
    <row r="1055" spans="6:33" ht="24" customHeight="1">
      <c r="F1055" s="450">
        <v>1.016</v>
      </c>
      <c r="G1055" s="414" t="s">
        <v>488</v>
      </c>
      <c r="H1055" s="412" t="s">
        <v>1700</v>
      </c>
      <c r="I1055" s="414">
        <f>C783</f>
        <v>387.4</v>
      </c>
      <c r="J1055" s="412" t="s">
        <v>488</v>
      </c>
      <c r="K1055" s="414">
        <f t="shared" si="144"/>
        <v>393.6</v>
      </c>
      <c r="M1055" s="414">
        <v>1</v>
      </c>
      <c r="N1055" s="414" t="s">
        <v>701</v>
      </c>
      <c r="O1055" s="412" t="s">
        <v>1614</v>
      </c>
      <c r="P1055" s="414">
        <f>P953</f>
        <v>49.55</v>
      </c>
      <c r="Q1055" s="412" t="s">
        <v>701</v>
      </c>
      <c r="R1055" s="414">
        <f t="shared" si="142"/>
        <v>49.55</v>
      </c>
      <c r="W1055" s="413"/>
      <c r="AD1055" s="412" t="s">
        <v>1412</v>
      </c>
      <c r="AF1055" s="449" t="s">
        <v>790</v>
      </c>
      <c r="AG1055" s="449" t="s">
        <v>790</v>
      </c>
    </row>
    <row r="1056" spans="6:33" ht="24" customHeight="1">
      <c r="F1056" s="450">
        <v>1.64</v>
      </c>
      <c r="G1056" s="414" t="s">
        <v>488</v>
      </c>
      <c r="H1056" s="412" t="s">
        <v>1701</v>
      </c>
      <c r="I1056" s="414">
        <f>D30</f>
        <v>1281</v>
      </c>
      <c r="J1056" s="412" t="s">
        <v>488</v>
      </c>
      <c r="K1056" s="414">
        <f t="shared" si="144"/>
        <v>2100.84</v>
      </c>
      <c r="Q1056" s="412"/>
      <c r="R1056" s="418" t="s">
        <v>1288</v>
      </c>
      <c r="S1056" s="452"/>
      <c r="W1056" s="413"/>
      <c r="AD1056" s="412" t="s">
        <v>1413</v>
      </c>
      <c r="AF1056" s="412"/>
      <c r="AG1056" s="449" t="s">
        <v>1414</v>
      </c>
    </row>
    <row r="1057" spans="6:33" ht="24" customHeight="1">
      <c r="F1057" s="414">
        <v>2</v>
      </c>
      <c r="G1057" s="414" t="s">
        <v>701</v>
      </c>
      <c r="H1057" s="412" t="str">
        <f>H1022</f>
        <v xml:space="preserve"> 6"X1/2"TOWER BOLT (p-40)</v>
      </c>
      <c r="I1057" s="414">
        <f>C284</f>
        <v>64.8</v>
      </c>
      <c r="J1057" s="412" t="s">
        <v>701</v>
      </c>
      <c r="K1057" s="414">
        <f t="shared" si="144"/>
        <v>129.6</v>
      </c>
      <c r="O1057" s="413" t="s">
        <v>1235</v>
      </c>
      <c r="Q1057" s="412"/>
      <c r="R1057" s="414" t="e">
        <f>SUM(R1046:R1055)</f>
        <v>#REF!</v>
      </c>
      <c r="W1057" s="413"/>
      <c r="AF1057" s="412"/>
      <c r="AG1057" s="412" t="s">
        <v>790</v>
      </c>
    </row>
    <row r="1058" spans="6:33" ht="24" customHeight="1">
      <c r="F1058" s="414">
        <v>3</v>
      </c>
      <c r="G1058" s="414" t="s">
        <v>701</v>
      </c>
      <c r="H1058" s="412" t="s">
        <v>1234</v>
      </c>
      <c r="I1058" s="414">
        <f>C279</f>
        <v>89.6</v>
      </c>
      <c r="J1058" s="412" t="s">
        <v>701</v>
      </c>
      <c r="K1058" s="414">
        <f t="shared" si="144"/>
        <v>268.8</v>
      </c>
      <c r="N1058" s="414" t="s">
        <v>790</v>
      </c>
      <c r="Q1058" s="412"/>
      <c r="R1058" s="418" t="s">
        <v>1288</v>
      </c>
      <c r="S1058" s="452"/>
      <c r="W1058" s="413"/>
      <c r="AF1058" s="412"/>
      <c r="AG1058" s="449" t="s">
        <v>790</v>
      </c>
    </row>
    <row r="1059" spans="6:33" ht="24" customHeight="1">
      <c r="F1059" s="414">
        <v>1</v>
      </c>
      <c r="G1059" s="414" t="s">
        <v>701</v>
      </c>
      <c r="H1059" s="412" t="s">
        <v>1611</v>
      </c>
      <c r="I1059" s="414">
        <f>C286</f>
        <v>181</v>
      </c>
      <c r="J1059" s="412" t="s">
        <v>701</v>
      </c>
      <c r="K1059" s="414">
        <f t="shared" si="144"/>
        <v>181</v>
      </c>
      <c r="O1059" s="420" t="s">
        <v>447</v>
      </c>
      <c r="Q1059" s="412"/>
      <c r="R1059" s="417" t="e">
        <f>R1057/M1049</f>
        <v>#REF!</v>
      </c>
      <c r="W1059" s="413"/>
      <c r="AF1059" s="412"/>
      <c r="AG1059" s="412" t="s">
        <v>790</v>
      </c>
    </row>
    <row r="1060" spans="6:33" ht="24" customHeight="1">
      <c r="F1060" s="414">
        <v>1</v>
      </c>
      <c r="G1060" s="414" t="s">
        <v>701</v>
      </c>
      <c r="H1060" s="412" t="s">
        <v>1612</v>
      </c>
      <c r="I1060" s="414">
        <f>C288</f>
        <v>7.3</v>
      </c>
      <c r="J1060" s="412" t="s">
        <v>701</v>
      </c>
      <c r="K1060" s="414">
        <f t="shared" si="144"/>
        <v>7.3</v>
      </c>
      <c r="Q1060" s="412"/>
      <c r="R1060" s="418" t="s">
        <v>1676</v>
      </c>
      <c r="S1060" s="452" t="s">
        <v>1676</v>
      </c>
      <c r="W1060" s="413"/>
      <c r="AB1060" s="413" t="s">
        <v>1200</v>
      </c>
      <c r="AD1060" s="412" t="s">
        <v>1416</v>
      </c>
      <c r="AF1060" s="412"/>
      <c r="AG1060" s="412" t="s">
        <v>790</v>
      </c>
    </row>
    <row r="1061" spans="6:33" ht="24" customHeight="1">
      <c r="F1061" s="414">
        <v>1</v>
      </c>
      <c r="G1061" s="414" t="s">
        <v>701</v>
      </c>
      <c r="H1061" s="412" t="s">
        <v>926</v>
      </c>
      <c r="I1061" s="414">
        <f>C598</f>
        <v>57.65</v>
      </c>
      <c r="J1061" s="412" t="s">
        <v>701</v>
      </c>
      <c r="K1061" s="414">
        <f t="shared" si="144"/>
        <v>57.65</v>
      </c>
      <c r="M1061" s="413"/>
      <c r="O1061" s="412"/>
      <c r="Q1061" s="412"/>
      <c r="R1061" s="412" t="s">
        <v>790</v>
      </c>
      <c r="W1061" s="413"/>
      <c r="AD1061" s="418" t="s">
        <v>1288</v>
      </c>
      <c r="AF1061" s="412"/>
    </row>
    <row r="1062" spans="6:33" ht="24" customHeight="1">
      <c r="F1062" s="414">
        <v>1</v>
      </c>
      <c r="G1062" s="414" t="s">
        <v>701</v>
      </c>
      <c r="H1062" s="412" t="s">
        <v>1614</v>
      </c>
      <c r="I1062" s="414">
        <f>D598</f>
        <v>49.55</v>
      </c>
      <c r="J1062" s="412" t="s">
        <v>701</v>
      </c>
      <c r="K1062" s="414">
        <f t="shared" si="144"/>
        <v>49.55</v>
      </c>
      <c r="M1062" s="413" t="s">
        <v>1200</v>
      </c>
      <c r="O1062" s="412" t="s">
        <v>1471</v>
      </c>
      <c r="Q1062" s="412"/>
      <c r="R1062" s="412" t="s">
        <v>790</v>
      </c>
      <c r="W1062" s="413"/>
      <c r="AB1062" s="450">
        <v>2.3060000000000001E-2</v>
      </c>
      <c r="AC1062" s="414" t="s">
        <v>702</v>
      </c>
      <c r="AD1062" s="412" t="s">
        <v>553</v>
      </c>
      <c r="AE1062" s="414" t="e">
        <f>I1053</f>
        <v>#REF!</v>
      </c>
      <c r="AF1062" s="412" t="s">
        <v>702</v>
      </c>
      <c r="AG1062" s="414" t="e">
        <f t="shared" ref="AG1062:AG1072" si="145">(AB1062*AE1062)</f>
        <v>#REF!</v>
      </c>
    </row>
    <row r="1063" spans="6:33" ht="24" customHeight="1">
      <c r="F1063" s="414">
        <v>58</v>
      </c>
      <c r="G1063" s="414" t="s">
        <v>838</v>
      </c>
      <c r="H1063" s="412" t="s">
        <v>929</v>
      </c>
      <c r="I1063" s="414">
        <f>I1026</f>
        <v>2.41</v>
      </c>
      <c r="J1063" s="412" t="s">
        <v>701</v>
      </c>
      <c r="K1063" s="414">
        <f t="shared" si="144"/>
        <v>139.78</v>
      </c>
      <c r="O1063" s="418" t="s">
        <v>1288</v>
      </c>
      <c r="Q1063" s="412"/>
      <c r="W1063" s="413"/>
      <c r="AB1063" s="450">
        <v>1.856E-2</v>
      </c>
      <c r="AC1063" s="414" t="s">
        <v>702</v>
      </c>
      <c r="AD1063" s="412" t="s">
        <v>554</v>
      </c>
      <c r="AE1063" s="414" t="e">
        <f t="shared" ref="AE1063:AE1071" si="146">I1054</f>
        <v>#REF!</v>
      </c>
      <c r="AF1063" s="412" t="s">
        <v>702</v>
      </c>
      <c r="AG1063" s="414" t="e">
        <f t="shared" si="145"/>
        <v>#REF!</v>
      </c>
    </row>
    <row r="1064" spans="6:33" ht="24" customHeight="1">
      <c r="H1064" s="413" t="s">
        <v>1235</v>
      </c>
      <c r="K1064" s="414" t="e">
        <f>SUM(K1053:K1063)</f>
        <v>#REF!</v>
      </c>
      <c r="M1064" s="450">
        <v>1.153E-2</v>
      </c>
      <c r="N1064" s="414" t="s">
        <v>702</v>
      </c>
      <c r="O1064" s="412" t="s">
        <v>553</v>
      </c>
      <c r="P1064" s="414" t="e">
        <f>I1053</f>
        <v>#REF!</v>
      </c>
      <c r="Q1064" s="412" t="s">
        <v>702</v>
      </c>
      <c r="R1064" s="414" t="e">
        <f t="shared" ref="R1064:R1074" si="147">(M1064*P1064)</f>
        <v>#REF!</v>
      </c>
      <c r="W1064" s="413"/>
      <c r="AB1064" s="450">
        <v>1.4</v>
      </c>
      <c r="AC1064" s="414" t="s">
        <v>488</v>
      </c>
      <c r="AD1064" s="412" t="s">
        <v>1700</v>
      </c>
      <c r="AE1064" s="414">
        <f t="shared" si="146"/>
        <v>387.4</v>
      </c>
      <c r="AF1064" s="412" t="s">
        <v>488</v>
      </c>
      <c r="AG1064" s="414">
        <f t="shared" si="145"/>
        <v>542.36</v>
      </c>
    </row>
    <row r="1065" spans="6:33" ht="24" customHeight="1">
      <c r="G1065" s="414" t="s">
        <v>790</v>
      </c>
      <c r="K1065" s="418" t="s">
        <v>1288</v>
      </c>
      <c r="M1065" s="450">
        <v>1.52E-2</v>
      </c>
      <c r="N1065" s="414" t="s">
        <v>702</v>
      </c>
      <c r="O1065" s="412" t="s">
        <v>554</v>
      </c>
      <c r="P1065" s="414" t="e">
        <f t="shared" ref="P1065:P1073" si="148">I1054</f>
        <v>#REF!</v>
      </c>
      <c r="Q1065" s="412" t="s">
        <v>702</v>
      </c>
      <c r="R1065" s="414" t="e">
        <f t="shared" si="147"/>
        <v>#REF!</v>
      </c>
      <c r="W1065" s="413"/>
      <c r="AB1065" s="450">
        <v>2.2549999999999999</v>
      </c>
      <c r="AC1065" s="414" t="s">
        <v>488</v>
      </c>
      <c r="AD1065" s="412" t="s">
        <v>1701</v>
      </c>
      <c r="AE1065" s="414">
        <f t="shared" si="146"/>
        <v>1281</v>
      </c>
      <c r="AF1065" s="412" t="s">
        <v>488</v>
      </c>
      <c r="AG1065" s="414">
        <f t="shared" si="145"/>
        <v>2888.66</v>
      </c>
    </row>
    <row r="1066" spans="6:33" ht="24" customHeight="1">
      <c r="H1066" s="420" t="s">
        <v>447</v>
      </c>
      <c r="K1066" s="417" t="e">
        <f>K1064/F1056</f>
        <v>#REF!</v>
      </c>
      <c r="M1066" s="450">
        <v>1.26</v>
      </c>
      <c r="N1066" s="414" t="s">
        <v>488</v>
      </c>
      <c r="O1066" s="412" t="s">
        <v>1700</v>
      </c>
      <c r="P1066" s="414">
        <f t="shared" si="148"/>
        <v>387.4</v>
      </c>
      <c r="Q1066" s="412" t="s">
        <v>488</v>
      </c>
      <c r="R1066" s="414">
        <f t="shared" si="147"/>
        <v>488.12</v>
      </c>
      <c r="W1066" s="413"/>
      <c r="AB1066" s="414">
        <v>4</v>
      </c>
      <c r="AC1066" s="414" t="s">
        <v>701</v>
      </c>
      <c r="AD1066" s="412" t="s">
        <v>1702</v>
      </c>
      <c r="AE1066" s="414">
        <f t="shared" si="146"/>
        <v>64.8</v>
      </c>
      <c r="AF1066" s="412" t="s">
        <v>701</v>
      </c>
      <c r="AG1066" s="414">
        <f t="shared" si="145"/>
        <v>259.2</v>
      </c>
    </row>
    <row r="1067" spans="6:33" ht="24" customHeight="1">
      <c r="K1067" s="418" t="s">
        <v>1676</v>
      </c>
      <c r="M1067" s="450">
        <v>1.845</v>
      </c>
      <c r="N1067" s="414" t="s">
        <v>488</v>
      </c>
      <c r="O1067" s="412" t="s">
        <v>1701</v>
      </c>
      <c r="P1067" s="414">
        <f t="shared" si="148"/>
        <v>1281</v>
      </c>
      <c r="Q1067" s="412" t="s">
        <v>488</v>
      </c>
      <c r="R1067" s="414">
        <f t="shared" si="147"/>
        <v>2363.4499999999998</v>
      </c>
      <c r="W1067" s="413"/>
      <c r="AB1067" s="414">
        <v>6</v>
      </c>
      <c r="AC1067" s="414" t="s">
        <v>701</v>
      </c>
      <c r="AD1067" s="412" t="s">
        <v>1234</v>
      </c>
      <c r="AE1067" s="414">
        <f t="shared" si="146"/>
        <v>89.6</v>
      </c>
      <c r="AF1067" s="412" t="s">
        <v>701</v>
      </c>
      <c r="AG1067" s="414">
        <f t="shared" si="145"/>
        <v>537.6</v>
      </c>
    </row>
    <row r="1068" spans="6:33" ht="24" customHeight="1">
      <c r="F1068" s="413" t="s">
        <v>1276</v>
      </c>
      <c r="H1068" s="412" t="s">
        <v>1087</v>
      </c>
      <c r="M1068" s="414">
        <v>2</v>
      </c>
      <c r="N1068" s="414" t="s">
        <v>701</v>
      </c>
      <c r="O1068" s="412" t="s">
        <v>1702</v>
      </c>
      <c r="P1068" s="414">
        <f t="shared" si="148"/>
        <v>64.8</v>
      </c>
      <c r="Q1068" s="412" t="s">
        <v>701</v>
      </c>
      <c r="R1068" s="414">
        <f t="shared" si="147"/>
        <v>129.6</v>
      </c>
      <c r="W1068" s="413"/>
      <c r="AB1068" s="414">
        <v>1</v>
      </c>
      <c r="AC1068" s="414" t="s">
        <v>701</v>
      </c>
      <c r="AD1068" s="412" t="s">
        <v>1611</v>
      </c>
      <c r="AE1068" s="414">
        <f t="shared" si="146"/>
        <v>181</v>
      </c>
      <c r="AF1068" s="412" t="s">
        <v>701</v>
      </c>
      <c r="AG1068" s="414">
        <f t="shared" si="145"/>
        <v>181</v>
      </c>
    </row>
    <row r="1069" spans="6:33" ht="24" customHeight="1">
      <c r="H1069" s="412" t="s">
        <v>1088</v>
      </c>
      <c r="M1069" s="414">
        <v>3</v>
      </c>
      <c r="N1069" s="414" t="s">
        <v>701</v>
      </c>
      <c r="O1069" s="412" t="s">
        <v>1234</v>
      </c>
      <c r="P1069" s="414">
        <f t="shared" si="148"/>
        <v>89.6</v>
      </c>
      <c r="Q1069" s="412" t="s">
        <v>701</v>
      </c>
      <c r="R1069" s="414">
        <f t="shared" si="147"/>
        <v>268.8</v>
      </c>
      <c r="W1069" s="413"/>
      <c r="AB1069" s="414">
        <v>2</v>
      </c>
      <c r="AC1069" s="414" t="s">
        <v>701</v>
      </c>
      <c r="AD1069" s="412" t="s">
        <v>1612</v>
      </c>
      <c r="AE1069" s="414">
        <f t="shared" si="146"/>
        <v>7.3</v>
      </c>
      <c r="AF1069" s="412" t="s">
        <v>701</v>
      </c>
      <c r="AG1069" s="414">
        <f t="shared" si="145"/>
        <v>14.6</v>
      </c>
    </row>
    <row r="1070" spans="6:33" ht="24" customHeight="1">
      <c r="H1070" s="418" t="s">
        <v>1288</v>
      </c>
      <c r="M1070" s="414">
        <v>1</v>
      </c>
      <c r="N1070" s="414" t="s">
        <v>701</v>
      </c>
      <c r="O1070" s="412" t="s">
        <v>1611</v>
      </c>
      <c r="P1070" s="414">
        <f t="shared" si="148"/>
        <v>181</v>
      </c>
      <c r="Q1070" s="412" t="s">
        <v>701</v>
      </c>
      <c r="R1070" s="414">
        <f t="shared" si="147"/>
        <v>181</v>
      </c>
      <c r="W1070" s="413"/>
      <c r="AB1070" s="414">
        <v>2</v>
      </c>
      <c r="AC1070" s="414" t="s">
        <v>701</v>
      </c>
      <c r="AD1070" s="412" t="s">
        <v>926</v>
      </c>
      <c r="AE1070" s="414">
        <f t="shared" si="146"/>
        <v>57.65</v>
      </c>
      <c r="AF1070" s="412" t="s">
        <v>701</v>
      </c>
      <c r="AG1070" s="414">
        <f t="shared" si="145"/>
        <v>115.3</v>
      </c>
    </row>
    <row r="1071" spans="6:33" ht="24" customHeight="1">
      <c r="F1071" s="450">
        <v>6.6499999999999997E-3</v>
      </c>
      <c r="G1071" s="414" t="s">
        <v>1089</v>
      </c>
      <c r="H1071" s="412" t="s">
        <v>1090</v>
      </c>
      <c r="I1071" s="414" t="e">
        <f>C89</f>
        <v>#REF!</v>
      </c>
      <c r="J1071" s="412" t="s">
        <v>702</v>
      </c>
      <c r="K1071" s="414" t="e">
        <f t="shared" ref="K1071:K1078" si="149">(F1071*I1071)</f>
        <v>#REF!</v>
      </c>
      <c r="M1071" s="414">
        <v>1</v>
      </c>
      <c r="N1071" s="414" t="s">
        <v>701</v>
      </c>
      <c r="O1071" s="412" t="s">
        <v>1612</v>
      </c>
      <c r="P1071" s="414">
        <f t="shared" si="148"/>
        <v>7.3</v>
      </c>
      <c r="Q1071" s="412" t="s">
        <v>701</v>
      </c>
      <c r="R1071" s="414">
        <f t="shared" si="147"/>
        <v>7.3</v>
      </c>
      <c r="W1071" s="413"/>
      <c r="AB1071" s="414">
        <v>2</v>
      </c>
      <c r="AC1071" s="414" t="s">
        <v>701</v>
      </c>
      <c r="AD1071" s="412" t="s">
        <v>1614</v>
      </c>
      <c r="AE1071" s="414">
        <f t="shared" si="146"/>
        <v>49.55</v>
      </c>
      <c r="AF1071" s="412" t="s">
        <v>701</v>
      </c>
      <c r="AG1071" s="414">
        <f t="shared" si="145"/>
        <v>99.1</v>
      </c>
    </row>
    <row r="1072" spans="6:33" ht="24" customHeight="1">
      <c r="F1072" s="450">
        <v>0.32346000000000003</v>
      </c>
      <c r="G1072" s="414" t="s">
        <v>488</v>
      </c>
      <c r="H1072" s="412" t="s">
        <v>1309</v>
      </c>
      <c r="I1072" s="414">
        <v>208.8</v>
      </c>
      <c r="J1072" s="412" t="s">
        <v>702</v>
      </c>
      <c r="K1072" s="414">
        <f t="shared" si="149"/>
        <v>67.540000000000006</v>
      </c>
      <c r="M1072" s="414">
        <v>1</v>
      </c>
      <c r="N1072" s="414" t="s">
        <v>701</v>
      </c>
      <c r="O1072" s="412" t="s">
        <v>926</v>
      </c>
      <c r="P1072" s="414">
        <f t="shared" si="148"/>
        <v>57.65</v>
      </c>
      <c r="Q1072" s="412" t="s">
        <v>701</v>
      </c>
      <c r="R1072" s="414">
        <f t="shared" si="147"/>
        <v>57.65</v>
      </c>
      <c r="W1072" s="413"/>
      <c r="AB1072" s="414">
        <v>118</v>
      </c>
      <c r="AC1072" s="414" t="s">
        <v>701</v>
      </c>
      <c r="AD1072" s="412" t="s">
        <v>929</v>
      </c>
      <c r="AE1072" s="414">
        <f>I1063</f>
        <v>2.41</v>
      </c>
      <c r="AF1072" s="412"/>
      <c r="AG1072" s="414">
        <f t="shared" si="145"/>
        <v>284.38</v>
      </c>
    </row>
    <row r="1073" spans="6:33" ht="24" customHeight="1">
      <c r="F1073" s="450">
        <v>0.47660000000000002</v>
      </c>
      <c r="G1073" s="414" t="s">
        <v>488</v>
      </c>
      <c r="H1073" s="412" t="s">
        <v>1701</v>
      </c>
      <c r="I1073" s="414">
        <f>D31</f>
        <v>1436</v>
      </c>
      <c r="J1073" s="412" t="s">
        <v>488</v>
      </c>
      <c r="K1073" s="414">
        <f t="shared" si="149"/>
        <v>684.4</v>
      </c>
      <c r="M1073" s="414">
        <v>1</v>
      </c>
      <c r="N1073" s="414" t="s">
        <v>701</v>
      </c>
      <c r="O1073" s="412" t="s">
        <v>1614</v>
      </c>
      <c r="P1073" s="414">
        <f t="shared" si="148"/>
        <v>49.55</v>
      </c>
      <c r="Q1073" s="412" t="s">
        <v>701</v>
      </c>
      <c r="R1073" s="414">
        <f t="shared" si="147"/>
        <v>49.55</v>
      </c>
      <c r="W1073" s="413"/>
      <c r="AD1073" s="413" t="s">
        <v>1415</v>
      </c>
      <c r="AF1073" s="412"/>
      <c r="AG1073" s="414" t="e">
        <f>SUM(AG1062:AG1072)</f>
        <v>#REF!</v>
      </c>
    </row>
    <row r="1074" spans="6:33" ht="24" customHeight="1">
      <c r="F1074" s="414">
        <v>3</v>
      </c>
      <c r="G1074" s="414" t="s">
        <v>701</v>
      </c>
      <c r="H1074" s="412" t="s">
        <v>1091</v>
      </c>
      <c r="I1074" s="414">
        <f>C282</f>
        <v>49.35</v>
      </c>
      <c r="J1074" s="412" t="s">
        <v>701</v>
      </c>
      <c r="K1074" s="414">
        <f t="shared" si="149"/>
        <v>148.05000000000001</v>
      </c>
      <c r="M1074" s="414">
        <v>58</v>
      </c>
      <c r="O1074" s="412" t="s">
        <v>1420</v>
      </c>
      <c r="P1074" s="414">
        <f>I1078</f>
        <v>2.41</v>
      </c>
      <c r="Q1074" s="412"/>
      <c r="R1074" s="414">
        <f t="shared" si="147"/>
        <v>139.78</v>
      </c>
      <c r="W1074" s="413"/>
      <c r="AC1074" s="414" t="s">
        <v>790</v>
      </c>
      <c r="AF1074" s="412"/>
      <c r="AG1074" s="418" t="s">
        <v>1288</v>
      </c>
    </row>
    <row r="1075" spans="6:33" ht="24" customHeight="1">
      <c r="F1075" s="414">
        <v>2</v>
      </c>
      <c r="G1075" s="414" t="s">
        <v>701</v>
      </c>
      <c r="H1075" s="412" t="s">
        <v>1715</v>
      </c>
      <c r="I1075" s="414">
        <f>C285</f>
        <v>39.700000000000003</v>
      </c>
      <c r="J1075" s="412" t="s">
        <v>701</v>
      </c>
      <c r="K1075" s="414">
        <f t="shared" si="149"/>
        <v>79.400000000000006</v>
      </c>
      <c r="O1075" s="413" t="s">
        <v>2663</v>
      </c>
      <c r="Q1075" s="412"/>
      <c r="R1075" s="414" t="e">
        <f>SUM(R1064:R1074)</f>
        <v>#REF!</v>
      </c>
      <c r="W1075" s="413"/>
      <c r="AD1075" s="420" t="s">
        <v>447</v>
      </c>
      <c r="AF1075" s="412"/>
      <c r="AG1075" s="417" t="e">
        <f>AG1073/AB1065</f>
        <v>#REF!</v>
      </c>
    </row>
    <row r="1076" spans="6:33" ht="24" customHeight="1">
      <c r="F1076" s="414">
        <v>1</v>
      </c>
      <c r="G1076" s="414" t="s">
        <v>701</v>
      </c>
      <c r="H1076" s="412" t="s">
        <v>1716</v>
      </c>
      <c r="I1076" s="414">
        <f>I1060</f>
        <v>7.3</v>
      </c>
      <c r="J1076" s="412" t="s">
        <v>701</v>
      </c>
      <c r="K1076" s="414">
        <f t="shared" si="149"/>
        <v>7.3</v>
      </c>
      <c r="N1076" s="414" t="s">
        <v>790</v>
      </c>
      <c r="Q1076" s="412"/>
      <c r="R1076" s="418" t="s">
        <v>1288</v>
      </c>
      <c r="W1076" s="413"/>
      <c r="AF1076" s="412"/>
      <c r="AG1076" s="418" t="s">
        <v>1676</v>
      </c>
    </row>
    <row r="1077" spans="6:33" ht="24" customHeight="1">
      <c r="F1077" s="414">
        <v>1</v>
      </c>
      <c r="G1077" s="414" t="s">
        <v>701</v>
      </c>
      <c r="H1077" s="412" t="s">
        <v>1717</v>
      </c>
      <c r="I1077" s="414">
        <f>C292</f>
        <v>8.9</v>
      </c>
      <c r="J1077" s="412" t="s">
        <v>701</v>
      </c>
      <c r="K1077" s="414">
        <f t="shared" si="149"/>
        <v>8.9</v>
      </c>
      <c r="O1077" s="420" t="s">
        <v>447</v>
      </c>
      <c r="Q1077" s="412"/>
      <c r="R1077" s="417" t="e">
        <f>R1075/M1067</f>
        <v>#REF!</v>
      </c>
      <c r="W1077" s="413"/>
    </row>
    <row r="1078" spans="6:33" ht="24" customHeight="1">
      <c r="F1078" s="414">
        <v>24</v>
      </c>
      <c r="H1078" s="412" t="s">
        <v>929</v>
      </c>
      <c r="I1078" s="414">
        <f>I1063</f>
        <v>2.41</v>
      </c>
      <c r="J1078" s="412" t="s">
        <v>701</v>
      </c>
      <c r="K1078" s="414">
        <f t="shared" si="149"/>
        <v>57.84</v>
      </c>
      <c r="Q1078" s="412"/>
      <c r="R1078" s="418" t="s">
        <v>1676</v>
      </c>
      <c r="W1078" s="413"/>
    </row>
    <row r="1079" spans="6:33" ht="24" customHeight="1">
      <c r="H1079" s="413" t="s">
        <v>1718</v>
      </c>
      <c r="K1079" s="414" t="e">
        <f>SUM(K1071:K1078)</f>
        <v>#REF!</v>
      </c>
      <c r="W1079" s="413"/>
    </row>
    <row r="1080" spans="6:33" ht="24" customHeight="1">
      <c r="K1080" s="418" t="s">
        <v>1288</v>
      </c>
      <c r="W1080" s="413"/>
    </row>
    <row r="1081" spans="6:33" ht="24" customHeight="1">
      <c r="H1081" s="420" t="s">
        <v>447</v>
      </c>
      <c r="I1081" s="412" t="s">
        <v>790</v>
      </c>
      <c r="K1081" s="417" t="e">
        <f>K1079/F1073</f>
        <v>#REF!</v>
      </c>
      <c r="W1081" s="413"/>
    </row>
    <row r="1082" spans="6:33" ht="24" customHeight="1">
      <c r="K1082" s="418" t="s">
        <v>1676</v>
      </c>
      <c r="W1082" s="413"/>
    </row>
    <row r="1083" spans="6:33" ht="24" customHeight="1">
      <c r="F1083" s="413" t="s">
        <v>1315</v>
      </c>
      <c r="G1083" s="414" t="s">
        <v>1833</v>
      </c>
      <c r="H1083" s="412" t="s">
        <v>1087</v>
      </c>
      <c r="W1083" s="413"/>
    </row>
    <row r="1084" spans="6:33" ht="24" customHeight="1">
      <c r="H1084" s="412" t="s">
        <v>566</v>
      </c>
      <c r="N1084" s="412" t="s">
        <v>199</v>
      </c>
      <c r="W1084" s="413"/>
    </row>
    <row r="1085" spans="6:33" ht="24" customHeight="1">
      <c r="H1085" s="418" t="s">
        <v>1288</v>
      </c>
      <c r="N1085" s="412" t="s">
        <v>200</v>
      </c>
      <c r="W1085" s="413"/>
    </row>
    <row r="1086" spans="6:33" ht="24" customHeight="1">
      <c r="F1086" s="450">
        <v>5.4000000000000003E-3</v>
      </c>
      <c r="G1086" s="414" t="s">
        <v>1089</v>
      </c>
      <c r="H1086" s="412" t="s">
        <v>1090</v>
      </c>
      <c r="I1086" s="414" t="e">
        <f>C89</f>
        <v>#REF!</v>
      </c>
      <c r="J1086" s="412" t="s">
        <v>702</v>
      </c>
      <c r="K1086" s="414" t="e">
        <f t="shared" ref="K1086:K1093" si="150">(F1086*I1086)</f>
        <v>#REF!</v>
      </c>
      <c r="N1086" s="412" t="s">
        <v>1417</v>
      </c>
      <c r="W1086" s="413"/>
    </row>
    <row r="1087" spans="6:33" ht="24" customHeight="1">
      <c r="F1087" s="450">
        <v>0.23871000000000001</v>
      </c>
      <c r="G1087" s="414" t="s">
        <v>488</v>
      </c>
      <c r="H1087" s="412" t="str">
        <f>H1072</f>
        <v>frosted glass 4mmthick</v>
      </c>
      <c r="I1087" s="414">
        <f>I1072</f>
        <v>208.8</v>
      </c>
      <c r="J1087" s="412" t="s">
        <v>702</v>
      </c>
      <c r="K1087" s="414">
        <f t="shared" si="150"/>
        <v>49.84</v>
      </c>
      <c r="W1087" s="413"/>
    </row>
    <row r="1088" spans="6:33" ht="24" customHeight="1">
      <c r="F1088" s="450">
        <v>0.36199999999999999</v>
      </c>
      <c r="G1088" s="414" t="s">
        <v>488</v>
      </c>
      <c r="H1088" s="412" t="s">
        <v>1701</v>
      </c>
      <c r="I1088" s="414">
        <f>D31</f>
        <v>1436</v>
      </c>
      <c r="J1088" s="412" t="s">
        <v>488</v>
      </c>
      <c r="K1088" s="414">
        <f t="shared" si="150"/>
        <v>519.83000000000004</v>
      </c>
      <c r="W1088" s="413"/>
    </row>
    <row r="1089" spans="6:23" ht="24" customHeight="1">
      <c r="F1089" s="414">
        <v>3</v>
      </c>
      <c r="G1089" s="414" t="s">
        <v>701</v>
      </c>
      <c r="H1089" s="412" t="s">
        <v>1091</v>
      </c>
      <c r="I1089" s="414">
        <f>C282</f>
        <v>49.35</v>
      </c>
      <c r="J1089" s="412" t="s">
        <v>701</v>
      </c>
      <c r="K1089" s="414">
        <f t="shared" si="150"/>
        <v>148.05000000000001</v>
      </c>
      <c r="M1089" s="439">
        <v>2.2800000000000001E-2</v>
      </c>
      <c r="N1089" s="414" t="s">
        <v>702</v>
      </c>
      <c r="O1089" s="412" t="s">
        <v>234</v>
      </c>
      <c r="P1089" s="414" t="e">
        <f>I1053</f>
        <v>#REF!</v>
      </c>
      <c r="Q1089" s="412" t="s">
        <v>702</v>
      </c>
      <c r="R1089" s="414" t="e">
        <f>P1089*M1089</f>
        <v>#REF!</v>
      </c>
      <c r="W1089" s="413"/>
    </row>
    <row r="1090" spans="6:23" ht="24" customHeight="1">
      <c r="F1090" s="414">
        <v>2</v>
      </c>
      <c r="G1090" s="414" t="s">
        <v>701</v>
      </c>
      <c r="H1090" s="412" t="s">
        <v>1715</v>
      </c>
      <c r="I1090" s="414">
        <f>C285</f>
        <v>39.700000000000003</v>
      </c>
      <c r="J1090" s="412" t="s">
        <v>701</v>
      </c>
      <c r="K1090" s="414">
        <f t="shared" si="150"/>
        <v>79.400000000000006</v>
      </c>
      <c r="M1090" s="439">
        <v>4.2999999999999997E-2</v>
      </c>
      <c r="N1090" s="414" t="s">
        <v>702</v>
      </c>
      <c r="O1090" s="412" t="s">
        <v>235</v>
      </c>
      <c r="P1090" s="414" t="e">
        <f>I1054</f>
        <v>#REF!</v>
      </c>
      <c r="Q1090" s="412" t="s">
        <v>702</v>
      </c>
      <c r="R1090" s="414" t="e">
        <f t="shared" ref="R1090:R1100" si="151">P1090*M1090</f>
        <v>#REF!</v>
      </c>
      <c r="W1090" s="413"/>
    </row>
    <row r="1091" spans="6:23" ht="24" customHeight="1">
      <c r="F1091" s="414">
        <v>1</v>
      </c>
      <c r="G1091" s="414" t="s">
        <v>701</v>
      </c>
      <c r="H1091" s="412" t="s">
        <v>1716</v>
      </c>
      <c r="I1091" s="414">
        <f>I1076</f>
        <v>7.3</v>
      </c>
      <c r="J1091" s="412" t="s">
        <v>701</v>
      </c>
      <c r="K1091" s="414">
        <f t="shared" si="150"/>
        <v>7.3</v>
      </c>
      <c r="M1091" s="439">
        <v>4.0800000000000003E-2</v>
      </c>
      <c r="N1091" s="414" t="s">
        <v>702</v>
      </c>
      <c r="O1091" s="412" t="s">
        <v>236</v>
      </c>
      <c r="P1091" s="414" t="e">
        <f>I1017</f>
        <v>#REF!</v>
      </c>
      <c r="Q1091" s="412" t="s">
        <v>702</v>
      </c>
      <c r="R1091" s="414" t="e">
        <f t="shared" si="151"/>
        <v>#REF!</v>
      </c>
      <c r="W1091" s="413"/>
    </row>
    <row r="1092" spans="6:23" ht="24" customHeight="1">
      <c r="F1092" s="414">
        <v>1</v>
      </c>
      <c r="G1092" s="414" t="s">
        <v>701</v>
      </c>
      <c r="H1092" s="412" t="s">
        <v>1717</v>
      </c>
      <c r="I1092" s="414">
        <f>C292</f>
        <v>8.9</v>
      </c>
      <c r="J1092" s="412" t="s">
        <v>701</v>
      </c>
      <c r="K1092" s="414">
        <f t="shared" si="150"/>
        <v>8.9</v>
      </c>
      <c r="M1092" s="439"/>
      <c r="O1092" s="412" t="s">
        <v>764</v>
      </c>
      <c r="Q1092" s="412"/>
      <c r="R1092" s="414">
        <f t="shared" si="151"/>
        <v>0</v>
      </c>
      <c r="W1092" s="413"/>
    </row>
    <row r="1093" spans="6:23" ht="24" customHeight="1">
      <c r="F1093" s="414">
        <v>10</v>
      </c>
      <c r="H1093" s="412" t="s">
        <v>929</v>
      </c>
      <c r="I1093" s="414">
        <f>I1078</f>
        <v>2.41</v>
      </c>
      <c r="J1093" s="412" t="s">
        <v>701</v>
      </c>
      <c r="K1093" s="414">
        <f t="shared" si="150"/>
        <v>24.1</v>
      </c>
      <c r="M1093" s="439">
        <v>3.4424999999999999</v>
      </c>
      <c r="N1093" s="414" t="s">
        <v>488</v>
      </c>
      <c r="O1093" s="412" t="s">
        <v>356</v>
      </c>
      <c r="P1093" s="414">
        <f>I1019</f>
        <v>1537</v>
      </c>
      <c r="Q1093" s="412" t="s">
        <v>488</v>
      </c>
      <c r="R1093" s="414">
        <f t="shared" si="151"/>
        <v>5291.12</v>
      </c>
      <c r="W1093" s="413"/>
    </row>
    <row r="1094" spans="6:23" ht="24" customHeight="1">
      <c r="K1094" s="418" t="s">
        <v>1288</v>
      </c>
      <c r="M1094" s="414">
        <v>2</v>
      </c>
      <c r="N1094" s="414" t="s">
        <v>619</v>
      </c>
      <c r="O1094" s="412" t="s">
        <v>925</v>
      </c>
      <c r="P1094" s="414">
        <f t="shared" ref="P1094:P1099" si="152">I1020</f>
        <v>57.65</v>
      </c>
      <c r="Q1094" s="412" t="s">
        <v>701</v>
      </c>
      <c r="R1094" s="414">
        <f t="shared" si="151"/>
        <v>115.3</v>
      </c>
      <c r="W1094" s="413"/>
    </row>
    <row r="1095" spans="6:23" ht="24" customHeight="1">
      <c r="H1095" s="413" t="s">
        <v>719</v>
      </c>
      <c r="K1095" s="414" t="e">
        <f>SUM(K1082:K1093)</f>
        <v>#REF!</v>
      </c>
      <c r="M1095" s="414">
        <v>6</v>
      </c>
      <c r="N1095" s="414" t="s">
        <v>701</v>
      </c>
      <c r="O1095" s="412" t="s">
        <v>1191</v>
      </c>
      <c r="P1095" s="414">
        <f t="shared" si="152"/>
        <v>89.6</v>
      </c>
      <c r="Q1095" s="412" t="s">
        <v>701</v>
      </c>
      <c r="R1095" s="414">
        <f t="shared" si="151"/>
        <v>537.6</v>
      </c>
      <c r="W1095" s="413"/>
    </row>
    <row r="1096" spans="6:23" ht="24" customHeight="1">
      <c r="K1096" s="418" t="s">
        <v>1288</v>
      </c>
      <c r="M1096" s="414">
        <v>4</v>
      </c>
      <c r="N1096" s="414" t="s">
        <v>701</v>
      </c>
      <c r="O1096" s="412" t="s">
        <v>1192</v>
      </c>
      <c r="P1096" s="414">
        <f t="shared" si="152"/>
        <v>64.8</v>
      </c>
      <c r="Q1096" s="412" t="s">
        <v>701</v>
      </c>
      <c r="R1096" s="414">
        <f t="shared" si="151"/>
        <v>259.2</v>
      </c>
      <c r="W1096" s="413"/>
    </row>
    <row r="1097" spans="6:23" ht="24" customHeight="1">
      <c r="H1097" s="420" t="s">
        <v>447</v>
      </c>
      <c r="I1097" s="412" t="s">
        <v>790</v>
      </c>
      <c r="K1097" s="417" t="e">
        <f>K1095/F1088</f>
        <v>#REF!</v>
      </c>
      <c r="M1097" s="414">
        <v>1</v>
      </c>
      <c r="N1097" s="414" t="s">
        <v>701</v>
      </c>
      <c r="O1097" s="412" t="s">
        <v>1193</v>
      </c>
      <c r="P1097" s="414">
        <f t="shared" si="152"/>
        <v>181</v>
      </c>
      <c r="Q1097" s="412" t="s">
        <v>701</v>
      </c>
      <c r="R1097" s="414">
        <f t="shared" si="151"/>
        <v>181</v>
      </c>
      <c r="W1097" s="413"/>
    </row>
    <row r="1098" spans="6:23" ht="24" customHeight="1">
      <c r="K1098" s="418" t="s">
        <v>1676</v>
      </c>
      <c r="M1098" s="414">
        <v>2</v>
      </c>
      <c r="N1098" s="414" t="s">
        <v>701</v>
      </c>
      <c r="O1098" s="412" t="s">
        <v>1194</v>
      </c>
      <c r="P1098" s="414">
        <f t="shared" si="152"/>
        <v>7.3</v>
      </c>
      <c r="Q1098" s="412" t="s">
        <v>701</v>
      </c>
      <c r="R1098" s="414">
        <f t="shared" si="151"/>
        <v>14.6</v>
      </c>
      <c r="W1098" s="413"/>
    </row>
    <row r="1099" spans="6:23" ht="24" customHeight="1">
      <c r="F1099" s="413" t="s">
        <v>1316</v>
      </c>
      <c r="G1099" s="414" t="s">
        <v>1833</v>
      </c>
      <c r="H1099" s="412" t="s">
        <v>720</v>
      </c>
      <c r="M1099" s="414">
        <v>2</v>
      </c>
      <c r="N1099" s="414" t="s">
        <v>701</v>
      </c>
      <c r="O1099" s="412" t="s">
        <v>1614</v>
      </c>
      <c r="P1099" s="414">
        <f t="shared" si="152"/>
        <v>49.55</v>
      </c>
      <c r="Q1099" s="412" t="s">
        <v>701</v>
      </c>
      <c r="R1099" s="414">
        <f t="shared" si="151"/>
        <v>99.1</v>
      </c>
      <c r="W1099" s="413"/>
    </row>
    <row r="1100" spans="6:23" ht="24" customHeight="1">
      <c r="H1100" s="412" t="s">
        <v>1622</v>
      </c>
      <c r="M1100" s="414">
        <v>10</v>
      </c>
      <c r="O1100" s="412" t="s">
        <v>1420</v>
      </c>
      <c r="P1100" s="414">
        <f>P1074</f>
        <v>2.41</v>
      </c>
      <c r="Q1100" s="412"/>
      <c r="R1100" s="414">
        <f t="shared" si="151"/>
        <v>24.1</v>
      </c>
      <c r="W1100" s="413"/>
    </row>
    <row r="1101" spans="6:23" ht="24" customHeight="1">
      <c r="H1101" s="418" t="s">
        <v>1288</v>
      </c>
      <c r="O1101" s="412" t="s">
        <v>1751</v>
      </c>
      <c r="Q1101" s="412"/>
      <c r="R1101" s="414" t="e">
        <f>SUM(R1089:R1100)+0.31</f>
        <v>#REF!</v>
      </c>
      <c r="W1101" s="413"/>
    </row>
    <row r="1102" spans="6:23" ht="24" customHeight="1">
      <c r="F1102" s="450">
        <v>5.3E-3</v>
      </c>
      <c r="G1102" s="414" t="s">
        <v>1089</v>
      </c>
      <c r="H1102" s="412" t="s">
        <v>1090</v>
      </c>
      <c r="I1102" s="414" t="e">
        <f>C89</f>
        <v>#REF!</v>
      </c>
      <c r="J1102" s="412" t="s">
        <v>702</v>
      </c>
      <c r="K1102" s="414" t="e">
        <f t="shared" ref="K1102:K1108" si="153">(F1102*I1102)</f>
        <v>#REF!</v>
      </c>
      <c r="Q1102" s="412"/>
      <c r="R1102" s="418" t="s">
        <v>1288</v>
      </c>
      <c r="W1102" s="413"/>
    </row>
    <row r="1103" spans="6:23" ht="24" customHeight="1">
      <c r="F1103" s="450">
        <v>0.27450000000000002</v>
      </c>
      <c r="G1103" s="414" t="s">
        <v>488</v>
      </c>
      <c r="H1103" s="412" t="str">
        <f>H1087</f>
        <v>frosted glass 4mmthick</v>
      </c>
      <c r="I1103" s="414">
        <f>I1072</f>
        <v>208.8</v>
      </c>
      <c r="J1103" s="412" t="s">
        <v>702</v>
      </c>
      <c r="K1103" s="414">
        <f t="shared" si="153"/>
        <v>57.32</v>
      </c>
      <c r="O1103" s="420" t="s">
        <v>447</v>
      </c>
      <c r="Q1103" s="412"/>
      <c r="R1103" s="417" t="e">
        <f>R1101/M1093</f>
        <v>#REF!</v>
      </c>
      <c r="W1103" s="413"/>
    </row>
    <row r="1104" spans="6:23" ht="24" customHeight="1">
      <c r="F1104" s="450">
        <v>0.4</v>
      </c>
      <c r="G1104" s="414" t="s">
        <v>488</v>
      </c>
      <c r="H1104" s="412" t="s">
        <v>1701</v>
      </c>
      <c r="I1104" s="414">
        <f>D32</f>
        <v>1197</v>
      </c>
      <c r="J1104" s="412" t="s">
        <v>488</v>
      </c>
      <c r="K1104" s="414">
        <f t="shared" si="153"/>
        <v>478.8</v>
      </c>
      <c r="Q1104" s="412"/>
      <c r="R1104" s="418" t="s">
        <v>1676</v>
      </c>
      <c r="W1104" s="413"/>
    </row>
    <row r="1105" spans="6:23" ht="24" customHeight="1">
      <c r="F1105" s="414">
        <v>2</v>
      </c>
      <c r="G1105" s="414" t="s">
        <v>1623</v>
      </c>
      <c r="H1105" s="412" t="s">
        <v>1624</v>
      </c>
      <c r="I1105" s="414">
        <f>C305</f>
        <v>8.5</v>
      </c>
      <c r="J1105" s="412" t="s">
        <v>1623</v>
      </c>
      <c r="K1105" s="414">
        <f t="shared" si="153"/>
        <v>17</v>
      </c>
      <c r="W1105" s="413"/>
    </row>
    <row r="1106" spans="6:23" ht="24" customHeight="1">
      <c r="F1106" s="414">
        <v>1</v>
      </c>
      <c r="G1106" s="414" t="s">
        <v>701</v>
      </c>
      <c r="H1106" s="412" t="s">
        <v>1625</v>
      </c>
      <c r="I1106" s="414">
        <f>C293</f>
        <v>6.1</v>
      </c>
      <c r="J1106" s="412" t="s">
        <v>701</v>
      </c>
      <c r="K1106" s="414">
        <f t="shared" si="153"/>
        <v>6.1</v>
      </c>
      <c r="W1106" s="413"/>
    </row>
    <row r="1107" spans="6:23" ht="24" customHeight="1">
      <c r="F1107" s="414">
        <v>1</v>
      </c>
      <c r="G1107" s="414" t="s">
        <v>701</v>
      </c>
      <c r="H1107" s="412" t="s">
        <v>1626</v>
      </c>
      <c r="I1107" s="414">
        <f>C291</f>
        <v>11.8</v>
      </c>
      <c r="J1107" s="412" t="s">
        <v>701</v>
      </c>
      <c r="K1107" s="414">
        <f t="shared" si="153"/>
        <v>11.8</v>
      </c>
      <c r="O1107" s="412" t="s">
        <v>1419</v>
      </c>
      <c r="W1107" s="413"/>
    </row>
    <row r="1108" spans="6:23" ht="24" customHeight="1">
      <c r="F1108" s="414">
        <v>10</v>
      </c>
      <c r="H1108" s="412" t="s">
        <v>929</v>
      </c>
      <c r="I1108" s="414">
        <f>I1093</f>
        <v>2.41</v>
      </c>
      <c r="J1108" s="412" t="s">
        <v>701</v>
      </c>
      <c r="K1108" s="414">
        <f t="shared" si="153"/>
        <v>24.1</v>
      </c>
      <c r="W1108" s="413"/>
    </row>
    <row r="1109" spans="6:23" ht="24" customHeight="1">
      <c r="K1109" s="418" t="s">
        <v>1288</v>
      </c>
      <c r="W1109" s="413"/>
    </row>
    <row r="1110" spans="6:23" ht="24" customHeight="1">
      <c r="H1110" s="413" t="s">
        <v>27</v>
      </c>
      <c r="K1110" s="414" t="e">
        <f>SUM(K1098:K1108)</f>
        <v>#REF!</v>
      </c>
      <c r="W1110" s="413"/>
    </row>
    <row r="1111" spans="6:23" ht="24" customHeight="1">
      <c r="K1111" s="418" t="s">
        <v>1288</v>
      </c>
      <c r="M1111" s="440">
        <v>2.2800000000000001E-2</v>
      </c>
      <c r="N1111" s="414" t="s">
        <v>702</v>
      </c>
      <c r="O1111" s="414" t="s">
        <v>2012</v>
      </c>
      <c r="P1111" s="414" t="e">
        <f>P1089</f>
        <v>#REF!</v>
      </c>
      <c r="Q1111" s="412" t="s">
        <v>702</v>
      </c>
      <c r="R1111" s="414" t="e">
        <f>P1111*M1111</f>
        <v>#REF!</v>
      </c>
      <c r="W1111" s="413"/>
    </row>
    <row r="1112" spans="6:23" ht="24" customHeight="1">
      <c r="H1112" s="420" t="s">
        <v>447</v>
      </c>
      <c r="I1112" s="412" t="s">
        <v>790</v>
      </c>
      <c r="K1112" s="417" t="e">
        <f>K1110/F1104</f>
        <v>#REF!</v>
      </c>
      <c r="M1112" s="440">
        <v>3.5400000000000001E-2</v>
      </c>
      <c r="N1112" s="414" t="s">
        <v>702</v>
      </c>
      <c r="O1112" s="414" t="s">
        <v>1914</v>
      </c>
      <c r="P1112" s="414" t="e">
        <f>P1090</f>
        <v>#REF!</v>
      </c>
      <c r="Q1112" s="412" t="s">
        <v>702</v>
      </c>
      <c r="R1112" s="414" t="e">
        <f t="shared" ref="R1112:R1121" si="154">P1112*M1112</f>
        <v>#REF!</v>
      </c>
      <c r="W1112" s="413"/>
    </row>
    <row r="1113" spans="6:23" ht="24" hidden="1" customHeight="1">
      <c r="F1113" s="412" t="s">
        <v>790</v>
      </c>
      <c r="M1113" s="439">
        <v>3.2300000000000002E-2</v>
      </c>
      <c r="N1113" s="414" t="s">
        <v>702</v>
      </c>
      <c r="O1113" s="414" t="s">
        <v>756</v>
      </c>
      <c r="P1113" s="414" t="e">
        <f>P1091</f>
        <v>#REF!</v>
      </c>
      <c r="Q1113" s="412" t="s">
        <v>702</v>
      </c>
      <c r="R1113" s="414" t="e">
        <f t="shared" si="154"/>
        <v>#REF!</v>
      </c>
      <c r="W1113" s="413"/>
    </row>
    <row r="1114" spans="6:23" ht="24" customHeight="1">
      <c r="K1114" s="418" t="s">
        <v>1676</v>
      </c>
      <c r="M1114" s="416">
        <v>2.835</v>
      </c>
      <c r="N1114" s="414" t="s">
        <v>488</v>
      </c>
      <c r="O1114" s="414" t="s">
        <v>715</v>
      </c>
      <c r="P1114" s="414">
        <f t="shared" ref="P1114:P1120" si="155">P1093</f>
        <v>1537</v>
      </c>
      <c r="Q1114" s="412" t="s">
        <v>488</v>
      </c>
      <c r="R1114" s="414">
        <f t="shared" si="154"/>
        <v>4357.3999999999996</v>
      </c>
      <c r="W1114" s="413"/>
    </row>
    <row r="1115" spans="6:23" ht="24" customHeight="1">
      <c r="F1115" s="427">
        <v>22.3</v>
      </c>
      <c r="H1115" s="412" t="s">
        <v>1627</v>
      </c>
      <c r="L1115" s="412" t="s">
        <v>790</v>
      </c>
      <c r="M1115" s="414">
        <v>2</v>
      </c>
      <c r="N1115" s="414" t="s">
        <v>1524</v>
      </c>
      <c r="O1115" s="414" t="s">
        <v>1730</v>
      </c>
      <c r="P1115" s="414">
        <f t="shared" si="155"/>
        <v>57.65</v>
      </c>
      <c r="Q1115" s="412" t="s">
        <v>1134</v>
      </c>
      <c r="R1115" s="414">
        <f t="shared" si="154"/>
        <v>115.3</v>
      </c>
      <c r="W1115" s="413"/>
    </row>
    <row r="1116" spans="6:23" ht="24" customHeight="1">
      <c r="H1116" s="418" t="s">
        <v>1288</v>
      </c>
      <c r="I1116" s="418" t="s">
        <v>1288</v>
      </c>
      <c r="J1116" s="412" t="s">
        <v>1288</v>
      </c>
      <c r="M1116" s="414">
        <v>6</v>
      </c>
      <c r="N1116" s="414" t="s">
        <v>1524</v>
      </c>
      <c r="O1116" s="414" t="s">
        <v>888</v>
      </c>
      <c r="P1116" s="414">
        <f t="shared" si="155"/>
        <v>89.6</v>
      </c>
      <c r="Q1116" s="412" t="s">
        <v>1134</v>
      </c>
      <c r="R1116" s="414">
        <f t="shared" si="154"/>
        <v>537.6</v>
      </c>
      <c r="W1116" s="413"/>
    </row>
    <row r="1117" spans="6:23" ht="24" hidden="1" customHeight="1">
      <c r="M1117" s="414">
        <v>4</v>
      </c>
      <c r="N1117" s="414" t="s">
        <v>1524</v>
      </c>
      <c r="O1117" s="414" t="s">
        <v>1095</v>
      </c>
      <c r="P1117" s="414">
        <f t="shared" si="155"/>
        <v>64.8</v>
      </c>
      <c r="Q1117" s="412" t="s">
        <v>1134</v>
      </c>
      <c r="R1117" s="414">
        <f t="shared" si="154"/>
        <v>259.2</v>
      </c>
      <c r="W1117" s="413"/>
    </row>
    <row r="1118" spans="6:23" ht="24" customHeight="1">
      <c r="H1118" s="412" t="s">
        <v>1628</v>
      </c>
      <c r="M1118" s="414">
        <v>1</v>
      </c>
      <c r="N1118" s="414" t="s">
        <v>1524</v>
      </c>
      <c r="O1118" s="414" t="s">
        <v>1096</v>
      </c>
      <c r="P1118" s="414">
        <f t="shared" si="155"/>
        <v>181</v>
      </c>
      <c r="Q1118" s="412" t="s">
        <v>1134</v>
      </c>
      <c r="R1118" s="414">
        <f t="shared" si="154"/>
        <v>181</v>
      </c>
      <c r="W1118" s="413"/>
    </row>
    <row r="1119" spans="6:23" ht="24" customHeight="1">
      <c r="H1119" s="412" t="s">
        <v>1629</v>
      </c>
      <c r="M1119" s="414">
        <v>2</v>
      </c>
      <c r="N1119" s="414" t="s">
        <v>1524</v>
      </c>
      <c r="O1119" s="414" t="s">
        <v>1612</v>
      </c>
      <c r="P1119" s="414">
        <f t="shared" si="155"/>
        <v>7.3</v>
      </c>
      <c r="Q1119" s="412" t="s">
        <v>1134</v>
      </c>
      <c r="R1119" s="414">
        <f t="shared" si="154"/>
        <v>14.6</v>
      </c>
      <c r="W1119" s="413"/>
    </row>
    <row r="1120" spans="6:23" ht="24" customHeight="1">
      <c r="H1120" s="412" t="s">
        <v>363</v>
      </c>
      <c r="M1120" s="414">
        <v>2</v>
      </c>
      <c r="N1120" s="414" t="s">
        <v>1524</v>
      </c>
      <c r="O1120" s="414" t="s">
        <v>1614</v>
      </c>
      <c r="P1120" s="414">
        <f t="shared" si="155"/>
        <v>49.55</v>
      </c>
      <c r="Q1120" s="412" t="s">
        <v>1134</v>
      </c>
      <c r="R1120" s="414">
        <f t="shared" si="154"/>
        <v>99.1</v>
      </c>
      <c r="W1120" s="413"/>
    </row>
    <row r="1121" spans="6:62" ht="24" customHeight="1">
      <c r="H1121" s="412" t="s">
        <v>364</v>
      </c>
      <c r="M1121" s="414">
        <v>118</v>
      </c>
      <c r="O1121" s="412" t="s">
        <v>1420</v>
      </c>
      <c r="P1121" s="414">
        <f>P1100</f>
        <v>2.41</v>
      </c>
      <c r="Q1121" s="412"/>
      <c r="R1121" s="414">
        <f t="shared" si="154"/>
        <v>284.38</v>
      </c>
      <c r="W1121" s="413"/>
    </row>
    <row r="1122" spans="6:62" ht="24" customHeight="1">
      <c r="H1122" s="412" t="s">
        <v>365</v>
      </c>
      <c r="N1122" s="417"/>
      <c r="O1122" s="417" t="s">
        <v>447</v>
      </c>
      <c r="Q1122" s="412"/>
      <c r="R1122" s="417" t="e">
        <f>SUM(R1111:R1121)</f>
        <v>#REF!</v>
      </c>
      <c r="W1122" s="413"/>
    </row>
    <row r="1123" spans="6:62" ht="24" customHeight="1">
      <c r="J1123" s="412" t="s">
        <v>790</v>
      </c>
      <c r="K1123" s="439">
        <v>3.32E-2</v>
      </c>
      <c r="N1123" s="417"/>
      <c r="O1123" s="417"/>
      <c r="Q1123" s="412"/>
      <c r="R1123" s="429" t="s">
        <v>119</v>
      </c>
      <c r="W1123" s="413"/>
      <c r="BJ1123" s="414" t="s">
        <v>1655</v>
      </c>
    </row>
    <row r="1124" spans="6:62" ht="24" customHeight="1">
      <c r="H1124" s="412" t="s">
        <v>1754</v>
      </c>
      <c r="J1124" s="449" t="s">
        <v>790</v>
      </c>
      <c r="K1124" s="449" t="s">
        <v>790</v>
      </c>
      <c r="N1124" s="417"/>
      <c r="O1124" s="417" t="s">
        <v>1692</v>
      </c>
      <c r="Q1124" s="412"/>
      <c r="R1124" s="417" t="e">
        <f>R1122/2.835</f>
        <v>#REF!</v>
      </c>
      <c r="W1124" s="413"/>
    </row>
    <row r="1125" spans="6:62" ht="24" customHeight="1">
      <c r="H1125" s="412" t="s">
        <v>1485</v>
      </c>
      <c r="K1125" s="449" t="s">
        <v>790</v>
      </c>
      <c r="N1125" s="417"/>
      <c r="Q1125" s="412"/>
      <c r="R1125" s="429" t="s">
        <v>119</v>
      </c>
      <c r="W1125" s="413"/>
    </row>
    <row r="1126" spans="6:62" ht="24" customHeight="1">
      <c r="W1126" s="413"/>
    </row>
    <row r="1127" spans="6:62" ht="24" customHeight="1">
      <c r="F1127" s="450">
        <v>1.18E-2</v>
      </c>
      <c r="G1127" s="414" t="s">
        <v>702</v>
      </c>
      <c r="H1127" s="412" t="s">
        <v>553</v>
      </c>
      <c r="I1127" s="414" t="e">
        <f>C88</f>
        <v>#REF!</v>
      </c>
      <c r="J1127" s="412" t="s">
        <v>702</v>
      </c>
      <c r="K1127" s="414" t="e">
        <f t="shared" ref="K1127:K1136" si="156">(F1127*I1127)</f>
        <v>#REF!</v>
      </c>
      <c r="W1127" s="413"/>
    </row>
    <row r="1128" spans="6:62" ht="24" customHeight="1">
      <c r="F1128" s="450">
        <v>3.32E-2</v>
      </c>
      <c r="G1128" s="414" t="s">
        <v>702</v>
      </c>
      <c r="H1128" s="412" t="s">
        <v>554</v>
      </c>
      <c r="I1128" s="414" t="e">
        <f>C89</f>
        <v>#REF!</v>
      </c>
      <c r="J1128" s="412" t="s">
        <v>702</v>
      </c>
      <c r="K1128" s="414" t="e">
        <f t="shared" si="156"/>
        <v>#REF!</v>
      </c>
      <c r="W1128" s="413"/>
    </row>
    <row r="1129" spans="6:62" ht="24" customHeight="1">
      <c r="F1129" s="450">
        <v>1.8550000000000001E-2</v>
      </c>
      <c r="G1129" s="414" t="s">
        <v>702</v>
      </c>
      <c r="H1129" s="412" t="s">
        <v>717</v>
      </c>
      <c r="I1129" s="414">
        <f>C30</f>
        <v>13690</v>
      </c>
      <c r="J1129" s="412" t="s">
        <v>702</v>
      </c>
      <c r="K1129" s="414">
        <f t="shared" si="156"/>
        <v>253.95</v>
      </c>
      <c r="W1129" s="413"/>
    </row>
    <row r="1130" spans="6:62" ht="24" customHeight="1">
      <c r="F1130" s="450">
        <v>1.46</v>
      </c>
      <c r="G1130" s="414" t="s">
        <v>488</v>
      </c>
      <c r="H1130" s="412" t="s">
        <v>718</v>
      </c>
      <c r="I1130" s="414">
        <v>269.10000000000002</v>
      </c>
      <c r="J1130" s="412" t="s">
        <v>488</v>
      </c>
      <c r="K1130" s="414">
        <f t="shared" si="156"/>
        <v>392.89</v>
      </c>
      <c r="W1130" s="413"/>
    </row>
    <row r="1131" spans="6:62" ht="24" customHeight="1">
      <c r="F1131" s="450">
        <v>2.0499999999999998</v>
      </c>
      <c r="G1131" s="414" t="s">
        <v>488</v>
      </c>
      <c r="H1131" s="412" t="s">
        <v>1225</v>
      </c>
      <c r="I1131" s="414">
        <f>D30</f>
        <v>1281</v>
      </c>
      <c r="J1131" s="412" t="s">
        <v>488</v>
      </c>
      <c r="K1131" s="414">
        <f t="shared" si="156"/>
        <v>2626.05</v>
      </c>
      <c r="W1131" s="413"/>
    </row>
    <row r="1132" spans="6:62" ht="24" customHeight="1">
      <c r="F1132" s="414">
        <v>2</v>
      </c>
      <c r="G1132" s="414" t="s">
        <v>701</v>
      </c>
      <c r="H1132" s="412" t="s">
        <v>1226</v>
      </c>
      <c r="I1132" s="414">
        <f>C285</f>
        <v>39.700000000000003</v>
      </c>
      <c r="J1132" s="412" t="s">
        <v>701</v>
      </c>
      <c r="K1132" s="414">
        <f t="shared" si="156"/>
        <v>79.400000000000006</v>
      </c>
      <c r="W1132" s="413"/>
    </row>
    <row r="1133" spans="6:62" ht="24" customHeight="1">
      <c r="F1133" s="414">
        <v>6</v>
      </c>
      <c r="G1133" s="414" t="s">
        <v>701</v>
      </c>
      <c r="H1133" s="412" t="s">
        <v>1091</v>
      </c>
      <c r="I1133" s="414">
        <f>C282</f>
        <v>49.35</v>
      </c>
      <c r="J1133" s="412" t="s">
        <v>701</v>
      </c>
      <c r="K1133" s="414">
        <f t="shared" si="156"/>
        <v>296.10000000000002</v>
      </c>
      <c r="W1133" s="413"/>
    </row>
    <row r="1134" spans="6:62" ht="24" customHeight="1">
      <c r="F1134" s="414">
        <v>2</v>
      </c>
      <c r="G1134" s="414" t="s">
        <v>701</v>
      </c>
      <c r="H1134" s="412" t="s">
        <v>2988</v>
      </c>
      <c r="I1134" s="414">
        <v>60.9</v>
      </c>
      <c r="J1134" s="412" t="s">
        <v>701</v>
      </c>
      <c r="K1134" s="414">
        <f t="shared" si="156"/>
        <v>121.8</v>
      </c>
      <c r="W1134" s="413"/>
    </row>
    <row r="1135" spans="6:62" ht="24" customHeight="1">
      <c r="F1135" s="414">
        <v>1</v>
      </c>
      <c r="G1135" s="414" t="s">
        <v>701</v>
      </c>
      <c r="H1135" s="414" t="s">
        <v>2571</v>
      </c>
      <c r="I1135" s="414">
        <v>63.2</v>
      </c>
      <c r="J1135" s="412" t="s">
        <v>701</v>
      </c>
      <c r="K1135" s="414">
        <f t="shared" si="156"/>
        <v>63.2</v>
      </c>
      <c r="W1135" s="413"/>
    </row>
    <row r="1136" spans="6:62" ht="24" customHeight="1">
      <c r="F1136" s="414">
        <v>2.52</v>
      </c>
      <c r="G1136" s="414" t="s">
        <v>488</v>
      </c>
      <c r="H1136" s="412" t="s">
        <v>1393</v>
      </c>
      <c r="I1136" s="414">
        <f>K1167</f>
        <v>194.22</v>
      </c>
      <c r="J1136" s="412" t="s">
        <v>488</v>
      </c>
      <c r="K1136" s="414">
        <f t="shared" si="156"/>
        <v>489.43</v>
      </c>
      <c r="W1136" s="413"/>
    </row>
    <row r="1137" spans="6:23" ht="24" customHeight="1">
      <c r="H1137" s="412" t="s">
        <v>1149</v>
      </c>
      <c r="I1137" s="413" t="s">
        <v>358</v>
      </c>
      <c r="K1137" s="414">
        <v>0.21</v>
      </c>
      <c r="W1137" s="413"/>
    </row>
    <row r="1138" spans="6:23" ht="24" customHeight="1">
      <c r="K1138" s="418" t="s">
        <v>1288</v>
      </c>
      <c r="W1138" s="413"/>
    </row>
    <row r="1139" spans="6:23" ht="24" customHeight="1">
      <c r="H1139" s="413" t="s">
        <v>1150</v>
      </c>
      <c r="K1139" s="414" t="e">
        <f>SUM(K1127:K1137)</f>
        <v>#REF!</v>
      </c>
      <c r="M1139" s="417" t="s">
        <v>2163</v>
      </c>
      <c r="N1139" s="417"/>
      <c r="O1139" s="417"/>
      <c r="P1139" s="417"/>
      <c r="Q1139" s="417"/>
      <c r="R1139" s="417"/>
      <c r="S1139" s="417"/>
      <c r="W1139" s="413"/>
    </row>
    <row r="1140" spans="6:23" ht="24" customHeight="1">
      <c r="G1140" s="414" t="s">
        <v>790</v>
      </c>
      <c r="K1140" s="418" t="s">
        <v>1288</v>
      </c>
      <c r="O1140" s="418" t="s">
        <v>1288</v>
      </c>
      <c r="Q1140" s="412"/>
      <c r="W1140" s="413"/>
    </row>
    <row r="1141" spans="6:23" ht="24" customHeight="1">
      <c r="H1141" s="420" t="s">
        <v>447</v>
      </c>
      <c r="K1141" s="417" t="e">
        <f>K1139/2.52</f>
        <v>#REF!</v>
      </c>
      <c r="N1141" s="416">
        <v>0.45300000000000001</v>
      </c>
      <c r="O1141" s="412" t="s">
        <v>1146</v>
      </c>
      <c r="P1141" s="414" t="e">
        <f>C73</f>
        <v>#REF!</v>
      </c>
      <c r="Q1141" s="412" t="s">
        <v>702</v>
      </c>
      <c r="R1141" s="414" t="e">
        <f>P1141*N1141</f>
        <v>#REF!</v>
      </c>
      <c r="W1141" s="413"/>
    </row>
    <row r="1142" spans="6:23" ht="24" customHeight="1">
      <c r="K1142" s="418" t="s">
        <v>1676</v>
      </c>
      <c r="N1142" s="416">
        <v>0.30199999999999999</v>
      </c>
      <c r="O1142" s="412" t="s">
        <v>2164</v>
      </c>
      <c r="P1142" s="414" t="e">
        <f>C71</f>
        <v>#REF!</v>
      </c>
      <c r="Q1142" s="412" t="str">
        <f>Q1141</f>
        <v>CUM</v>
      </c>
      <c r="R1142" s="414" t="e">
        <f t="shared" ref="R1142:R1147" si="157">P1142*N1142</f>
        <v>#REF!</v>
      </c>
      <c r="W1142" s="413"/>
    </row>
    <row r="1143" spans="6:23" ht="24" customHeight="1">
      <c r="G1143" s="414" t="s">
        <v>1833</v>
      </c>
      <c r="H1143" s="412" t="s">
        <v>146</v>
      </c>
      <c r="N1143" s="414">
        <v>0.44</v>
      </c>
      <c r="O1143" s="412" t="s">
        <v>703</v>
      </c>
      <c r="P1143" s="414" t="e">
        <f>C78</f>
        <v>#REF!</v>
      </c>
      <c r="Q1143" s="412" t="s">
        <v>702</v>
      </c>
      <c r="R1143" s="414" t="e">
        <f t="shared" si="157"/>
        <v>#REF!</v>
      </c>
      <c r="W1143" s="413"/>
    </row>
    <row r="1144" spans="6:23" ht="24" customHeight="1">
      <c r="H1144" s="418" t="s">
        <v>1288</v>
      </c>
      <c r="I1144" s="418" t="s">
        <v>1288</v>
      </c>
      <c r="N1144" s="414">
        <v>0.37</v>
      </c>
      <c r="O1144" s="412" t="s">
        <v>310</v>
      </c>
      <c r="P1144" s="414" t="e">
        <f>I808</f>
        <v>#REF!</v>
      </c>
      <c r="Q1144" s="412" t="s">
        <v>427</v>
      </c>
      <c r="R1144" s="414" t="e">
        <f t="shared" si="157"/>
        <v>#REF!</v>
      </c>
      <c r="W1144" s="413"/>
    </row>
    <row r="1145" spans="6:23" ht="24" customHeight="1">
      <c r="F1145" s="414">
        <v>0.77</v>
      </c>
      <c r="G1145" s="414" t="s">
        <v>147</v>
      </c>
      <c r="H1145" s="412" t="s">
        <v>148</v>
      </c>
      <c r="I1145" s="414">
        <f>C194</f>
        <v>271.2</v>
      </c>
      <c r="J1145" s="412" t="s">
        <v>147</v>
      </c>
      <c r="K1145" s="414">
        <f>(F1145*I1145)</f>
        <v>208.82</v>
      </c>
      <c r="N1145" s="414">
        <v>0.35</v>
      </c>
      <c r="O1145" s="412" t="s">
        <v>374</v>
      </c>
      <c r="P1145" s="414">
        <f>C11</f>
        <v>932</v>
      </c>
      <c r="Q1145" s="412" t="s">
        <v>701</v>
      </c>
      <c r="R1145" s="414">
        <f t="shared" si="157"/>
        <v>326.2</v>
      </c>
      <c r="W1145" s="413"/>
    </row>
    <row r="1146" spans="6:23" ht="24" customHeight="1">
      <c r="F1146" s="414">
        <v>0.61</v>
      </c>
      <c r="G1146" s="414" t="s">
        <v>147</v>
      </c>
      <c r="H1146" s="412" t="s">
        <v>149</v>
      </c>
      <c r="I1146" s="414">
        <f>C193</f>
        <v>25</v>
      </c>
      <c r="J1146" s="412" t="s">
        <v>147</v>
      </c>
      <c r="K1146" s="414">
        <f>(F1146*I1146)</f>
        <v>15.25</v>
      </c>
      <c r="N1146" s="414">
        <v>2.12</v>
      </c>
      <c r="O1146" s="412" t="s">
        <v>272</v>
      </c>
      <c r="P1146" s="414">
        <f>C12</f>
        <v>651</v>
      </c>
      <c r="Q1146" s="412" t="s">
        <v>701</v>
      </c>
      <c r="R1146" s="414">
        <f t="shared" si="157"/>
        <v>1380.12</v>
      </c>
      <c r="W1146" s="413"/>
    </row>
    <row r="1147" spans="6:23" ht="24" customHeight="1">
      <c r="F1147" s="414">
        <v>0.7</v>
      </c>
      <c r="G1147" s="414" t="s">
        <v>453</v>
      </c>
      <c r="H1147" s="412" t="s">
        <v>1231</v>
      </c>
      <c r="I1147" s="414">
        <f>C14</f>
        <v>797</v>
      </c>
      <c r="J1147" s="412" t="s">
        <v>1395</v>
      </c>
      <c r="K1147" s="414">
        <f>(F1147*I1147)</f>
        <v>557.9</v>
      </c>
      <c r="N1147" s="414">
        <v>3.53</v>
      </c>
      <c r="O1147" s="412" t="s">
        <v>993</v>
      </c>
      <c r="P1147" s="414">
        <f>C13</f>
        <v>534</v>
      </c>
      <c r="Q1147" s="412" t="s">
        <v>701</v>
      </c>
      <c r="R1147" s="414">
        <f t="shared" si="157"/>
        <v>1885.02</v>
      </c>
      <c r="W1147" s="413"/>
    </row>
    <row r="1148" spans="6:23" ht="24" customHeight="1">
      <c r="H1148" s="412"/>
      <c r="O1148" s="412" t="s">
        <v>33</v>
      </c>
      <c r="Q1148" s="412"/>
      <c r="R1148" s="423">
        <f>K819</f>
        <v>94.2</v>
      </c>
      <c r="W1148" s="413"/>
    </row>
    <row r="1149" spans="6:23" ht="24" customHeight="1">
      <c r="F1149" s="414">
        <v>0.7</v>
      </c>
      <c r="G1149" s="414" t="s">
        <v>453</v>
      </c>
      <c r="H1149" s="412" t="s">
        <v>710</v>
      </c>
      <c r="I1149" s="414">
        <f>C12</f>
        <v>651</v>
      </c>
      <c r="J1149" s="412" t="s">
        <v>1395</v>
      </c>
      <c r="K1149" s="414">
        <f>(F1149*I1149)</f>
        <v>455.7</v>
      </c>
      <c r="M1149" s="444" t="s">
        <v>528</v>
      </c>
      <c r="O1149" s="414" t="s">
        <v>2082</v>
      </c>
      <c r="P1149" s="423">
        <f>V1134</f>
        <v>0</v>
      </c>
      <c r="R1149" s="414">
        <v>270</v>
      </c>
      <c r="W1149" s="413"/>
    </row>
    <row r="1150" spans="6:23" ht="24" customHeight="1">
      <c r="G1150" s="414" t="s">
        <v>358</v>
      </c>
      <c r="H1150" s="412" t="s">
        <v>962</v>
      </c>
      <c r="J1150" s="412" t="s">
        <v>358</v>
      </c>
      <c r="K1150" s="414">
        <v>1.5</v>
      </c>
      <c r="M1150" s="444" t="s">
        <v>528</v>
      </c>
      <c r="O1150" s="414" t="s">
        <v>2083</v>
      </c>
      <c r="P1150" s="423">
        <f>V1135</f>
        <v>0</v>
      </c>
      <c r="R1150" s="414">
        <v>150</v>
      </c>
      <c r="W1150" s="413"/>
    </row>
    <row r="1151" spans="6:23" ht="24" customHeight="1">
      <c r="K1151" s="418" t="s">
        <v>1288</v>
      </c>
      <c r="M1151" s="444" t="s">
        <v>528</v>
      </c>
      <c r="O1151" s="414" t="s">
        <v>1850</v>
      </c>
      <c r="P1151" s="423">
        <f>V1136</f>
        <v>0</v>
      </c>
      <c r="R1151" s="414">
        <v>0.35</v>
      </c>
      <c r="W1151" s="413"/>
    </row>
    <row r="1152" spans="6:23" ht="24" customHeight="1">
      <c r="H1152" s="413" t="s">
        <v>1170</v>
      </c>
      <c r="K1152" s="414">
        <f>SUM(K1145:K1150)</f>
        <v>1239.17</v>
      </c>
      <c r="Q1152" s="412"/>
      <c r="R1152" s="414" t="e">
        <f>SUM(R1141:R1151)</f>
        <v>#REF!</v>
      </c>
      <c r="W1152" s="413"/>
    </row>
    <row r="1153" spans="6:24" ht="24" customHeight="1">
      <c r="K1153" s="418" t="s">
        <v>1288</v>
      </c>
      <c r="W1153" s="413"/>
      <c r="X1153" s="417">
        <f>SUM(X1141:X1152)</f>
        <v>0</v>
      </c>
    </row>
    <row r="1154" spans="6:24" ht="24" customHeight="1">
      <c r="H1154" s="420" t="s">
        <v>447</v>
      </c>
      <c r="K1154" s="417">
        <f>(K1152/10)</f>
        <v>123.92</v>
      </c>
      <c r="W1154" s="413"/>
    </row>
    <row r="1155" spans="6:24" ht="24" customHeight="1">
      <c r="K1155" s="418" t="s">
        <v>1676</v>
      </c>
      <c r="Q1155" s="412"/>
      <c r="R1155" s="423"/>
      <c r="W1155" s="413"/>
    </row>
    <row r="1156" spans="6:24" ht="24" customHeight="1">
      <c r="O1156" s="414" t="s">
        <v>2165</v>
      </c>
      <c r="Q1156" s="412"/>
      <c r="R1156" s="414" t="e">
        <f>SUM(R1152:R1155)</f>
        <v>#REF!</v>
      </c>
      <c r="W1156" s="413"/>
    </row>
    <row r="1157" spans="6:24" ht="24" customHeight="1">
      <c r="F1157" s="412" t="s">
        <v>790</v>
      </c>
      <c r="G1157" s="414" t="s">
        <v>1833</v>
      </c>
      <c r="H1157" s="412" t="s">
        <v>1171</v>
      </c>
      <c r="Q1157" s="412"/>
      <c r="R1157" s="418" t="s">
        <v>1288</v>
      </c>
      <c r="W1157" s="413"/>
    </row>
    <row r="1158" spans="6:24" ht="24" customHeight="1">
      <c r="H1158" s="418" t="s">
        <v>1288</v>
      </c>
      <c r="I1158" s="418" t="s">
        <v>1288</v>
      </c>
      <c r="O1158" s="412" t="s">
        <v>307</v>
      </c>
      <c r="Q1158" s="412"/>
      <c r="R1158" s="417" t="e">
        <f>R1156+C22</f>
        <v>#REF!</v>
      </c>
      <c r="S1158" s="416">
        <f>C22</f>
        <v>119.85</v>
      </c>
      <c r="T1158" s="416">
        <f>C23</f>
        <v>236.1</v>
      </c>
      <c r="W1158" s="413"/>
    </row>
    <row r="1159" spans="6:24" ht="24" customHeight="1">
      <c r="F1159" s="414">
        <v>1.2</v>
      </c>
      <c r="G1159" s="414" t="s">
        <v>147</v>
      </c>
      <c r="H1159" s="412" t="s">
        <v>2989</v>
      </c>
      <c r="I1159" s="414">
        <f>C194</f>
        <v>271.2</v>
      </c>
      <c r="J1159" s="412" t="s">
        <v>147</v>
      </c>
      <c r="K1159" s="414">
        <f>(F1159*I1159)</f>
        <v>325.44</v>
      </c>
      <c r="O1159" s="412" t="s">
        <v>309</v>
      </c>
      <c r="Q1159" s="412"/>
      <c r="R1159" s="417" t="e">
        <f>R1158+C23</f>
        <v>#REF!</v>
      </c>
      <c r="S1159" s="416" t="e">
        <f>R1156-5363.9</f>
        <v>#REF!</v>
      </c>
      <c r="W1159" s="413"/>
    </row>
    <row r="1160" spans="6:24" ht="24" customHeight="1">
      <c r="F1160" s="414">
        <v>0.9</v>
      </c>
      <c r="G1160" s="414" t="s">
        <v>147</v>
      </c>
      <c r="H1160" s="412" t="s">
        <v>149</v>
      </c>
      <c r="I1160" s="414">
        <f>C193</f>
        <v>25</v>
      </c>
      <c r="J1160" s="412" t="s">
        <v>147</v>
      </c>
      <c r="K1160" s="414">
        <f>(F1160*I1160)</f>
        <v>22.5</v>
      </c>
      <c r="O1160" s="412" t="s">
        <v>1818</v>
      </c>
      <c r="Q1160" s="412"/>
      <c r="R1160" s="417" t="e">
        <f>R1159+C23</f>
        <v>#REF!</v>
      </c>
      <c r="W1160" s="413"/>
    </row>
    <row r="1161" spans="6:24" ht="24" customHeight="1">
      <c r="F1161" s="414">
        <v>1.1000000000000001</v>
      </c>
      <c r="G1161" s="414" t="s">
        <v>453</v>
      </c>
      <c r="H1161" s="412" t="s">
        <v>1231</v>
      </c>
      <c r="I1161" s="414">
        <f>C14</f>
        <v>797</v>
      </c>
      <c r="J1161" s="412" t="s">
        <v>1395</v>
      </c>
      <c r="K1161" s="414">
        <f>(F1161*I1161)</f>
        <v>876.7</v>
      </c>
      <c r="O1161" s="412" t="s">
        <v>301</v>
      </c>
      <c r="Q1161" s="412"/>
      <c r="R1161" s="417" t="e">
        <f>R1160+C23</f>
        <v>#REF!</v>
      </c>
      <c r="W1161" s="413"/>
    </row>
    <row r="1162" spans="6:24" ht="24" customHeight="1">
      <c r="F1162" s="414">
        <v>1.1000000000000001</v>
      </c>
      <c r="G1162" s="414" t="s">
        <v>453</v>
      </c>
      <c r="H1162" s="412" t="s">
        <v>710</v>
      </c>
      <c r="I1162" s="414">
        <f>C12</f>
        <v>651</v>
      </c>
      <c r="J1162" s="412" t="s">
        <v>1395</v>
      </c>
      <c r="K1162" s="414">
        <f>(F1162*I1162)</f>
        <v>716.1</v>
      </c>
      <c r="O1162" s="412" t="s">
        <v>1244</v>
      </c>
      <c r="Q1162" s="412"/>
      <c r="R1162" s="417" t="e">
        <f>R1161+C23</f>
        <v>#REF!</v>
      </c>
      <c r="W1162" s="413"/>
    </row>
    <row r="1163" spans="6:24" ht="24" customHeight="1">
      <c r="G1163" s="414" t="s">
        <v>358</v>
      </c>
      <c r="H1163" s="412" t="s">
        <v>962</v>
      </c>
      <c r="J1163" s="412" t="s">
        <v>358</v>
      </c>
      <c r="K1163" s="414">
        <v>1.5</v>
      </c>
      <c r="O1163" s="412" t="s">
        <v>2159</v>
      </c>
      <c r="R1163" s="417" t="e">
        <f>R1162+C23</f>
        <v>#REF!</v>
      </c>
      <c r="W1163" s="413"/>
    </row>
    <row r="1164" spans="6:24" ht="24" customHeight="1">
      <c r="K1164" s="418" t="s">
        <v>1288</v>
      </c>
      <c r="O1164" s="412" t="s">
        <v>2160</v>
      </c>
      <c r="R1164" s="417" t="e">
        <f>R1163+C23</f>
        <v>#REF!</v>
      </c>
      <c r="W1164" s="413"/>
    </row>
    <row r="1165" spans="6:24" ht="24" customHeight="1">
      <c r="H1165" s="413" t="s">
        <v>1170</v>
      </c>
      <c r="K1165" s="414">
        <f>SUM(K1159:K1163)</f>
        <v>1942.24</v>
      </c>
      <c r="O1165" s="412" t="s">
        <v>2161</v>
      </c>
      <c r="R1165" s="417" t="e">
        <f>R1164+C23</f>
        <v>#REF!</v>
      </c>
      <c r="W1165" s="413"/>
    </row>
    <row r="1166" spans="6:24" ht="24" customHeight="1">
      <c r="K1166" s="418" t="s">
        <v>1288</v>
      </c>
      <c r="O1166" s="412" t="s">
        <v>2162</v>
      </c>
      <c r="R1166" s="417" t="e">
        <f>R1165+C23</f>
        <v>#REF!</v>
      </c>
      <c r="W1166" s="413"/>
    </row>
    <row r="1167" spans="6:24" ht="24" customHeight="1">
      <c r="H1167" s="420" t="s">
        <v>447</v>
      </c>
      <c r="K1167" s="417">
        <f>(K1165/10)</f>
        <v>194.22</v>
      </c>
      <c r="O1167" s="412" t="s">
        <v>2166</v>
      </c>
      <c r="R1167" s="417" t="e">
        <f>R1166+C23</f>
        <v>#REF!</v>
      </c>
      <c r="W1167" s="413"/>
    </row>
    <row r="1168" spans="6:24" ht="24" customHeight="1">
      <c r="K1168" s="418" t="s">
        <v>1676</v>
      </c>
      <c r="O1168" s="414" t="s">
        <v>2167</v>
      </c>
      <c r="R1168" s="417" t="e">
        <f>R1167+C23</f>
        <v>#REF!</v>
      </c>
      <c r="W1168" s="413"/>
    </row>
    <row r="1169" spans="6:33" ht="24" customHeight="1">
      <c r="R1169" s="417" t="e">
        <f>R1168+C23</f>
        <v>#REF!</v>
      </c>
      <c r="W1169" s="413"/>
    </row>
    <row r="1170" spans="6:33" ht="24" customHeight="1">
      <c r="F1170" s="427">
        <v>23.3</v>
      </c>
      <c r="H1170" s="414" t="s">
        <v>1865</v>
      </c>
      <c r="I1170" s="414" t="s">
        <v>2561</v>
      </c>
      <c r="K1170" s="417">
        <v>52</v>
      </c>
      <c r="R1170" s="417" t="e">
        <f>R1169+C23</f>
        <v>#REF!</v>
      </c>
      <c r="S1170" s="414"/>
      <c r="W1170" s="413"/>
    </row>
    <row r="1171" spans="6:33" ht="24" customHeight="1">
      <c r="M1171" s="416"/>
      <c r="O1171" s="417" t="s">
        <v>2084</v>
      </c>
      <c r="R1171" s="417" t="e">
        <f>R1170+C23</f>
        <v>#REF!</v>
      </c>
      <c r="S1171" s="414"/>
      <c r="W1171" s="413"/>
    </row>
    <row r="1172" spans="6:33" ht="24" hidden="1" customHeight="1">
      <c r="M1172" s="416">
        <v>0.443</v>
      </c>
      <c r="N1172" s="414" t="s">
        <v>1089</v>
      </c>
      <c r="O1172" s="414" t="s">
        <v>2077</v>
      </c>
      <c r="P1172" s="414" t="e">
        <f t="shared" ref="P1172:P1178" si="158">P1141</f>
        <v>#REF!</v>
      </c>
      <c r="R1172" s="414" t="e">
        <f>P1172*M1172</f>
        <v>#REF!</v>
      </c>
      <c r="S1172" s="414"/>
      <c r="W1172" s="413"/>
    </row>
    <row r="1173" spans="6:33" ht="24" customHeight="1">
      <c r="F1173" s="413" t="s">
        <v>1172</v>
      </c>
      <c r="G1173" s="414" t="s">
        <v>1833</v>
      </c>
      <c r="H1173" s="412" t="s">
        <v>4322</v>
      </c>
      <c r="M1173" s="416">
        <v>0.29499999999999998</v>
      </c>
      <c r="N1173" s="414" t="s">
        <v>1089</v>
      </c>
      <c r="O1173" s="414" t="s">
        <v>2078</v>
      </c>
      <c r="P1173" s="414" t="e">
        <f t="shared" si="158"/>
        <v>#REF!</v>
      </c>
      <c r="R1173" s="414" t="e">
        <f t="shared" ref="R1173:R1179" si="159">P1173*M1173</f>
        <v>#REF!</v>
      </c>
      <c r="S1173" s="414"/>
      <c r="W1173" s="413"/>
    </row>
    <row r="1174" spans="6:33" ht="24" customHeight="1">
      <c r="H1174" s="412" t="s">
        <v>1173</v>
      </c>
      <c r="M1174" s="416">
        <v>0.43</v>
      </c>
      <c r="N1174" s="414" t="s">
        <v>1089</v>
      </c>
      <c r="O1174" s="414" t="s">
        <v>861</v>
      </c>
      <c r="P1174" s="414" t="e">
        <f t="shared" si="158"/>
        <v>#REF!</v>
      </c>
      <c r="R1174" s="414" t="e">
        <f t="shared" si="159"/>
        <v>#REF!</v>
      </c>
      <c r="S1174" s="414"/>
      <c r="W1174" s="413"/>
    </row>
    <row r="1175" spans="6:33" ht="24" customHeight="1">
      <c r="H1175" s="418" t="s">
        <v>1288</v>
      </c>
      <c r="I1175" s="418" t="s">
        <v>1288</v>
      </c>
      <c r="M1175" s="416">
        <v>0.39</v>
      </c>
      <c r="N1175" s="414" t="s">
        <v>427</v>
      </c>
      <c r="O1175" s="414" t="s">
        <v>310</v>
      </c>
      <c r="P1175" s="414" t="e">
        <f t="shared" si="158"/>
        <v>#REF!</v>
      </c>
      <c r="R1175" s="414" t="e">
        <f t="shared" si="159"/>
        <v>#REF!</v>
      </c>
      <c r="S1175" s="414"/>
      <c r="W1175" s="413"/>
    </row>
    <row r="1176" spans="6:33" ht="24" customHeight="1">
      <c r="F1176" s="440">
        <v>0.53339999999999999</v>
      </c>
      <c r="G1176" s="414" t="s">
        <v>1861</v>
      </c>
      <c r="H1176" s="412" t="s">
        <v>3446</v>
      </c>
      <c r="I1176" s="414">
        <v>306.89999999999998</v>
      </c>
      <c r="J1176" s="412" t="s">
        <v>1861</v>
      </c>
      <c r="K1176" s="414">
        <f>(F1176*I1176)</f>
        <v>163.69999999999999</v>
      </c>
      <c r="M1176" s="416">
        <v>0.35</v>
      </c>
      <c r="N1176" s="414" t="s">
        <v>1166</v>
      </c>
      <c r="O1176" s="414" t="s">
        <v>374</v>
      </c>
      <c r="P1176" s="414">
        <f t="shared" si="158"/>
        <v>932</v>
      </c>
      <c r="Q1176" s="414">
        <f>D1174</f>
        <v>0</v>
      </c>
      <c r="R1176" s="414">
        <f t="shared" si="159"/>
        <v>326.2</v>
      </c>
      <c r="S1176" s="414"/>
      <c r="W1176" s="413"/>
    </row>
    <row r="1177" spans="6:33" ht="24" customHeight="1">
      <c r="F1177" s="414">
        <v>4.24</v>
      </c>
      <c r="G1177" s="414" t="s">
        <v>669</v>
      </c>
      <c r="H1177" s="412" t="s">
        <v>2562</v>
      </c>
      <c r="I1177" s="414">
        <v>35.61</v>
      </c>
      <c r="J1177" s="412" t="s">
        <v>669</v>
      </c>
      <c r="K1177" s="414">
        <f>(F1177*I1177)</f>
        <v>150.99</v>
      </c>
      <c r="M1177" s="416">
        <v>2.12</v>
      </c>
      <c r="N1177" s="414" t="s">
        <v>1166</v>
      </c>
      <c r="O1177" s="414" t="s">
        <v>2079</v>
      </c>
      <c r="P1177" s="414">
        <f t="shared" si="158"/>
        <v>651</v>
      </c>
      <c r="R1177" s="414">
        <f t="shared" si="159"/>
        <v>1380.12</v>
      </c>
      <c r="S1177" s="414"/>
      <c r="W1177" s="413"/>
    </row>
    <row r="1178" spans="6:33" ht="24" customHeight="1">
      <c r="F1178" s="414">
        <v>16</v>
      </c>
      <c r="G1178" s="414" t="s">
        <v>453</v>
      </c>
      <c r="H1178" s="412" t="s">
        <v>2563</v>
      </c>
      <c r="I1178" s="414">
        <v>1</v>
      </c>
      <c r="J1178" s="412" t="s">
        <v>1134</v>
      </c>
      <c r="K1178" s="414">
        <f>(F1178*I1178)</f>
        <v>16</v>
      </c>
      <c r="M1178" s="416">
        <v>3.53</v>
      </c>
      <c r="N1178" s="414" t="s">
        <v>1166</v>
      </c>
      <c r="O1178" s="414" t="s">
        <v>2080</v>
      </c>
      <c r="P1178" s="414">
        <f t="shared" si="158"/>
        <v>534</v>
      </c>
      <c r="R1178" s="414">
        <f t="shared" si="159"/>
        <v>1885.02</v>
      </c>
      <c r="S1178" s="414"/>
      <c r="W1178" s="413"/>
    </row>
    <row r="1179" spans="6:33" ht="24" customHeight="1">
      <c r="F1179" s="440">
        <v>0.53339999999999999</v>
      </c>
      <c r="G1179" s="414" t="s">
        <v>1861</v>
      </c>
      <c r="H1179" s="412" t="s">
        <v>564</v>
      </c>
      <c r="I1179" s="414">
        <f>0.25/1.08*D16</f>
        <v>215.74</v>
      </c>
      <c r="J1179" s="412" t="s">
        <v>1861</v>
      </c>
      <c r="K1179" s="414">
        <f>(F1179*I1179)</f>
        <v>115.08</v>
      </c>
      <c r="M1179" s="416">
        <v>1</v>
      </c>
      <c r="N1179" s="414" t="s">
        <v>1089</v>
      </c>
      <c r="O1179" s="414" t="s">
        <v>2081</v>
      </c>
      <c r="P1179" s="414">
        <f>R1148</f>
        <v>94.2</v>
      </c>
      <c r="R1179" s="414">
        <f t="shared" si="159"/>
        <v>94.2</v>
      </c>
      <c r="S1179" s="414"/>
      <c r="W1179" s="413"/>
    </row>
    <row r="1180" spans="6:33" ht="24" customHeight="1">
      <c r="G1180" s="414" t="s">
        <v>358</v>
      </c>
      <c r="H1180" s="412" t="s">
        <v>1850</v>
      </c>
      <c r="J1180" s="412" t="s">
        <v>358</v>
      </c>
      <c r="M1180" s="444" t="s">
        <v>528</v>
      </c>
      <c r="O1180" s="414" t="s">
        <v>2082</v>
      </c>
      <c r="P1180" s="444" t="s">
        <v>528</v>
      </c>
      <c r="R1180" s="414">
        <v>270</v>
      </c>
      <c r="S1180" s="414"/>
      <c r="W1180" s="413"/>
    </row>
    <row r="1181" spans="6:33" ht="24" customHeight="1">
      <c r="H1181" s="412" t="s">
        <v>1851</v>
      </c>
      <c r="M1181" s="444" t="s">
        <v>528</v>
      </c>
      <c r="O1181" s="414" t="s">
        <v>2083</v>
      </c>
      <c r="P1181" s="444" t="s">
        <v>528</v>
      </c>
      <c r="R1181" s="414">
        <v>150</v>
      </c>
      <c r="S1181" s="414"/>
      <c r="W1181" s="413"/>
    </row>
    <row r="1182" spans="6:33" ht="24" customHeight="1">
      <c r="K1182" s="418" t="s">
        <v>1288</v>
      </c>
      <c r="M1182" s="444" t="s">
        <v>528</v>
      </c>
      <c r="O1182" s="414" t="s">
        <v>1850</v>
      </c>
      <c r="P1182" s="444" t="s">
        <v>528</v>
      </c>
      <c r="R1182" s="414">
        <v>0.45</v>
      </c>
      <c r="S1182" s="414">
        <f>C22</f>
        <v>119.85</v>
      </c>
      <c r="T1182" s="414">
        <f>C23</f>
        <v>236.1</v>
      </c>
      <c r="W1182" s="413"/>
      <c r="AG1182" s="412" t="s">
        <v>1841</v>
      </c>
    </row>
    <row r="1183" spans="6:33" ht="24" customHeight="1">
      <c r="H1183" s="413" t="s">
        <v>1381</v>
      </c>
      <c r="K1183" s="414">
        <f>SUM(K1176:K1180)</f>
        <v>445.77</v>
      </c>
      <c r="M1183" s="416"/>
      <c r="O1183" s="414" t="s">
        <v>2170</v>
      </c>
      <c r="R1183" s="417" t="e">
        <f>SUM(R1172:R1182)</f>
        <v>#REF!</v>
      </c>
      <c r="S1183" s="414"/>
      <c r="W1183" s="413"/>
      <c r="AG1183" s="412" t="s">
        <v>1841</v>
      </c>
    </row>
    <row r="1184" spans="6:33" ht="24" customHeight="1">
      <c r="K1184" s="418" t="s">
        <v>1288</v>
      </c>
      <c r="M1184" s="416"/>
      <c r="O1184" s="414" t="s">
        <v>307</v>
      </c>
      <c r="R1184" s="414" t="e">
        <f>R1183+C22</f>
        <v>#REF!</v>
      </c>
      <c r="W1184" s="413"/>
      <c r="AG1184" s="412" t="s">
        <v>1841</v>
      </c>
    </row>
    <row r="1185" spans="6:37" ht="24" customHeight="1">
      <c r="H1185" s="413" t="s">
        <v>1382</v>
      </c>
      <c r="K1185" s="417">
        <f>ROUND(K1183/0.5334,1)</f>
        <v>835.7</v>
      </c>
      <c r="R1185" s="414" t="e">
        <f>R1184+C23</f>
        <v>#REF!</v>
      </c>
      <c r="W1185" s="413"/>
      <c r="AG1185" s="412" t="s">
        <v>1841</v>
      </c>
    </row>
    <row r="1186" spans="6:37" ht="24" customHeight="1">
      <c r="F1186" s="412" t="s">
        <v>790</v>
      </c>
      <c r="K1186" s="418" t="s">
        <v>1676</v>
      </c>
      <c r="R1186" s="414" t="e">
        <f>R1185+C23</f>
        <v>#REF!</v>
      </c>
      <c r="W1186" s="413"/>
      <c r="Y1186" s="427">
        <v>15.1</v>
      </c>
      <c r="Z1186" s="414" t="s">
        <v>1433</v>
      </c>
      <c r="AA1186" s="415" t="s">
        <v>2579</v>
      </c>
      <c r="AC1186" s="413"/>
      <c r="AF1186" s="427">
        <v>15.1</v>
      </c>
      <c r="AG1186" s="414" t="s">
        <v>1433</v>
      </c>
      <c r="AH1186" s="453" t="s">
        <v>2578</v>
      </c>
      <c r="AJ1186" s="413"/>
    </row>
    <row r="1187" spans="6:37" ht="24" customHeight="1">
      <c r="F1187" s="412" t="s">
        <v>790</v>
      </c>
      <c r="G1187" s="414" t="s">
        <v>790</v>
      </c>
      <c r="H1187" s="412" t="s">
        <v>790</v>
      </c>
      <c r="W1187" s="413"/>
      <c r="AA1187" s="412" t="s">
        <v>1859</v>
      </c>
      <c r="AC1187" s="413"/>
      <c r="AH1187" s="412" t="s">
        <v>1859</v>
      </c>
      <c r="AJ1187" s="413"/>
    </row>
    <row r="1188" spans="6:37" ht="24" customHeight="1">
      <c r="F1188" s="413" t="s">
        <v>1459</v>
      </c>
      <c r="G1188" s="414" t="s">
        <v>1833</v>
      </c>
      <c r="H1188" s="412" t="s">
        <v>1215</v>
      </c>
      <c r="W1188" s="413"/>
      <c r="Y1188" s="414">
        <v>10</v>
      </c>
      <c r="Z1188" s="414" t="s">
        <v>1861</v>
      </c>
      <c r="AA1188" s="426" t="s">
        <v>2990</v>
      </c>
      <c r="AB1188" s="414">
        <v>1737</v>
      </c>
      <c r="AC1188" s="413" t="s">
        <v>1861</v>
      </c>
      <c r="AD1188" s="414">
        <f>(Y1188*AB1188)</f>
        <v>17370</v>
      </c>
      <c r="AE1188" s="414" t="str">
        <f>AG1188</f>
        <v>Sqm</v>
      </c>
      <c r="AF1188" s="414">
        <v>10</v>
      </c>
      <c r="AG1188" s="414" t="s">
        <v>1861</v>
      </c>
      <c r="AH1188" s="426" t="s">
        <v>2991</v>
      </c>
      <c r="AI1188" s="414">
        <v>886</v>
      </c>
      <c r="AJ1188" s="413" t="s">
        <v>1861</v>
      </c>
      <c r="AK1188" s="414">
        <f>(AF1188*AI1188)</f>
        <v>8860</v>
      </c>
    </row>
    <row r="1189" spans="6:37" ht="24" customHeight="1">
      <c r="H1189" s="412" t="s">
        <v>130</v>
      </c>
      <c r="W1189" s="413"/>
      <c r="Y1189" s="414">
        <v>0.12</v>
      </c>
      <c r="Z1189" s="414" t="s">
        <v>702</v>
      </c>
      <c r="AA1189" s="412" t="s">
        <v>629</v>
      </c>
      <c r="AB1189" s="414" t="e">
        <f>P1333</f>
        <v>#REF!</v>
      </c>
      <c r="AC1189" s="413" t="s">
        <v>702</v>
      </c>
      <c r="AD1189" s="414" t="e">
        <f>(Y1189*AB1189)</f>
        <v>#REF!</v>
      </c>
      <c r="AE1189" s="414" t="str">
        <f>AG1189</f>
        <v>CUM</v>
      </c>
      <c r="AF1189" s="414">
        <v>0.12</v>
      </c>
      <c r="AG1189" s="414" t="s">
        <v>702</v>
      </c>
      <c r="AH1189" s="412" t="s">
        <v>629</v>
      </c>
      <c r="AI1189" s="414" t="e">
        <f>AB1189</f>
        <v>#REF!</v>
      </c>
      <c r="AJ1189" s="413" t="s">
        <v>702</v>
      </c>
      <c r="AK1189" s="414" t="e">
        <f>(AF1189*AI1189)</f>
        <v>#REF!</v>
      </c>
    </row>
    <row r="1190" spans="6:37" ht="24" customHeight="1">
      <c r="H1190" s="418" t="s">
        <v>1288</v>
      </c>
      <c r="W1190" s="413"/>
      <c r="Y1190" s="414">
        <v>1</v>
      </c>
      <c r="Z1190" s="414" t="s">
        <v>453</v>
      </c>
      <c r="AA1190" s="412" t="s">
        <v>454</v>
      </c>
      <c r="AB1190" s="414">
        <f>P1334</f>
        <v>999</v>
      </c>
      <c r="AC1190" s="413" t="s">
        <v>1134</v>
      </c>
      <c r="AD1190" s="414">
        <f>(Y1190*AB1190)</f>
        <v>999</v>
      </c>
      <c r="AE1190" s="414" t="str">
        <f>AG1190</f>
        <v>No.</v>
      </c>
      <c r="AF1190" s="414">
        <v>1</v>
      </c>
      <c r="AG1190" s="414" t="s">
        <v>453</v>
      </c>
      <c r="AH1190" s="412" t="s">
        <v>454</v>
      </c>
      <c r="AI1190" s="414">
        <f>AB1190</f>
        <v>999</v>
      </c>
      <c r="AJ1190" s="413" t="s">
        <v>1134</v>
      </c>
      <c r="AK1190" s="414">
        <f>(AF1190*AI1190)</f>
        <v>999</v>
      </c>
    </row>
    <row r="1191" spans="6:37" ht="24" customHeight="1">
      <c r="F1191" s="414">
        <v>1</v>
      </c>
      <c r="G1191" s="414" t="s">
        <v>1341</v>
      </c>
      <c r="H1191" s="412" t="s">
        <v>2992</v>
      </c>
      <c r="I1191" s="414">
        <f>D660</f>
        <v>69.599999999999994</v>
      </c>
      <c r="J1191" s="412" t="s">
        <v>1341</v>
      </c>
      <c r="K1191" s="417">
        <f>(F1191*I1191)</f>
        <v>69.599999999999994</v>
      </c>
      <c r="W1191" s="413"/>
      <c r="Y1191" s="414">
        <v>1</v>
      </c>
      <c r="Z1191" s="414" t="s">
        <v>453</v>
      </c>
      <c r="AA1191" s="412" t="s">
        <v>2876</v>
      </c>
      <c r="AB1191" s="414">
        <f>P1335</f>
        <v>651</v>
      </c>
      <c r="AC1191" s="413" t="s">
        <v>1134</v>
      </c>
      <c r="AD1191" s="414">
        <f>(Y1191*AB1191)</f>
        <v>651</v>
      </c>
      <c r="AE1191" s="414" t="str">
        <f>AG1191</f>
        <v>No.</v>
      </c>
      <c r="AF1191" s="414">
        <v>1</v>
      </c>
      <c r="AG1191" s="414" t="s">
        <v>453</v>
      </c>
      <c r="AH1191" s="412" t="s">
        <v>2877</v>
      </c>
      <c r="AI1191" s="414">
        <f>AB1191</f>
        <v>651</v>
      </c>
      <c r="AJ1191" s="413" t="s">
        <v>1134</v>
      </c>
      <c r="AK1191" s="414">
        <f>(AF1191*AI1191)</f>
        <v>651</v>
      </c>
    </row>
    <row r="1192" spans="6:37" ht="24" customHeight="1">
      <c r="K1192" s="418" t="s">
        <v>1676</v>
      </c>
      <c r="W1192" s="413"/>
      <c r="Z1192" s="414" t="s">
        <v>358</v>
      </c>
      <c r="AA1192" s="412" t="s">
        <v>42</v>
      </c>
      <c r="AC1192" s="413" t="s">
        <v>358</v>
      </c>
      <c r="AD1192" s="414">
        <v>0.33</v>
      </c>
      <c r="AG1192" s="414" t="s">
        <v>358</v>
      </c>
      <c r="AH1192" s="412" t="s">
        <v>42</v>
      </c>
      <c r="AJ1192" s="413" t="s">
        <v>358</v>
      </c>
      <c r="AK1192" s="414">
        <v>0.33</v>
      </c>
    </row>
    <row r="1193" spans="6:37" ht="24" customHeight="1">
      <c r="F1193" s="413">
        <v>39</v>
      </c>
      <c r="H1193" s="412" t="s">
        <v>2993</v>
      </c>
      <c r="I1193" s="414">
        <f>C660</f>
        <v>70.150000000000006</v>
      </c>
      <c r="J1193" s="412" t="s">
        <v>1341</v>
      </c>
      <c r="K1193" s="417">
        <f>I1193</f>
        <v>70.150000000000006</v>
      </c>
      <c r="W1193" s="413"/>
      <c r="AA1193" s="412" t="s">
        <v>751</v>
      </c>
      <c r="AD1193" s="413"/>
      <c r="AE1193" s="418" t="s">
        <v>1288</v>
      </c>
      <c r="AH1193" s="412" t="s">
        <v>751</v>
      </c>
      <c r="AK1193" s="413"/>
    </row>
    <row r="1194" spans="6:37" ht="24" customHeight="1">
      <c r="F1194" s="413" t="s">
        <v>354</v>
      </c>
      <c r="G1194" s="414" t="s">
        <v>1833</v>
      </c>
      <c r="H1194" s="412" t="s">
        <v>2564</v>
      </c>
      <c r="I1194" s="412" t="s">
        <v>790</v>
      </c>
      <c r="J1194" s="412" t="s">
        <v>1395</v>
      </c>
      <c r="K1194" s="417">
        <v>9.6</v>
      </c>
      <c r="W1194" s="413"/>
      <c r="AA1194" s="413" t="s">
        <v>322</v>
      </c>
      <c r="AC1194" s="413"/>
      <c r="AD1194" s="414" t="e">
        <f>SUM(AD1188:AD1193)</f>
        <v>#REF!</v>
      </c>
      <c r="AE1194" s="414">
        <f>SUM(AE1188:AE1192)</f>
        <v>0</v>
      </c>
      <c r="AH1194" s="413" t="s">
        <v>322</v>
      </c>
      <c r="AJ1194" s="413"/>
      <c r="AK1194" s="414" t="e">
        <f>SUM(AK1188:AK1193)</f>
        <v>#REF!</v>
      </c>
    </row>
    <row r="1195" spans="6:37" ht="24" customHeight="1">
      <c r="H1195" s="412" t="s">
        <v>205</v>
      </c>
      <c r="K1195" s="418" t="s">
        <v>1676</v>
      </c>
      <c r="W1195" s="413"/>
      <c r="AC1195" s="413"/>
      <c r="AD1195" s="418" t="s">
        <v>1288</v>
      </c>
      <c r="AE1195" s="418" t="s">
        <v>1288</v>
      </c>
      <c r="AJ1195" s="413"/>
      <c r="AK1195" s="418" t="s">
        <v>1288</v>
      </c>
    </row>
    <row r="1196" spans="6:37" ht="24" customHeight="1">
      <c r="W1196" s="413"/>
      <c r="AA1196" s="413" t="s">
        <v>325</v>
      </c>
      <c r="AD1196" s="417" t="e">
        <f>AD1194/10</f>
        <v>#REF!</v>
      </c>
      <c r="AH1196" s="413" t="s">
        <v>325</v>
      </c>
      <c r="AK1196" s="417" t="e">
        <f>AK1194/10</f>
        <v>#REF!</v>
      </c>
    </row>
    <row r="1197" spans="6:37" ht="24" customHeight="1">
      <c r="F1197" s="413" t="s">
        <v>183</v>
      </c>
      <c r="G1197" s="414" t="s">
        <v>1833</v>
      </c>
      <c r="H1197" s="412" t="s">
        <v>1565</v>
      </c>
      <c r="W1197" s="413"/>
      <c r="AA1197" s="412" t="s">
        <v>307</v>
      </c>
      <c r="AC1197" s="413">
        <f>C22*0.02</f>
        <v>2.4</v>
      </c>
      <c r="AD1197" s="414" t="e">
        <f>AD1196+AC1197</f>
        <v>#REF!</v>
      </c>
      <c r="AH1197" s="412" t="s">
        <v>307</v>
      </c>
      <c r="AJ1197" s="413">
        <f>C22*0.01</f>
        <v>1.2</v>
      </c>
      <c r="AK1197" s="414" t="e">
        <f>AK1196+AJ1197</f>
        <v>#REF!</v>
      </c>
    </row>
    <row r="1198" spans="6:37" ht="24" customHeight="1">
      <c r="H1198" s="412" t="s">
        <v>753</v>
      </c>
      <c r="W1198" s="413"/>
      <c r="AA1198" s="412" t="s">
        <v>309</v>
      </c>
      <c r="AC1198" s="413">
        <f>C23*0.02</f>
        <v>4.72</v>
      </c>
      <c r="AD1198" s="414" t="e">
        <f>AD1197+AC1198</f>
        <v>#REF!</v>
      </c>
      <c r="AH1198" s="412" t="s">
        <v>309</v>
      </c>
      <c r="AJ1198" s="413">
        <f>C23*0.01</f>
        <v>2.36</v>
      </c>
      <c r="AK1198" s="414" t="e">
        <f>AK1197+AJ1198</f>
        <v>#REF!</v>
      </c>
    </row>
    <row r="1199" spans="6:37" ht="24" customHeight="1">
      <c r="H1199" s="418" t="s">
        <v>1288</v>
      </c>
      <c r="W1199" s="413"/>
      <c r="AA1199" s="412" t="s">
        <v>1818</v>
      </c>
      <c r="AC1199" s="413">
        <f t="shared" ref="AC1199:AC1208" si="160">AC1198</f>
        <v>4.72</v>
      </c>
      <c r="AD1199" s="414" t="e">
        <f t="shared" ref="AD1199:AD1208" si="161">+AD1198+AC1199</f>
        <v>#REF!</v>
      </c>
      <c r="AH1199" s="412" t="s">
        <v>1818</v>
      </c>
      <c r="AJ1199" s="413">
        <f>C24*0.01</f>
        <v>2.36</v>
      </c>
      <c r="AK1199" s="414" t="e">
        <f t="shared" ref="AK1199:AK1206" si="162">+AK1198+AJ1199</f>
        <v>#REF!</v>
      </c>
    </row>
    <row r="1200" spans="6:37" ht="24" customHeight="1">
      <c r="F1200" s="414">
        <v>0.22</v>
      </c>
      <c r="G1200" s="414" t="s">
        <v>702</v>
      </c>
      <c r="H1200" s="412" t="s">
        <v>1063</v>
      </c>
      <c r="I1200" s="414" t="e">
        <f>K40</f>
        <v>#REF!</v>
      </c>
      <c r="J1200" s="412" t="s">
        <v>702</v>
      </c>
      <c r="K1200" s="414" t="e">
        <f>(F1200*I1200)</f>
        <v>#REF!</v>
      </c>
      <c r="W1200" s="413"/>
      <c r="AA1200" s="412" t="s">
        <v>301</v>
      </c>
      <c r="AC1200" s="413">
        <f t="shared" si="160"/>
        <v>4.72</v>
      </c>
      <c r="AD1200" s="414" t="e">
        <f t="shared" si="161"/>
        <v>#REF!</v>
      </c>
      <c r="AH1200" s="412" t="s">
        <v>301</v>
      </c>
      <c r="AJ1200" s="413">
        <v>1.95</v>
      </c>
      <c r="AK1200" s="414" t="e">
        <f t="shared" si="162"/>
        <v>#REF!</v>
      </c>
    </row>
    <row r="1201" spans="6:37" ht="24" customHeight="1">
      <c r="F1201" s="414">
        <v>2.2000000000000002</v>
      </c>
      <c r="G1201" s="414" t="s">
        <v>619</v>
      </c>
      <c r="H1201" s="412" t="s">
        <v>1637</v>
      </c>
      <c r="I1201" s="414">
        <f>(C10)</f>
        <v>999</v>
      </c>
      <c r="J1201" s="412" t="s">
        <v>619</v>
      </c>
      <c r="K1201" s="414">
        <f>(F1201*I1201)</f>
        <v>2197.8000000000002</v>
      </c>
      <c r="W1201" s="413"/>
      <c r="AA1201" s="412" t="s">
        <v>1110</v>
      </c>
      <c r="AC1201" s="413">
        <f t="shared" si="160"/>
        <v>4.72</v>
      </c>
      <c r="AD1201" s="414" t="e">
        <f t="shared" si="161"/>
        <v>#REF!</v>
      </c>
      <c r="AH1201" s="412" t="s">
        <v>1110</v>
      </c>
      <c r="AJ1201" s="413">
        <v>1.95</v>
      </c>
      <c r="AK1201" s="414" t="e">
        <f t="shared" si="162"/>
        <v>#REF!</v>
      </c>
    </row>
    <row r="1202" spans="6:37" ht="24" customHeight="1">
      <c r="F1202" s="414">
        <v>0.5</v>
      </c>
      <c r="G1202" s="414" t="s">
        <v>619</v>
      </c>
      <c r="H1202" s="412" t="s">
        <v>754</v>
      </c>
      <c r="I1202" s="414">
        <f>(C12)</f>
        <v>651</v>
      </c>
      <c r="J1202" s="412" t="s">
        <v>619</v>
      </c>
      <c r="K1202" s="414">
        <f>(F1202*I1202)</f>
        <v>325.5</v>
      </c>
      <c r="W1202" s="413"/>
      <c r="AA1202" s="414">
        <v>5</v>
      </c>
      <c r="AC1202" s="413">
        <f t="shared" si="160"/>
        <v>4.72</v>
      </c>
      <c r="AD1202" s="414" t="e">
        <f t="shared" si="161"/>
        <v>#REF!</v>
      </c>
      <c r="AE1202" s="414">
        <f>AG1202</f>
        <v>0</v>
      </c>
      <c r="AH1202" s="414">
        <v>5</v>
      </c>
      <c r="AJ1202" s="413">
        <f>AC1202</f>
        <v>4.72</v>
      </c>
      <c r="AK1202" s="414" t="e">
        <f t="shared" si="162"/>
        <v>#REF!</v>
      </c>
    </row>
    <row r="1203" spans="6:37" ht="24" customHeight="1">
      <c r="F1203" s="414">
        <v>3.2</v>
      </c>
      <c r="G1203" s="414" t="s">
        <v>619</v>
      </c>
      <c r="H1203" s="412" t="s">
        <v>245</v>
      </c>
      <c r="I1203" s="414">
        <f>(C13)</f>
        <v>534</v>
      </c>
      <c r="J1203" s="412" t="s">
        <v>619</v>
      </c>
      <c r="K1203" s="414">
        <f>(F1203*I1203)</f>
        <v>1708.8</v>
      </c>
      <c r="W1203" s="413"/>
      <c r="AA1203" s="414">
        <v>6</v>
      </c>
      <c r="AC1203" s="413">
        <f t="shared" si="160"/>
        <v>4.72</v>
      </c>
      <c r="AD1203" s="414" t="e">
        <f t="shared" si="161"/>
        <v>#REF!</v>
      </c>
      <c r="AE1203" s="414">
        <f>AG1203</f>
        <v>0</v>
      </c>
      <c r="AH1203" s="414">
        <v>6</v>
      </c>
      <c r="AJ1203" s="413">
        <f>AC1203</f>
        <v>4.72</v>
      </c>
      <c r="AK1203" s="414" t="e">
        <f t="shared" si="162"/>
        <v>#REF!</v>
      </c>
    </row>
    <row r="1204" spans="6:37" ht="24" customHeight="1">
      <c r="H1204" s="412"/>
      <c r="W1204" s="413"/>
      <c r="AA1204" s="414">
        <v>7</v>
      </c>
      <c r="AC1204" s="413">
        <f t="shared" si="160"/>
        <v>4.72</v>
      </c>
      <c r="AD1204" s="414" t="e">
        <f t="shared" si="161"/>
        <v>#REF!</v>
      </c>
      <c r="AH1204" s="414">
        <v>7</v>
      </c>
      <c r="AJ1204" s="413">
        <f>AC1204</f>
        <v>4.72</v>
      </c>
      <c r="AK1204" s="414" t="e">
        <f t="shared" si="162"/>
        <v>#REF!</v>
      </c>
    </row>
    <row r="1205" spans="6:37" ht="24" hidden="1" customHeight="1">
      <c r="H1205" s="412"/>
      <c r="W1205" s="413"/>
      <c r="AA1205" s="414">
        <v>8</v>
      </c>
      <c r="AC1205" s="413">
        <f t="shared" si="160"/>
        <v>4.72</v>
      </c>
      <c r="AD1205" s="414" t="e">
        <f t="shared" si="161"/>
        <v>#REF!</v>
      </c>
      <c r="AH1205" s="414">
        <v>8</v>
      </c>
      <c r="AJ1205" s="413">
        <f>AC1205</f>
        <v>4.72</v>
      </c>
      <c r="AK1205" s="414" t="e">
        <f t="shared" si="162"/>
        <v>#REF!</v>
      </c>
    </row>
    <row r="1206" spans="6:37" ht="24" hidden="1" customHeight="1">
      <c r="H1206" s="412"/>
      <c r="W1206" s="413"/>
      <c r="AA1206" s="414">
        <v>9</v>
      </c>
      <c r="AC1206" s="413">
        <f t="shared" si="160"/>
        <v>4.72</v>
      </c>
      <c r="AD1206" s="414" t="e">
        <f t="shared" si="161"/>
        <v>#REF!</v>
      </c>
      <c r="AF1206" s="414" t="s">
        <v>2868</v>
      </c>
      <c r="AH1206" s="414">
        <v>9</v>
      </c>
      <c r="AJ1206" s="413">
        <f>AC1206</f>
        <v>4.72</v>
      </c>
      <c r="AK1206" s="414" t="e">
        <f t="shared" si="162"/>
        <v>#REF!</v>
      </c>
    </row>
    <row r="1207" spans="6:37" ht="24" hidden="1" customHeight="1">
      <c r="H1207" s="412"/>
      <c r="W1207" s="413"/>
      <c r="AA1207" s="414">
        <v>10</v>
      </c>
      <c r="AC1207" s="413">
        <f t="shared" si="160"/>
        <v>4.72</v>
      </c>
      <c r="AD1207" s="414" t="e">
        <f t="shared" si="161"/>
        <v>#REF!</v>
      </c>
      <c r="AG1207" s="412"/>
    </row>
    <row r="1208" spans="6:37" ht="24" hidden="1" customHeight="1">
      <c r="H1208" s="412"/>
      <c r="W1208" s="413"/>
      <c r="AA1208" s="414">
        <v>11</v>
      </c>
      <c r="AC1208" s="413">
        <f t="shared" si="160"/>
        <v>4.72</v>
      </c>
      <c r="AD1208" s="414" t="e">
        <f t="shared" si="161"/>
        <v>#REF!</v>
      </c>
      <c r="AG1208" s="412"/>
    </row>
    <row r="1209" spans="6:37" ht="24" customHeight="1">
      <c r="G1209" s="414" t="s">
        <v>358</v>
      </c>
      <c r="H1209" s="412" t="s">
        <v>359</v>
      </c>
      <c r="I1209" s="412" t="s">
        <v>790</v>
      </c>
      <c r="J1209" s="412" t="s">
        <v>358</v>
      </c>
      <c r="K1209" s="414">
        <v>5</v>
      </c>
      <c r="Q1209" s="413"/>
      <c r="W1209" s="413"/>
      <c r="Y1209" s="427">
        <v>29.5</v>
      </c>
      <c r="Z1209" s="414" t="s">
        <v>1833</v>
      </c>
      <c r="AA1209" s="415" t="s">
        <v>3258</v>
      </c>
      <c r="AE1209" s="414" t="str">
        <f t="shared" ref="AE1209:AE1277" si="163">AG1209</f>
        <v>|</v>
      </c>
      <c r="AG1209" s="412" t="s">
        <v>1841</v>
      </c>
    </row>
    <row r="1210" spans="6:37" ht="24" customHeight="1">
      <c r="K1210" s="418" t="s">
        <v>1288</v>
      </c>
      <c r="Q1210" s="413"/>
      <c r="W1210" s="413"/>
      <c r="AA1210" s="415" t="s">
        <v>2311</v>
      </c>
      <c r="AE1210" s="414" t="str">
        <f t="shared" si="163"/>
        <v>|</v>
      </c>
      <c r="AG1210" s="412" t="s">
        <v>1841</v>
      </c>
    </row>
    <row r="1211" spans="6:37" ht="24" customHeight="1">
      <c r="H1211" s="412" t="s">
        <v>351</v>
      </c>
      <c r="K1211" s="414" t="e">
        <f>SUM(K1200:K1209)</f>
        <v>#REF!</v>
      </c>
      <c r="Q1211" s="413"/>
      <c r="W1211" s="413"/>
      <c r="AA1211" s="412"/>
      <c r="AE1211" s="414" t="str">
        <f t="shared" si="163"/>
        <v>|</v>
      </c>
      <c r="AG1211" s="412" t="s">
        <v>1841</v>
      </c>
    </row>
    <row r="1212" spans="6:37" ht="24" customHeight="1">
      <c r="F1212" s="414" t="s">
        <v>790</v>
      </c>
      <c r="K1212" s="418" t="s">
        <v>1288</v>
      </c>
      <c r="O1212" s="417" t="s">
        <v>1240</v>
      </c>
      <c r="Q1212" s="413"/>
      <c r="W1212" s="413"/>
      <c r="AA1212" s="418" t="s">
        <v>1288</v>
      </c>
      <c r="AB1212" s="418" t="s">
        <v>1288</v>
      </c>
      <c r="AC1212" s="412">
        <f>54.96*10.764</f>
        <v>591.59</v>
      </c>
      <c r="AE1212" s="414" t="str">
        <f t="shared" si="163"/>
        <v>|</v>
      </c>
      <c r="AG1212" s="412" t="s">
        <v>1841</v>
      </c>
    </row>
    <row r="1213" spans="6:37" ht="24" customHeight="1">
      <c r="H1213" s="420" t="s">
        <v>447</v>
      </c>
      <c r="K1213" s="417" t="e">
        <f>(K1211/10)</f>
        <v>#REF!</v>
      </c>
      <c r="Q1213" s="413"/>
      <c r="W1213" s="413"/>
      <c r="Y1213" s="414">
        <v>10</v>
      </c>
      <c r="Z1213" s="414" t="s">
        <v>488</v>
      </c>
      <c r="AA1213" s="426" t="s">
        <v>3259</v>
      </c>
      <c r="AB1213" s="414">
        <v>1462</v>
      </c>
      <c r="AC1213" s="412" t="s">
        <v>488</v>
      </c>
      <c r="AD1213" s="414">
        <f>(Y1213*AB1213)</f>
        <v>14620</v>
      </c>
      <c r="AE1213" s="414" t="str">
        <f t="shared" si="163"/>
        <v>|</v>
      </c>
      <c r="AG1213" s="412" t="s">
        <v>1841</v>
      </c>
    </row>
    <row r="1214" spans="6:37" ht="24" customHeight="1">
      <c r="K1214" s="418" t="s">
        <v>1676</v>
      </c>
      <c r="Q1214" s="413"/>
      <c r="S1214" s="454" t="s">
        <v>2086</v>
      </c>
      <c r="W1214" s="413"/>
      <c r="Y1214" s="414">
        <v>0.21</v>
      </c>
      <c r="Z1214" s="414" t="s">
        <v>702</v>
      </c>
      <c r="AA1214" s="412" t="s">
        <v>1527</v>
      </c>
      <c r="AB1214" s="414" t="e">
        <f t="shared" ref="AB1214:AB1226" si="164">AB1242</f>
        <v>#REF!</v>
      </c>
      <c r="AC1214" s="412" t="s">
        <v>702</v>
      </c>
      <c r="AD1214" s="414" t="e">
        <f>(Y1214*AB1214)</f>
        <v>#REF!</v>
      </c>
      <c r="AE1214" s="414" t="str">
        <f t="shared" si="163"/>
        <v>|</v>
      </c>
      <c r="AG1214" s="412" t="s">
        <v>1841</v>
      </c>
    </row>
    <row r="1215" spans="6:37" ht="24" customHeight="1">
      <c r="F1215" s="413" t="s">
        <v>755</v>
      </c>
      <c r="G1215" s="414" t="s">
        <v>1833</v>
      </c>
      <c r="H1215" s="412" t="s">
        <v>1496</v>
      </c>
      <c r="M1215" s="414">
        <v>10</v>
      </c>
      <c r="N1215" s="414" t="s">
        <v>488</v>
      </c>
      <c r="O1215" s="412" t="s">
        <v>4323</v>
      </c>
      <c r="P1215" s="423">
        <v>653</v>
      </c>
      <c r="Q1215" s="413" t="s">
        <v>488</v>
      </c>
      <c r="R1215" s="414">
        <f>M1215*P1215</f>
        <v>6530</v>
      </c>
      <c r="S1215" s="416">
        <v>694.02</v>
      </c>
      <c r="T1215" s="414">
        <f>S1215*M1215</f>
        <v>6940.2</v>
      </c>
      <c r="W1215" s="413"/>
      <c r="AA1215" s="412" t="s">
        <v>1528</v>
      </c>
      <c r="AB1215" s="414" t="str">
        <f t="shared" si="164"/>
        <v/>
      </c>
      <c r="AC1215" s="412"/>
      <c r="AD1215" s="412" t="s">
        <v>790</v>
      </c>
      <c r="AE1215" s="414" t="str">
        <f t="shared" si="163"/>
        <v>|</v>
      </c>
      <c r="AG1215" s="412" t="s">
        <v>1841</v>
      </c>
    </row>
    <row r="1216" spans="6:37" ht="24" customHeight="1">
      <c r="H1216" s="412" t="s">
        <v>1523</v>
      </c>
      <c r="M1216" s="414">
        <v>0.21</v>
      </c>
      <c r="N1216" s="414" t="s">
        <v>702</v>
      </c>
      <c r="O1216" s="412" t="s">
        <v>1527</v>
      </c>
      <c r="P1216" s="414" t="e">
        <f>I1220</f>
        <v>#REF!</v>
      </c>
      <c r="Q1216" s="413" t="s">
        <v>702</v>
      </c>
      <c r="R1216" s="414" t="e">
        <f t="shared" ref="R1216:R1225" si="165">(M1216*P1216)</f>
        <v>#REF!</v>
      </c>
      <c r="T1216" s="414" t="e">
        <f>R1216</f>
        <v>#REF!</v>
      </c>
      <c r="W1216" s="413"/>
      <c r="Y1216" s="414">
        <v>1.1000000000000001</v>
      </c>
      <c r="Z1216" s="414" t="s">
        <v>619</v>
      </c>
      <c r="AA1216" s="412" t="s">
        <v>1637</v>
      </c>
      <c r="AB1216" s="414">
        <f t="shared" si="164"/>
        <v>999</v>
      </c>
      <c r="AC1216" s="412" t="s">
        <v>619</v>
      </c>
      <c r="AD1216" s="414">
        <f>(Y1216*AB1216)</f>
        <v>1098.9000000000001</v>
      </c>
      <c r="AE1216" s="414" t="str">
        <f t="shared" si="163"/>
        <v>|</v>
      </c>
      <c r="AG1216" s="412" t="s">
        <v>1841</v>
      </c>
    </row>
    <row r="1217" spans="6:33" ht="24" customHeight="1">
      <c r="H1217" s="418" t="s">
        <v>1288</v>
      </c>
      <c r="M1217" s="414">
        <v>1.1000000000000001</v>
      </c>
      <c r="N1217" s="414" t="s">
        <v>619</v>
      </c>
      <c r="O1217" s="412" t="s">
        <v>1637</v>
      </c>
      <c r="P1217" s="414">
        <f>I1222</f>
        <v>999</v>
      </c>
      <c r="Q1217" s="413" t="s">
        <v>619</v>
      </c>
      <c r="R1217" s="414">
        <f t="shared" si="165"/>
        <v>1098.9000000000001</v>
      </c>
      <c r="T1217" s="414">
        <f t="shared" ref="T1217:T1225" si="166">R1217</f>
        <v>1098.9000000000001</v>
      </c>
      <c r="W1217" s="413"/>
      <c r="Y1217" s="414">
        <v>1.1000000000000001</v>
      </c>
      <c r="Z1217" s="414" t="s">
        <v>619</v>
      </c>
      <c r="AA1217" s="412" t="s">
        <v>1392</v>
      </c>
      <c r="AB1217" s="414">
        <f t="shared" si="164"/>
        <v>932</v>
      </c>
      <c r="AC1217" s="412" t="s">
        <v>619</v>
      </c>
      <c r="AD1217" s="414">
        <f>(Y1217*AB1217)</f>
        <v>1025.2</v>
      </c>
      <c r="AE1217" s="414" t="str">
        <f t="shared" si="163"/>
        <v>|</v>
      </c>
      <c r="AG1217" s="412" t="s">
        <v>1841</v>
      </c>
    </row>
    <row r="1218" spans="6:33" ht="24" customHeight="1">
      <c r="F1218" s="414">
        <v>160</v>
      </c>
      <c r="G1218" s="414" t="s">
        <v>1524</v>
      </c>
      <c r="H1218" s="412" t="s">
        <v>1525</v>
      </c>
      <c r="I1218" s="414">
        <f>(C137)</f>
        <v>11907</v>
      </c>
      <c r="J1218" s="412" t="s">
        <v>1207</v>
      </c>
      <c r="K1218" s="414">
        <f>(F1218*I1218)/1000</f>
        <v>1905.12</v>
      </c>
      <c r="M1218" s="414">
        <v>1.1000000000000001</v>
      </c>
      <c r="N1218" s="414" t="s">
        <v>619</v>
      </c>
      <c r="O1218" s="412" t="s">
        <v>1392</v>
      </c>
      <c r="P1218" s="414">
        <f>I1223</f>
        <v>932</v>
      </c>
      <c r="Q1218" s="413" t="s">
        <v>619</v>
      </c>
      <c r="R1218" s="414">
        <f t="shared" si="165"/>
        <v>1025.2</v>
      </c>
      <c r="T1218" s="414">
        <f t="shared" si="166"/>
        <v>1025.2</v>
      </c>
      <c r="W1218" s="413"/>
      <c r="Y1218" s="414">
        <v>2.2000000000000002</v>
      </c>
      <c r="Z1218" s="414" t="s">
        <v>619</v>
      </c>
      <c r="AA1218" s="412" t="s">
        <v>1550</v>
      </c>
      <c r="AB1218" s="414">
        <f t="shared" si="164"/>
        <v>651</v>
      </c>
      <c r="AC1218" s="412" t="s">
        <v>619</v>
      </c>
      <c r="AD1218" s="414">
        <f>(Y1218*AB1218)</f>
        <v>1432.2</v>
      </c>
      <c r="AE1218" s="414" t="str">
        <f t="shared" si="163"/>
        <v>|</v>
      </c>
      <c r="AG1218" s="412" t="s">
        <v>1841</v>
      </c>
    </row>
    <row r="1219" spans="6:33" ht="24" customHeight="1">
      <c r="H1219" s="412" t="s">
        <v>1526</v>
      </c>
      <c r="I1219" s="412" t="s">
        <v>790</v>
      </c>
      <c r="K1219" s="412" t="s">
        <v>790</v>
      </c>
      <c r="M1219" s="414">
        <v>2.2000000000000002</v>
      </c>
      <c r="N1219" s="414" t="s">
        <v>619</v>
      </c>
      <c r="O1219" s="412" t="s">
        <v>1550</v>
      </c>
      <c r="P1219" s="414">
        <f>I1224</f>
        <v>651</v>
      </c>
      <c r="Q1219" s="413" t="s">
        <v>619</v>
      </c>
      <c r="R1219" s="414">
        <f t="shared" si="165"/>
        <v>1432.2</v>
      </c>
      <c r="T1219" s="414">
        <f t="shared" si="166"/>
        <v>1432.2</v>
      </c>
      <c r="W1219" s="413"/>
      <c r="Y1219" s="414">
        <v>2.2000000000000002</v>
      </c>
      <c r="Z1219" s="414" t="s">
        <v>619</v>
      </c>
      <c r="AA1219" s="412" t="s">
        <v>245</v>
      </c>
      <c r="AB1219" s="414">
        <f t="shared" si="164"/>
        <v>534</v>
      </c>
      <c r="AC1219" s="412" t="s">
        <v>619</v>
      </c>
      <c r="AD1219" s="414">
        <f>(Y1219*AB1219)</f>
        <v>1174.8</v>
      </c>
      <c r="AE1219" s="414" t="str">
        <f t="shared" si="163"/>
        <v>|</v>
      </c>
      <c r="AG1219" s="412" t="s">
        <v>1841</v>
      </c>
    </row>
    <row r="1220" spans="6:33" ht="24" customHeight="1">
      <c r="F1220" s="414">
        <v>0.21</v>
      </c>
      <c r="G1220" s="414" t="s">
        <v>702</v>
      </c>
      <c r="H1220" s="412" t="s">
        <v>1527</v>
      </c>
      <c r="I1220" s="414" t="e">
        <f>(K32)</f>
        <v>#REF!</v>
      </c>
      <c r="J1220" s="412" t="s">
        <v>702</v>
      </c>
      <c r="K1220" s="414" t="e">
        <f>(F1220*I1220)</f>
        <v>#REF!</v>
      </c>
      <c r="M1220" s="414">
        <v>2.2000000000000002</v>
      </c>
      <c r="N1220" s="414" t="s">
        <v>619</v>
      </c>
      <c r="O1220" s="412" t="s">
        <v>245</v>
      </c>
      <c r="P1220" s="414">
        <f>I1225</f>
        <v>534</v>
      </c>
      <c r="Q1220" s="413" t="s">
        <v>619</v>
      </c>
      <c r="R1220" s="414">
        <f t="shared" si="165"/>
        <v>1174.8</v>
      </c>
      <c r="T1220" s="414">
        <f t="shared" si="166"/>
        <v>1174.8</v>
      </c>
      <c r="W1220" s="413"/>
      <c r="Y1220" s="416">
        <v>20</v>
      </c>
      <c r="Z1220" s="414" t="s">
        <v>1341</v>
      </c>
      <c r="AA1220" s="412" t="s">
        <v>695</v>
      </c>
      <c r="AB1220" s="414" t="e">
        <f t="shared" si="164"/>
        <v>#REF!</v>
      </c>
      <c r="AC1220" s="412" t="s">
        <v>694</v>
      </c>
      <c r="AD1220" s="414" t="e">
        <f>(Y1220*AB1220)/1000</f>
        <v>#REF!</v>
      </c>
      <c r="AE1220" s="414" t="str">
        <f t="shared" si="163"/>
        <v>|</v>
      </c>
      <c r="AG1220" s="412" t="s">
        <v>1841</v>
      </c>
    </row>
    <row r="1221" spans="6:33" ht="24" customHeight="1">
      <c r="H1221" s="412" t="s">
        <v>1528</v>
      </c>
      <c r="I1221" s="412" t="s">
        <v>790</v>
      </c>
      <c r="K1221" s="412" t="s">
        <v>790</v>
      </c>
      <c r="M1221" s="416">
        <v>20</v>
      </c>
      <c r="N1221" s="414" t="s">
        <v>1341</v>
      </c>
      <c r="O1221" s="412" t="s">
        <v>695</v>
      </c>
      <c r="P1221" s="414" t="e">
        <f>I1226</f>
        <v>#REF!</v>
      </c>
      <c r="Q1221" s="413" t="s">
        <v>694</v>
      </c>
      <c r="R1221" s="414" t="e">
        <f>(M1221*P1221)/1000</f>
        <v>#REF!</v>
      </c>
      <c r="T1221" s="414" t="e">
        <f t="shared" si="166"/>
        <v>#REF!</v>
      </c>
      <c r="W1221" s="413"/>
      <c r="Y1221" s="416">
        <v>2</v>
      </c>
      <c r="Z1221" s="414" t="s">
        <v>1341</v>
      </c>
      <c r="AA1221" s="412" t="s">
        <v>1691</v>
      </c>
      <c r="AB1221" s="414">
        <f t="shared" si="164"/>
        <v>36.1</v>
      </c>
      <c r="AC1221" s="412" t="s">
        <v>1341</v>
      </c>
      <c r="AD1221" s="414">
        <f>(Y1221*AB1221)</f>
        <v>72.2</v>
      </c>
      <c r="AE1221" s="414" t="str">
        <f t="shared" si="163"/>
        <v>|</v>
      </c>
      <c r="AG1221" s="412" t="s">
        <v>1841</v>
      </c>
    </row>
    <row r="1222" spans="6:33" ht="24" customHeight="1">
      <c r="F1222" s="414">
        <v>1.1000000000000001</v>
      </c>
      <c r="G1222" s="414" t="s">
        <v>619</v>
      </c>
      <c r="H1222" s="412" t="s">
        <v>1637</v>
      </c>
      <c r="I1222" s="414">
        <f>(C10)</f>
        <v>999</v>
      </c>
      <c r="J1222" s="412" t="s">
        <v>619</v>
      </c>
      <c r="K1222" s="414">
        <f>(F1222*I1222)</f>
        <v>1098.9000000000001</v>
      </c>
      <c r="M1222" s="416">
        <v>2</v>
      </c>
      <c r="N1222" s="414" t="s">
        <v>1341</v>
      </c>
      <c r="O1222" s="412" t="s">
        <v>886</v>
      </c>
      <c r="P1222" s="414">
        <f>C608</f>
        <v>24.93</v>
      </c>
      <c r="Q1222" s="413" t="s">
        <v>1341</v>
      </c>
      <c r="R1222" s="414">
        <f t="shared" si="165"/>
        <v>49.86</v>
      </c>
      <c r="T1222" s="414">
        <f t="shared" si="166"/>
        <v>49.86</v>
      </c>
      <c r="W1222" s="413"/>
      <c r="Y1222" s="414">
        <v>1.6</v>
      </c>
      <c r="Z1222" s="414" t="s">
        <v>619</v>
      </c>
      <c r="AA1222" s="412" t="s">
        <v>1392</v>
      </c>
      <c r="AB1222" s="414">
        <f t="shared" si="164"/>
        <v>932</v>
      </c>
      <c r="AC1222" s="412" t="s">
        <v>619</v>
      </c>
      <c r="AD1222" s="414">
        <f>(Y1222*AB1222)</f>
        <v>1491.2</v>
      </c>
      <c r="AE1222" s="414" t="str">
        <f t="shared" si="163"/>
        <v>|</v>
      </c>
      <c r="AG1222" s="412" t="s">
        <v>1841</v>
      </c>
    </row>
    <row r="1223" spans="6:33" ht="24" customHeight="1">
      <c r="F1223" s="414">
        <v>1.1000000000000001</v>
      </c>
      <c r="G1223" s="414" t="s">
        <v>619</v>
      </c>
      <c r="H1223" s="412" t="s">
        <v>1392</v>
      </c>
      <c r="I1223" s="414">
        <f>(C11)</f>
        <v>932</v>
      </c>
      <c r="J1223" s="412" t="s">
        <v>619</v>
      </c>
      <c r="K1223" s="414">
        <f>(F1223*I1223)</f>
        <v>1025.2</v>
      </c>
      <c r="M1223" s="414">
        <v>1.6</v>
      </c>
      <c r="N1223" s="414" t="s">
        <v>619</v>
      </c>
      <c r="O1223" s="412" t="s">
        <v>1392</v>
      </c>
      <c r="P1223" s="414">
        <f>P1218</f>
        <v>932</v>
      </c>
      <c r="Q1223" s="413" t="s">
        <v>619</v>
      </c>
      <c r="R1223" s="414">
        <f t="shared" si="165"/>
        <v>1491.2</v>
      </c>
      <c r="T1223" s="414">
        <f t="shared" si="166"/>
        <v>1491.2</v>
      </c>
      <c r="W1223" s="413"/>
      <c r="Y1223" s="414">
        <v>0.5</v>
      </c>
      <c r="Z1223" s="414" t="s">
        <v>619</v>
      </c>
      <c r="AA1223" s="412" t="s">
        <v>1550</v>
      </c>
      <c r="AB1223" s="414">
        <f t="shared" si="164"/>
        <v>651</v>
      </c>
      <c r="AC1223" s="412" t="s">
        <v>619</v>
      </c>
      <c r="AD1223" s="414">
        <f>(Y1223*AB1223)</f>
        <v>325.5</v>
      </c>
      <c r="AE1223" s="414" t="str">
        <f t="shared" si="163"/>
        <v>|</v>
      </c>
      <c r="AG1223" s="412" t="s">
        <v>1841</v>
      </c>
    </row>
    <row r="1224" spans="6:33" ht="24" customHeight="1">
      <c r="F1224" s="414">
        <v>2.2000000000000002</v>
      </c>
      <c r="G1224" s="414" t="s">
        <v>619</v>
      </c>
      <c r="H1224" s="412" t="s">
        <v>1550</v>
      </c>
      <c r="I1224" s="414">
        <f>(C12)</f>
        <v>651</v>
      </c>
      <c r="J1224" s="412" t="s">
        <v>619</v>
      </c>
      <c r="K1224" s="414">
        <f>(F1224*I1224)</f>
        <v>1432.2</v>
      </c>
      <c r="M1224" s="414">
        <v>0.5</v>
      </c>
      <c r="N1224" s="414" t="s">
        <v>619</v>
      </c>
      <c r="O1224" s="412" t="s">
        <v>1550</v>
      </c>
      <c r="P1224" s="414">
        <f>P1219</f>
        <v>651</v>
      </c>
      <c r="Q1224" s="413" t="s">
        <v>619</v>
      </c>
      <c r="R1224" s="414">
        <f t="shared" si="165"/>
        <v>325.5</v>
      </c>
      <c r="T1224" s="414">
        <f t="shared" si="166"/>
        <v>325.5</v>
      </c>
      <c r="W1224" s="413"/>
      <c r="Y1224" s="414">
        <v>1.1000000000000001</v>
      </c>
      <c r="Z1224" s="414" t="s">
        <v>619</v>
      </c>
      <c r="AA1224" s="412" t="s">
        <v>245</v>
      </c>
      <c r="AB1224" s="414">
        <f t="shared" si="164"/>
        <v>534</v>
      </c>
      <c r="AC1224" s="412" t="s">
        <v>619</v>
      </c>
      <c r="AD1224" s="414">
        <f>(Y1224*AB1224)</f>
        <v>587.4</v>
      </c>
      <c r="AE1224" s="414" t="str">
        <f t="shared" si="163"/>
        <v>|</v>
      </c>
      <c r="AG1224" s="412" t="s">
        <v>1841</v>
      </c>
    </row>
    <row r="1225" spans="6:33" ht="24" customHeight="1">
      <c r="F1225" s="414">
        <v>2.2000000000000002</v>
      </c>
      <c r="G1225" s="414" t="s">
        <v>619</v>
      </c>
      <c r="H1225" s="412" t="s">
        <v>245</v>
      </c>
      <c r="I1225" s="414">
        <f>(C13)</f>
        <v>534</v>
      </c>
      <c r="J1225" s="412" t="s">
        <v>619</v>
      </c>
      <c r="K1225" s="414">
        <f>(F1225*I1225)</f>
        <v>1174.8</v>
      </c>
      <c r="M1225" s="414">
        <v>1.1000000000000001</v>
      </c>
      <c r="N1225" s="414" t="s">
        <v>619</v>
      </c>
      <c r="O1225" s="412" t="s">
        <v>245</v>
      </c>
      <c r="P1225" s="414">
        <f>P1220</f>
        <v>534</v>
      </c>
      <c r="Q1225" s="413" t="s">
        <v>619</v>
      </c>
      <c r="R1225" s="414">
        <f t="shared" si="165"/>
        <v>587.4</v>
      </c>
      <c r="T1225" s="414">
        <f t="shared" si="166"/>
        <v>587.4</v>
      </c>
      <c r="W1225" s="413"/>
      <c r="Z1225" s="414" t="s">
        <v>358</v>
      </c>
      <c r="AA1225" s="412" t="s">
        <v>359</v>
      </c>
      <c r="AB1225" s="414">
        <f t="shared" si="164"/>
        <v>0</v>
      </c>
      <c r="AC1225" s="412" t="s">
        <v>358</v>
      </c>
      <c r="AD1225" s="414">
        <v>0</v>
      </c>
      <c r="AE1225" s="414" t="str">
        <f t="shared" si="163"/>
        <v>|</v>
      </c>
      <c r="AG1225" s="412" t="s">
        <v>1841</v>
      </c>
    </row>
    <row r="1226" spans="6:33" ht="24" customHeight="1">
      <c r="F1226" s="416">
        <v>22</v>
      </c>
      <c r="G1226" s="414" t="s">
        <v>1341</v>
      </c>
      <c r="H1226" s="412" t="s">
        <v>695</v>
      </c>
      <c r="I1226" s="414" t="e">
        <f>(C67)</f>
        <v>#REF!</v>
      </c>
      <c r="J1226" s="412" t="s">
        <v>694</v>
      </c>
      <c r="K1226" s="414" t="e">
        <f>(F1226*I1226)/1000</f>
        <v>#REF!</v>
      </c>
      <c r="N1226" s="414" t="s">
        <v>358</v>
      </c>
      <c r="O1226" s="412" t="s">
        <v>359</v>
      </c>
      <c r="Q1226" s="413" t="s">
        <v>358</v>
      </c>
      <c r="R1226" s="414">
        <v>4.5999999999999996</v>
      </c>
      <c r="S1226" s="416">
        <f>3.27-0.52</f>
        <v>2.75</v>
      </c>
      <c r="T1226" s="414">
        <v>2.74</v>
      </c>
      <c r="W1226" s="413"/>
      <c r="AB1226" s="414">
        <f t="shared" si="164"/>
        <v>0</v>
      </c>
      <c r="AC1226" s="412"/>
      <c r="AD1226" s="418" t="s">
        <v>1288</v>
      </c>
      <c r="AE1226" s="414" t="str">
        <f t="shared" si="163"/>
        <v>|</v>
      </c>
      <c r="AG1226" s="412" t="s">
        <v>1841</v>
      </c>
    </row>
    <row r="1227" spans="6:33" ht="24" customHeight="1">
      <c r="F1227" s="414">
        <v>1.6</v>
      </c>
      <c r="G1227" s="414" t="s">
        <v>619</v>
      </c>
      <c r="H1227" s="412" t="s">
        <v>1392</v>
      </c>
      <c r="I1227" s="414">
        <f>(C11)</f>
        <v>932</v>
      </c>
      <c r="J1227" s="412" t="s">
        <v>619</v>
      </c>
      <c r="K1227" s="414">
        <f>(F1227*I1227)</f>
        <v>1491.2</v>
      </c>
      <c r="Q1227" s="413"/>
      <c r="R1227" s="418" t="s">
        <v>1288</v>
      </c>
      <c r="W1227" s="413"/>
      <c r="AA1227" s="412" t="s">
        <v>351</v>
      </c>
      <c r="AC1227" s="412"/>
      <c r="AD1227" s="414" t="e">
        <f>SUM(AD1213:AD1225)</f>
        <v>#REF!</v>
      </c>
      <c r="AE1227" s="414" t="str">
        <f t="shared" si="163"/>
        <v>|::</v>
      </c>
      <c r="AG1227" s="412" t="s">
        <v>246</v>
      </c>
    </row>
    <row r="1228" spans="6:33" ht="24" customHeight="1">
      <c r="F1228" s="414">
        <v>0.5</v>
      </c>
      <c r="G1228" s="414" t="s">
        <v>619</v>
      </c>
      <c r="H1228" s="412" t="s">
        <v>1550</v>
      </c>
      <c r="I1228" s="414">
        <f>(C12)</f>
        <v>651</v>
      </c>
      <c r="J1228" s="412" t="s">
        <v>619</v>
      </c>
      <c r="K1228" s="414">
        <f>(F1228*I1228)</f>
        <v>325.5</v>
      </c>
      <c r="O1228" s="412" t="s">
        <v>351</v>
      </c>
      <c r="Q1228" s="413"/>
      <c r="R1228" s="414" t="e">
        <f>SUM(R1215:R1226)</f>
        <v>#REF!</v>
      </c>
      <c r="T1228" s="414" t="e">
        <f>SUM(T1215:T1227)</f>
        <v>#REF!</v>
      </c>
      <c r="W1228" s="413"/>
      <c r="AC1228" s="412"/>
      <c r="AD1228" s="418" t="s">
        <v>1288</v>
      </c>
      <c r="AE1228" s="414">
        <f t="shared" si="163"/>
        <v>0</v>
      </c>
    </row>
    <row r="1229" spans="6:33" ht="24" customHeight="1">
      <c r="F1229" s="414">
        <v>1.1000000000000001</v>
      </c>
      <c r="G1229" s="414" t="s">
        <v>619</v>
      </c>
      <c r="H1229" s="412" t="s">
        <v>245</v>
      </c>
      <c r="I1229" s="414">
        <f>(C13)</f>
        <v>534</v>
      </c>
      <c r="J1229" s="412" t="s">
        <v>619</v>
      </c>
      <c r="K1229" s="414">
        <f>(F1229*I1229)</f>
        <v>587.4</v>
      </c>
      <c r="Q1229" s="413"/>
      <c r="R1229" s="418" t="s">
        <v>1288</v>
      </c>
      <c r="W1229" s="413"/>
      <c r="AA1229" s="420" t="s">
        <v>447</v>
      </c>
      <c r="AC1229" s="412"/>
      <c r="AD1229" s="417" t="e">
        <f>(AD1227/10)</f>
        <v>#REF!</v>
      </c>
      <c r="AE1229" s="414">
        <f t="shared" si="163"/>
        <v>0</v>
      </c>
    </row>
    <row r="1230" spans="6:33" ht="24" customHeight="1">
      <c r="F1230" s="412" t="s">
        <v>193</v>
      </c>
      <c r="H1230" s="412" t="s">
        <v>1529</v>
      </c>
      <c r="I1230" s="412" t="s">
        <v>790</v>
      </c>
      <c r="K1230" s="412" t="s">
        <v>790</v>
      </c>
      <c r="O1230" s="415" t="s">
        <v>447</v>
      </c>
      <c r="Q1230" s="413"/>
      <c r="R1230" s="417" t="e">
        <f>(R1228/10)</f>
        <v>#REF!</v>
      </c>
      <c r="S1230" s="416" t="e">
        <f>R1230-975.62</f>
        <v>#REF!</v>
      </c>
      <c r="T1230" s="417" t="e">
        <f>(T1228/10)</f>
        <v>#REF!</v>
      </c>
      <c r="W1230" s="413"/>
      <c r="AC1230" s="412"/>
      <c r="AD1230" s="418" t="s">
        <v>1676</v>
      </c>
      <c r="AE1230" s="414" t="str">
        <f t="shared" si="163"/>
        <v>|</v>
      </c>
      <c r="AG1230" s="412" t="s">
        <v>1841</v>
      </c>
    </row>
    <row r="1231" spans="6:33" ht="24" customHeight="1">
      <c r="F1231" s="414">
        <v>1</v>
      </c>
      <c r="G1231" s="414" t="s">
        <v>358</v>
      </c>
      <c r="H1231" s="412" t="s">
        <v>1530</v>
      </c>
      <c r="I1231" s="414">
        <f>(C57)</f>
        <v>28.58</v>
      </c>
      <c r="J1231" s="412" t="s">
        <v>358</v>
      </c>
      <c r="K1231" s="414">
        <f>(F1231*I1231)</f>
        <v>28.58</v>
      </c>
      <c r="O1231" s="417" t="s">
        <v>2342</v>
      </c>
      <c r="P1231" s="417"/>
      <c r="Q1231" s="413"/>
      <c r="W1231" s="413"/>
      <c r="AE1231" s="414" t="str">
        <f t="shared" si="163"/>
        <v>|</v>
      </c>
      <c r="AG1231" s="412" t="s">
        <v>1841</v>
      </c>
    </row>
    <row r="1232" spans="6:33" ht="24" customHeight="1">
      <c r="F1232" s="414">
        <v>1</v>
      </c>
      <c r="G1232" s="414" t="s">
        <v>358</v>
      </c>
      <c r="H1232" s="412" t="s">
        <v>1531</v>
      </c>
      <c r="I1232" s="414">
        <f>(C58)</f>
        <v>11.9</v>
      </c>
      <c r="J1232" s="412" t="s">
        <v>358</v>
      </c>
      <c r="K1232" s="414">
        <f>(F1232*I1232)</f>
        <v>11.9</v>
      </c>
      <c r="Q1232" s="413"/>
      <c r="W1232" s="413"/>
      <c r="AE1232" s="414" t="str">
        <f t="shared" si="163"/>
        <v>|</v>
      </c>
      <c r="AG1232" s="412" t="s">
        <v>1841</v>
      </c>
    </row>
    <row r="1233" spans="6:33" ht="24" customHeight="1">
      <c r="F1233" s="414">
        <v>1</v>
      </c>
      <c r="G1233" s="414" t="s">
        <v>358</v>
      </c>
      <c r="H1233" s="412" t="s">
        <v>144</v>
      </c>
      <c r="I1233" s="414">
        <f>(C28)</f>
        <v>86.4</v>
      </c>
      <c r="J1233" s="412" t="s">
        <v>358</v>
      </c>
      <c r="K1233" s="414">
        <f>(F1233*I1233)</f>
        <v>86.4</v>
      </c>
      <c r="Q1233" s="413"/>
      <c r="W1233" s="413"/>
      <c r="AE1233" s="414" t="str">
        <f t="shared" si="163"/>
        <v>|</v>
      </c>
      <c r="AG1233" s="412" t="s">
        <v>1841</v>
      </c>
    </row>
    <row r="1234" spans="6:33" ht="24" customHeight="1">
      <c r="F1234" s="414">
        <v>1.1000000000000001</v>
      </c>
      <c r="G1234" s="414" t="s">
        <v>619</v>
      </c>
      <c r="H1234" s="412" t="s">
        <v>689</v>
      </c>
      <c r="I1234" s="414">
        <f>(C29)</f>
        <v>769</v>
      </c>
      <c r="J1234" s="412" t="s">
        <v>619</v>
      </c>
      <c r="K1234" s="414">
        <f>(F1234*I1234)</f>
        <v>845.9</v>
      </c>
      <c r="M1234" s="414">
        <v>10</v>
      </c>
      <c r="N1234" s="414" t="s">
        <v>488</v>
      </c>
      <c r="O1234" s="412" t="s">
        <v>2994</v>
      </c>
      <c r="P1234" s="414">
        <v>658</v>
      </c>
      <c r="Q1234" s="413" t="s">
        <v>488</v>
      </c>
      <c r="R1234" s="414">
        <f>M1234*P1234</f>
        <v>6580</v>
      </c>
      <c r="U1234" s="417" t="s">
        <v>2349</v>
      </c>
      <c r="W1234" s="413"/>
      <c r="AE1234" s="414" t="str">
        <f t="shared" si="163"/>
        <v>|</v>
      </c>
      <c r="AG1234" s="412" t="s">
        <v>1841</v>
      </c>
    </row>
    <row r="1235" spans="6:33" ht="24" customHeight="1">
      <c r="F1235" s="414">
        <v>2.2000000000000002</v>
      </c>
      <c r="G1235" s="414" t="s">
        <v>619</v>
      </c>
      <c r="H1235" s="412" t="s">
        <v>690</v>
      </c>
      <c r="I1235" s="414">
        <f>(C13)</f>
        <v>534</v>
      </c>
      <c r="J1235" s="412" t="s">
        <v>619</v>
      </c>
      <c r="K1235" s="414">
        <f>(F1235*I1235)</f>
        <v>1174.8</v>
      </c>
      <c r="M1235" s="414">
        <v>0.21</v>
      </c>
      <c r="N1235" s="414" t="s">
        <v>702</v>
      </c>
      <c r="O1235" s="412" t="s">
        <v>1527</v>
      </c>
      <c r="P1235" s="414" t="e">
        <f>P1258</f>
        <v>#REF!</v>
      </c>
      <c r="Q1235" s="413" t="s">
        <v>702</v>
      </c>
      <c r="R1235" s="414" t="e">
        <f>(M1235*P1235)</f>
        <v>#REF!</v>
      </c>
      <c r="W1235" s="413"/>
      <c r="AE1235" s="414" t="str">
        <f t="shared" si="163"/>
        <v>|</v>
      </c>
      <c r="AG1235" s="412" t="s">
        <v>1841</v>
      </c>
    </row>
    <row r="1236" spans="6:33" ht="24" customHeight="1">
      <c r="G1236" s="414" t="s">
        <v>358</v>
      </c>
      <c r="H1236" s="412" t="s">
        <v>359</v>
      </c>
      <c r="J1236" s="412" t="s">
        <v>358</v>
      </c>
      <c r="K1236" s="414">
        <v>0</v>
      </c>
      <c r="M1236" s="414">
        <v>1.1000000000000001</v>
      </c>
      <c r="N1236" s="414" t="s">
        <v>619</v>
      </c>
      <c r="O1236" s="412" t="s">
        <v>1637</v>
      </c>
      <c r="P1236" s="414">
        <f t="shared" ref="P1236:P1244" si="167">P1259</f>
        <v>999</v>
      </c>
      <c r="Q1236" s="413" t="s">
        <v>619</v>
      </c>
      <c r="R1236" s="414">
        <f>(M1236*P1236)</f>
        <v>1098.9000000000001</v>
      </c>
      <c r="W1236" s="413"/>
      <c r="AE1236" s="414" t="str">
        <f t="shared" si="163"/>
        <v>|</v>
      </c>
      <c r="AG1236" s="412" t="s">
        <v>1841</v>
      </c>
    </row>
    <row r="1237" spans="6:33" ht="24" customHeight="1">
      <c r="K1237" s="418" t="s">
        <v>1288</v>
      </c>
      <c r="M1237" s="414">
        <v>1.1000000000000001</v>
      </c>
      <c r="N1237" s="414" t="s">
        <v>619</v>
      </c>
      <c r="O1237" s="412" t="s">
        <v>1392</v>
      </c>
      <c r="P1237" s="414">
        <f t="shared" si="167"/>
        <v>932</v>
      </c>
      <c r="Q1237" s="413" t="s">
        <v>619</v>
      </c>
      <c r="R1237" s="414">
        <f>(M1237*P1237)</f>
        <v>1025.2</v>
      </c>
      <c r="S1237" s="416">
        <v>10</v>
      </c>
      <c r="T1237" s="414" t="s">
        <v>488</v>
      </c>
      <c r="U1237" s="412" t="s">
        <v>3255</v>
      </c>
      <c r="V1237" s="423">
        <v>658</v>
      </c>
      <c r="W1237" s="413" t="s">
        <v>488</v>
      </c>
      <c r="X1237" s="414">
        <f>S1237*V1237</f>
        <v>6580</v>
      </c>
      <c r="Y1237" s="427">
        <v>29.5</v>
      </c>
      <c r="Z1237" s="414" t="s">
        <v>1833</v>
      </c>
      <c r="AA1237" s="415" t="s">
        <v>2303</v>
      </c>
      <c r="AE1237" s="414" t="str">
        <f t="shared" si="163"/>
        <v>|</v>
      </c>
      <c r="AG1237" s="412" t="s">
        <v>1841</v>
      </c>
    </row>
    <row r="1238" spans="6:33" ht="24" customHeight="1">
      <c r="H1238" s="412" t="s">
        <v>351</v>
      </c>
      <c r="K1238" s="414" t="e">
        <f>SUM(K1218:K1236)</f>
        <v>#REF!</v>
      </c>
      <c r="M1238" s="414">
        <v>2.2000000000000002</v>
      </c>
      <c r="N1238" s="414" t="s">
        <v>619</v>
      </c>
      <c r="O1238" s="412" t="s">
        <v>1550</v>
      </c>
      <c r="P1238" s="414">
        <f t="shared" si="167"/>
        <v>651</v>
      </c>
      <c r="Q1238" s="413" t="s">
        <v>619</v>
      </c>
      <c r="R1238" s="414">
        <f>(M1238*P1238)</f>
        <v>1432.2</v>
      </c>
      <c r="S1238" s="416">
        <v>0.21</v>
      </c>
      <c r="T1238" s="414" t="s">
        <v>702</v>
      </c>
      <c r="U1238" s="412" t="s">
        <v>1527</v>
      </c>
      <c r="V1238" s="414" t="e">
        <f t="shared" ref="V1238:V1247" si="168">P1258</f>
        <v>#REF!</v>
      </c>
      <c r="W1238" s="413" t="s">
        <v>702</v>
      </c>
      <c r="X1238" s="414" t="e">
        <f>(S1238*V1238)</f>
        <v>#REF!</v>
      </c>
      <c r="AA1238" s="412"/>
      <c r="AE1238" s="414" t="str">
        <f t="shared" si="163"/>
        <v>|</v>
      </c>
      <c r="AG1238" s="412" t="s">
        <v>1841</v>
      </c>
    </row>
    <row r="1239" spans="6:33" ht="24" customHeight="1">
      <c r="K1239" s="418" t="s">
        <v>1288</v>
      </c>
      <c r="M1239" s="414">
        <v>2.2000000000000002</v>
      </c>
      <c r="N1239" s="414" t="s">
        <v>619</v>
      </c>
      <c r="O1239" s="412" t="s">
        <v>245</v>
      </c>
      <c r="P1239" s="414">
        <f t="shared" si="167"/>
        <v>534</v>
      </c>
      <c r="Q1239" s="413" t="s">
        <v>619</v>
      </c>
      <c r="R1239" s="414">
        <f>(M1239*P1239)</f>
        <v>1174.8</v>
      </c>
      <c r="S1239" s="416">
        <v>1.1000000000000001</v>
      </c>
      <c r="T1239" s="414" t="s">
        <v>619</v>
      </c>
      <c r="U1239" s="412" t="s">
        <v>1637</v>
      </c>
      <c r="V1239" s="414">
        <f t="shared" si="168"/>
        <v>999</v>
      </c>
      <c r="W1239" s="413" t="s">
        <v>619</v>
      </c>
      <c r="X1239" s="414">
        <f>(S1239*V1239)</f>
        <v>1098.9000000000001</v>
      </c>
      <c r="AA1239" s="412"/>
      <c r="AE1239" s="414" t="str">
        <f t="shared" si="163"/>
        <v>|</v>
      </c>
      <c r="AG1239" s="412" t="s">
        <v>1841</v>
      </c>
    </row>
    <row r="1240" spans="6:33" ht="24" hidden="1" customHeight="1">
      <c r="F1240" s="412" t="s">
        <v>790</v>
      </c>
      <c r="M1240" s="416">
        <v>20</v>
      </c>
      <c r="N1240" s="414" t="s">
        <v>1341</v>
      </c>
      <c r="O1240" s="412" t="s">
        <v>695</v>
      </c>
      <c r="P1240" s="414" t="e">
        <f t="shared" si="167"/>
        <v>#REF!</v>
      </c>
      <c r="Q1240" s="413" t="s">
        <v>694</v>
      </c>
      <c r="R1240" s="414" t="e">
        <f>(M1240*P1240)/1000</f>
        <v>#REF!</v>
      </c>
      <c r="S1240" s="416">
        <v>1.1000000000000001</v>
      </c>
      <c r="T1240" s="414" t="s">
        <v>619</v>
      </c>
      <c r="U1240" s="412" t="s">
        <v>1392</v>
      </c>
      <c r="V1240" s="414">
        <f t="shared" si="168"/>
        <v>932</v>
      </c>
      <c r="W1240" s="413" t="s">
        <v>619</v>
      </c>
      <c r="X1240" s="414">
        <f>(S1240*V1240)</f>
        <v>1025.2</v>
      </c>
      <c r="AA1240" s="418" t="s">
        <v>1288</v>
      </c>
      <c r="AB1240" s="418" t="s">
        <v>1288</v>
      </c>
      <c r="AC1240" s="412"/>
      <c r="AE1240" s="414" t="str">
        <f t="shared" si="163"/>
        <v>|</v>
      </c>
      <c r="AG1240" s="412" t="s">
        <v>1841</v>
      </c>
    </row>
    <row r="1241" spans="6:33" ht="24" customHeight="1">
      <c r="H1241" s="420" t="s">
        <v>447</v>
      </c>
      <c r="K1241" s="417" t="e">
        <f>(K1238/10)</f>
        <v>#REF!</v>
      </c>
      <c r="M1241" s="416">
        <v>2</v>
      </c>
      <c r="N1241" s="414" t="s">
        <v>1341</v>
      </c>
      <c r="O1241" s="412" t="s">
        <v>1241</v>
      </c>
      <c r="P1241" s="414">
        <f t="shared" si="167"/>
        <v>36.1</v>
      </c>
      <c r="Q1241" s="413" t="s">
        <v>1341</v>
      </c>
      <c r="R1241" s="414">
        <f>(M1241*P1241)</f>
        <v>72.2</v>
      </c>
      <c r="S1241" s="416">
        <v>2.2000000000000002</v>
      </c>
      <c r="T1241" s="414" t="s">
        <v>619</v>
      </c>
      <c r="U1241" s="412" t="s">
        <v>1550</v>
      </c>
      <c r="V1241" s="414">
        <f t="shared" si="168"/>
        <v>651</v>
      </c>
      <c r="W1241" s="413" t="s">
        <v>619</v>
      </c>
      <c r="X1241" s="414">
        <f>(S1241*V1241)</f>
        <v>1432.2</v>
      </c>
      <c r="Y1241" s="414">
        <v>10</v>
      </c>
      <c r="Z1241" s="414" t="s">
        <v>488</v>
      </c>
      <c r="AA1241" s="426" t="s">
        <v>2995</v>
      </c>
      <c r="AB1241" s="414">
        <v>793</v>
      </c>
      <c r="AC1241" s="412" t="s">
        <v>488</v>
      </c>
      <c r="AD1241" s="414">
        <f>(Y1241*AB1241)</f>
        <v>7930</v>
      </c>
      <c r="AE1241" s="414" t="str">
        <f t="shared" si="163"/>
        <v>|</v>
      </c>
      <c r="AG1241" s="412" t="s">
        <v>1841</v>
      </c>
    </row>
    <row r="1242" spans="6:33" ht="24" hidden="1" customHeight="1">
      <c r="F1242" s="412" t="s">
        <v>790</v>
      </c>
      <c r="M1242" s="414">
        <v>1.6</v>
      </c>
      <c r="N1242" s="414" t="s">
        <v>619</v>
      </c>
      <c r="O1242" s="412" t="s">
        <v>1392</v>
      </c>
      <c r="P1242" s="414">
        <f t="shared" si="167"/>
        <v>932</v>
      </c>
      <c r="Q1242" s="413" t="s">
        <v>619</v>
      </c>
      <c r="R1242" s="414">
        <f>(M1242*P1242)</f>
        <v>1491.2</v>
      </c>
      <c r="S1242" s="416">
        <v>2.2000000000000002</v>
      </c>
      <c r="T1242" s="414" t="s">
        <v>619</v>
      </c>
      <c r="U1242" s="412" t="s">
        <v>245</v>
      </c>
      <c r="V1242" s="414">
        <f t="shared" si="168"/>
        <v>534</v>
      </c>
      <c r="W1242" s="413" t="s">
        <v>619</v>
      </c>
      <c r="X1242" s="414">
        <f>(S1242*V1242)</f>
        <v>1174.8</v>
      </c>
      <c r="Y1242" s="414">
        <v>0.21</v>
      </c>
      <c r="Z1242" s="414" t="s">
        <v>702</v>
      </c>
      <c r="AA1242" s="412" t="s">
        <v>1527</v>
      </c>
      <c r="AB1242" s="414" t="e">
        <f>V1238</f>
        <v>#REF!</v>
      </c>
      <c r="AC1242" s="412" t="s">
        <v>702</v>
      </c>
      <c r="AD1242" s="414" t="e">
        <f>(Y1242*AB1242)</f>
        <v>#REF!</v>
      </c>
      <c r="AE1242" s="414" t="str">
        <f t="shared" si="163"/>
        <v>|</v>
      </c>
      <c r="AG1242" s="412" t="s">
        <v>1841</v>
      </c>
    </row>
    <row r="1243" spans="6:33" ht="24" customHeight="1">
      <c r="K1243" s="418" t="s">
        <v>1676</v>
      </c>
      <c r="M1243" s="414">
        <v>0.5</v>
      </c>
      <c r="N1243" s="414" t="s">
        <v>619</v>
      </c>
      <c r="O1243" s="412" t="s">
        <v>1550</v>
      </c>
      <c r="P1243" s="414">
        <f t="shared" si="167"/>
        <v>651</v>
      </c>
      <c r="Q1243" s="413" t="s">
        <v>619</v>
      </c>
      <c r="R1243" s="414">
        <f>(M1243*P1243)</f>
        <v>325.5</v>
      </c>
      <c r="S1243" s="416">
        <v>20</v>
      </c>
      <c r="T1243" s="414" t="s">
        <v>1341</v>
      </c>
      <c r="U1243" s="412" t="s">
        <v>695</v>
      </c>
      <c r="V1243" s="414" t="e">
        <f t="shared" si="168"/>
        <v>#REF!</v>
      </c>
      <c r="W1243" s="413" t="s">
        <v>694</v>
      </c>
      <c r="X1243" s="414" t="e">
        <f>(S1243*V1243)/1000</f>
        <v>#REF!</v>
      </c>
      <c r="AA1243" s="412" t="s">
        <v>1528</v>
      </c>
      <c r="AB1243" s="412" t="s">
        <v>790</v>
      </c>
      <c r="AC1243" s="412"/>
      <c r="AD1243" s="412" t="s">
        <v>790</v>
      </c>
      <c r="AE1243" s="414" t="str">
        <f t="shared" si="163"/>
        <v>|</v>
      </c>
      <c r="AG1243" s="412" t="s">
        <v>1841</v>
      </c>
    </row>
    <row r="1244" spans="6:33" ht="24" customHeight="1">
      <c r="F1244" s="427">
        <v>29.5</v>
      </c>
      <c r="G1244" s="414" t="s">
        <v>1833</v>
      </c>
      <c r="H1244" s="412" t="s">
        <v>1470</v>
      </c>
      <c r="M1244" s="414">
        <v>1.1000000000000001</v>
      </c>
      <c r="N1244" s="414" t="s">
        <v>619</v>
      </c>
      <c r="O1244" s="412" t="s">
        <v>245</v>
      </c>
      <c r="P1244" s="414">
        <f t="shared" si="167"/>
        <v>534</v>
      </c>
      <c r="Q1244" s="413" t="s">
        <v>619</v>
      </c>
      <c r="R1244" s="414">
        <f>(M1244*P1244)</f>
        <v>587.4</v>
      </c>
      <c r="S1244" s="416">
        <v>2</v>
      </c>
      <c r="T1244" s="414" t="s">
        <v>1341</v>
      </c>
      <c r="U1244" s="412" t="s">
        <v>1241</v>
      </c>
      <c r="V1244" s="414">
        <f t="shared" si="168"/>
        <v>36.1</v>
      </c>
      <c r="W1244" s="413" t="s">
        <v>1341</v>
      </c>
      <c r="X1244" s="414">
        <f>(S1244*V1244)</f>
        <v>72.2</v>
      </c>
      <c r="Y1244" s="414">
        <v>1.1000000000000001</v>
      </c>
      <c r="Z1244" s="414" t="s">
        <v>619</v>
      </c>
      <c r="AA1244" s="412" t="s">
        <v>1637</v>
      </c>
      <c r="AB1244" s="414">
        <f>V1239</f>
        <v>999</v>
      </c>
      <c r="AC1244" s="412" t="s">
        <v>619</v>
      </c>
      <c r="AD1244" s="414">
        <f>(Y1244*AB1244)</f>
        <v>1098.9000000000001</v>
      </c>
      <c r="AE1244" s="414" t="str">
        <f t="shared" si="163"/>
        <v>|</v>
      </c>
      <c r="AG1244" s="412" t="s">
        <v>1841</v>
      </c>
    </row>
    <row r="1245" spans="6:33" ht="24" customHeight="1">
      <c r="H1245" s="412" t="s">
        <v>691</v>
      </c>
      <c r="N1245" s="414" t="s">
        <v>358</v>
      </c>
      <c r="O1245" s="412" t="s">
        <v>359</v>
      </c>
      <c r="Q1245" s="413" t="s">
        <v>358</v>
      </c>
      <c r="R1245" s="414">
        <v>0</v>
      </c>
      <c r="S1245" s="416">
        <v>1.6</v>
      </c>
      <c r="T1245" s="414" t="s">
        <v>619</v>
      </c>
      <c r="U1245" s="412" t="s">
        <v>1392</v>
      </c>
      <c r="V1245" s="414">
        <f t="shared" si="168"/>
        <v>932</v>
      </c>
      <c r="W1245" s="413" t="s">
        <v>619</v>
      </c>
      <c r="X1245" s="414">
        <f>(S1245*V1245)</f>
        <v>1491.2</v>
      </c>
      <c r="Y1245" s="414">
        <v>1.1000000000000001</v>
      </c>
      <c r="Z1245" s="414" t="s">
        <v>619</v>
      </c>
      <c r="AA1245" s="412" t="s">
        <v>1392</v>
      </c>
      <c r="AB1245" s="414">
        <f>V1240</f>
        <v>932</v>
      </c>
      <c r="AC1245" s="412" t="s">
        <v>619</v>
      </c>
      <c r="AD1245" s="414">
        <f>(Y1245*AB1245)</f>
        <v>1025.2</v>
      </c>
      <c r="AE1245" s="414" t="str">
        <f t="shared" si="163"/>
        <v>|</v>
      </c>
      <c r="AG1245" s="412" t="s">
        <v>1841</v>
      </c>
    </row>
    <row r="1246" spans="6:33" ht="24" customHeight="1">
      <c r="H1246" s="412" t="s">
        <v>1576</v>
      </c>
      <c r="Q1246" s="413"/>
      <c r="R1246" s="418"/>
      <c r="S1246" s="416">
        <v>0.5</v>
      </c>
      <c r="T1246" s="414" t="s">
        <v>619</v>
      </c>
      <c r="U1246" s="412" t="s">
        <v>1550</v>
      </c>
      <c r="V1246" s="414">
        <f t="shared" si="168"/>
        <v>651</v>
      </c>
      <c r="W1246" s="413" t="s">
        <v>619</v>
      </c>
      <c r="X1246" s="414">
        <f>(S1246*V1246)</f>
        <v>325.5</v>
      </c>
      <c r="Y1246" s="414">
        <v>2.2000000000000002</v>
      </c>
      <c r="Z1246" s="414" t="s">
        <v>619</v>
      </c>
      <c r="AA1246" s="412" t="s">
        <v>1550</v>
      </c>
      <c r="AB1246" s="414">
        <f>V1241</f>
        <v>651</v>
      </c>
      <c r="AC1246" s="412" t="s">
        <v>619</v>
      </c>
      <c r="AD1246" s="414">
        <f>(Y1246*AB1246)</f>
        <v>1432.2</v>
      </c>
      <c r="AE1246" s="414" t="str">
        <f t="shared" si="163"/>
        <v>|</v>
      </c>
      <c r="AG1246" s="412" t="s">
        <v>1841</v>
      </c>
    </row>
    <row r="1247" spans="6:33" ht="24" customHeight="1">
      <c r="H1247" s="418" t="s">
        <v>1288</v>
      </c>
      <c r="I1247" s="418" t="s">
        <v>1288</v>
      </c>
      <c r="O1247" s="412" t="s">
        <v>351</v>
      </c>
      <c r="Q1247" s="413"/>
      <c r="R1247" s="414" t="e">
        <f>SUM(R1234:R1245)</f>
        <v>#REF!</v>
      </c>
      <c r="S1247" s="416">
        <v>1.1000000000000001</v>
      </c>
      <c r="T1247" s="414" t="s">
        <v>619</v>
      </c>
      <c r="U1247" s="412" t="s">
        <v>245</v>
      </c>
      <c r="V1247" s="414">
        <f t="shared" si="168"/>
        <v>534</v>
      </c>
      <c r="W1247" s="413" t="s">
        <v>619</v>
      </c>
      <c r="X1247" s="414">
        <f>(S1247*V1247)</f>
        <v>587.4</v>
      </c>
      <c r="Y1247" s="414">
        <v>2.2000000000000002</v>
      </c>
      <c r="Z1247" s="414" t="s">
        <v>619</v>
      </c>
      <c r="AA1247" s="412" t="s">
        <v>245</v>
      </c>
      <c r="AB1247" s="414">
        <f>V1242</f>
        <v>534</v>
      </c>
      <c r="AC1247" s="412" t="s">
        <v>619</v>
      </c>
      <c r="AD1247" s="414">
        <f>(Y1247*AB1247)</f>
        <v>1174.8</v>
      </c>
      <c r="AE1247" s="414" t="str">
        <f t="shared" si="163"/>
        <v>|</v>
      </c>
      <c r="AG1247" s="412" t="s">
        <v>1841</v>
      </c>
    </row>
    <row r="1248" spans="6:33" ht="24" customHeight="1">
      <c r="F1248" s="414">
        <v>10</v>
      </c>
      <c r="G1248" s="414" t="s">
        <v>488</v>
      </c>
      <c r="H1248" s="412" t="s">
        <v>1577</v>
      </c>
      <c r="I1248" s="414">
        <f>C601</f>
        <v>377.86</v>
      </c>
      <c r="J1248" s="412" t="s">
        <v>488</v>
      </c>
      <c r="K1248" s="414">
        <f>(F1248*I1248)</f>
        <v>3778.6</v>
      </c>
      <c r="Q1248" s="413"/>
      <c r="R1248" s="418" t="s">
        <v>1288</v>
      </c>
      <c r="T1248" s="414" t="s">
        <v>358</v>
      </c>
      <c r="U1248" s="412" t="s">
        <v>359</v>
      </c>
      <c r="W1248" s="413" t="s">
        <v>358</v>
      </c>
      <c r="X1248" s="414">
        <v>0.18</v>
      </c>
      <c r="Y1248" s="416">
        <v>20</v>
      </c>
      <c r="Z1248" s="414" t="s">
        <v>1341</v>
      </c>
      <c r="AA1248" s="412" t="s">
        <v>695</v>
      </c>
      <c r="AB1248" s="414" t="e">
        <f>V1243</f>
        <v>#REF!</v>
      </c>
      <c r="AC1248" s="412" t="s">
        <v>694</v>
      </c>
      <c r="AD1248" s="414" t="e">
        <f>(Y1248*AB1248)/1000</f>
        <v>#REF!</v>
      </c>
      <c r="AE1248" s="414" t="str">
        <f t="shared" si="163"/>
        <v>|</v>
      </c>
      <c r="AG1248" s="412" t="s">
        <v>1841</v>
      </c>
    </row>
    <row r="1249" spans="6:33" ht="24" customHeight="1">
      <c r="F1249" s="414">
        <v>0.21</v>
      </c>
      <c r="G1249" s="414" t="s">
        <v>702</v>
      </c>
      <c r="H1249" s="412" t="s">
        <v>1527</v>
      </c>
      <c r="I1249" s="414" t="e">
        <f>(K32)</f>
        <v>#REF!</v>
      </c>
      <c r="J1249" s="412" t="s">
        <v>702</v>
      </c>
      <c r="K1249" s="414" t="e">
        <f>(F1249*I1249)</f>
        <v>#REF!</v>
      </c>
      <c r="O1249" s="415" t="s">
        <v>447</v>
      </c>
      <c r="Q1249" s="413"/>
      <c r="R1249" s="417" t="e">
        <f>(R1247/10)</f>
        <v>#REF!</v>
      </c>
      <c r="W1249" s="413"/>
      <c r="X1249" s="418" t="s">
        <v>1288</v>
      </c>
      <c r="Y1249" s="416">
        <v>2</v>
      </c>
      <c r="Z1249" s="414" t="s">
        <v>1341</v>
      </c>
      <c r="AA1249" s="412" t="s">
        <v>1691</v>
      </c>
      <c r="AB1249" s="414">
        <v>36.1</v>
      </c>
      <c r="AC1249" s="412" t="s">
        <v>1341</v>
      </c>
      <c r="AD1249" s="414">
        <f>(Y1249*AB1249)</f>
        <v>72.2</v>
      </c>
      <c r="AE1249" s="414">
        <f t="shared" si="163"/>
        <v>0</v>
      </c>
    </row>
    <row r="1250" spans="6:33" ht="24" customHeight="1">
      <c r="H1250" s="412" t="s">
        <v>1528</v>
      </c>
      <c r="I1250" s="412" t="s">
        <v>790</v>
      </c>
      <c r="K1250" s="412" t="s">
        <v>790</v>
      </c>
      <c r="Q1250" s="413"/>
      <c r="R1250" s="418"/>
      <c r="U1250" s="412" t="s">
        <v>351</v>
      </c>
      <c r="W1250" s="413"/>
      <c r="X1250" s="414" t="e">
        <f>SUM(X1237:X1248)</f>
        <v>#REF!</v>
      </c>
      <c r="Y1250" s="414">
        <v>1.6</v>
      </c>
      <c r="Z1250" s="414" t="s">
        <v>619</v>
      </c>
      <c r="AA1250" s="412" t="s">
        <v>1392</v>
      </c>
      <c r="AB1250" s="414">
        <f>V1245</f>
        <v>932</v>
      </c>
      <c r="AC1250" s="412" t="s">
        <v>619</v>
      </c>
      <c r="AD1250" s="414">
        <f>(Y1250*AB1250)</f>
        <v>1491.2</v>
      </c>
      <c r="AE1250" s="414" t="str">
        <f t="shared" si="163"/>
        <v>|</v>
      </c>
      <c r="AG1250" s="412" t="s">
        <v>1841</v>
      </c>
    </row>
    <row r="1251" spans="6:33" ht="24" customHeight="1">
      <c r="F1251" s="414">
        <v>1.1000000000000001</v>
      </c>
      <c r="G1251" s="414" t="s">
        <v>619</v>
      </c>
      <c r="H1251" s="412" t="s">
        <v>1637</v>
      </c>
      <c r="I1251" s="414">
        <f>(C10)</f>
        <v>999</v>
      </c>
      <c r="J1251" s="412" t="s">
        <v>619</v>
      </c>
      <c r="K1251" s="414">
        <f>(F1251*I1251)</f>
        <v>1098.9000000000001</v>
      </c>
      <c r="Q1251" s="413"/>
      <c r="R1251" s="418"/>
      <c r="W1251" s="413"/>
      <c r="X1251" s="418" t="s">
        <v>1288</v>
      </c>
      <c r="Y1251" s="414">
        <v>0.5</v>
      </c>
      <c r="Z1251" s="414" t="s">
        <v>619</v>
      </c>
      <c r="AA1251" s="412" t="s">
        <v>1550</v>
      </c>
      <c r="AB1251" s="414">
        <f>V1246</f>
        <v>651</v>
      </c>
      <c r="AC1251" s="412" t="s">
        <v>619</v>
      </c>
      <c r="AD1251" s="414">
        <f>(Y1251*AB1251)</f>
        <v>325.5</v>
      </c>
      <c r="AE1251" s="414">
        <f t="shared" si="163"/>
        <v>0</v>
      </c>
    </row>
    <row r="1252" spans="6:33" ht="24" customHeight="1">
      <c r="F1252" s="414">
        <v>1.1000000000000001</v>
      </c>
      <c r="G1252" s="414" t="s">
        <v>619</v>
      </c>
      <c r="H1252" s="412" t="s">
        <v>1392</v>
      </c>
      <c r="I1252" s="414">
        <f>(C11)</f>
        <v>932</v>
      </c>
      <c r="J1252" s="412" t="s">
        <v>619</v>
      </c>
      <c r="K1252" s="414">
        <f>(F1252*I1252)</f>
        <v>1025.2</v>
      </c>
      <c r="Q1252" s="413"/>
      <c r="R1252" s="418"/>
      <c r="U1252" s="415" t="s">
        <v>447</v>
      </c>
      <c r="W1252" s="413"/>
      <c r="X1252" s="417" t="e">
        <f>(X1250/10)</f>
        <v>#REF!</v>
      </c>
      <c r="Y1252" s="414">
        <v>1.1000000000000001</v>
      </c>
      <c r="Z1252" s="414" t="s">
        <v>619</v>
      </c>
      <c r="AA1252" s="412" t="s">
        <v>245</v>
      </c>
      <c r="AB1252" s="414">
        <f>V1247</f>
        <v>534</v>
      </c>
      <c r="AC1252" s="412" t="s">
        <v>619</v>
      </c>
      <c r="AD1252" s="414">
        <f>(Y1252*AB1252)</f>
        <v>587.4</v>
      </c>
      <c r="AE1252" s="414" t="str">
        <f t="shared" si="163"/>
        <v>|</v>
      </c>
      <c r="AG1252" s="412" t="s">
        <v>1841</v>
      </c>
    </row>
    <row r="1253" spans="6:33" ht="24" customHeight="1">
      <c r="F1253" s="414">
        <v>2.2000000000000002</v>
      </c>
      <c r="G1253" s="414" t="s">
        <v>619</v>
      </c>
      <c r="H1253" s="412" t="s">
        <v>1550</v>
      </c>
      <c r="I1253" s="414">
        <f>(C12)</f>
        <v>651</v>
      </c>
      <c r="J1253" s="412" t="s">
        <v>619</v>
      </c>
      <c r="K1253" s="414">
        <f>(F1253*I1253)</f>
        <v>1432.2</v>
      </c>
      <c r="Q1253" s="413"/>
      <c r="R1253" s="418"/>
      <c r="W1253" s="413"/>
      <c r="Z1253" s="414" t="s">
        <v>358</v>
      </c>
      <c r="AA1253" s="412" t="s">
        <v>359</v>
      </c>
      <c r="AB1253" s="414">
        <f>V1248</f>
        <v>0</v>
      </c>
      <c r="AC1253" s="412" t="s">
        <v>358</v>
      </c>
      <c r="AD1253" s="414">
        <v>0</v>
      </c>
      <c r="AE1253" s="414" t="str">
        <f t="shared" si="163"/>
        <v>|</v>
      </c>
      <c r="AG1253" s="412" t="s">
        <v>1841</v>
      </c>
    </row>
    <row r="1254" spans="6:33" ht="24" customHeight="1">
      <c r="F1254" s="414">
        <v>2.2000000000000002</v>
      </c>
      <c r="G1254" s="414" t="s">
        <v>619</v>
      </c>
      <c r="H1254" s="412" t="s">
        <v>245</v>
      </c>
      <c r="I1254" s="414">
        <f>(C13)</f>
        <v>534</v>
      </c>
      <c r="J1254" s="412" t="s">
        <v>619</v>
      </c>
      <c r="K1254" s="414">
        <f>(F1254*I1254)</f>
        <v>1174.8</v>
      </c>
      <c r="O1254" s="417" t="s">
        <v>2181</v>
      </c>
      <c r="Q1254" s="413" t="s">
        <v>2328</v>
      </c>
      <c r="W1254" s="413"/>
      <c r="AC1254" s="412"/>
      <c r="AD1254" s="418" t="s">
        <v>1288</v>
      </c>
      <c r="AE1254" s="414" t="str">
        <f t="shared" si="163"/>
        <v>|</v>
      </c>
      <c r="AG1254" s="412" t="s">
        <v>1841</v>
      </c>
    </row>
    <row r="1255" spans="6:33" ht="24" customHeight="1">
      <c r="F1255" s="416">
        <v>20</v>
      </c>
      <c r="G1255" s="414" t="s">
        <v>1341</v>
      </c>
      <c r="H1255" s="412" t="s">
        <v>695</v>
      </c>
      <c r="I1255" s="414" t="e">
        <f>(C67)</f>
        <v>#REF!</v>
      </c>
      <c r="J1255" s="412" t="s">
        <v>694</v>
      </c>
      <c r="K1255" s="414" t="e">
        <f>(F1255*I1255)/1000</f>
        <v>#REF!</v>
      </c>
      <c r="Q1255" s="413"/>
      <c r="W1255" s="413"/>
      <c r="AA1255" s="412" t="s">
        <v>351</v>
      </c>
      <c r="AC1255" s="412"/>
      <c r="AD1255" s="414" t="e">
        <f>SUM(AD1241:AD1253)</f>
        <v>#REF!</v>
      </c>
      <c r="AE1255" s="414" t="str">
        <f t="shared" si="163"/>
        <v>|</v>
      </c>
      <c r="AG1255" s="412" t="s">
        <v>1841</v>
      </c>
    </row>
    <row r="1256" spans="6:33" ht="24" customHeight="1">
      <c r="F1256" s="416">
        <v>2</v>
      </c>
      <c r="G1256" s="414" t="s">
        <v>1341</v>
      </c>
      <c r="H1256" s="412" t="s">
        <v>2565</v>
      </c>
      <c r="I1256" s="414">
        <v>36.1</v>
      </c>
      <c r="J1256" s="412" t="s">
        <v>1341</v>
      </c>
      <c r="K1256" s="414">
        <f>(F1256*I1256)</f>
        <v>72.2</v>
      </c>
      <c r="Q1256" s="413"/>
      <c r="W1256" s="413"/>
      <c r="AC1256" s="412"/>
      <c r="AD1256" s="418" t="s">
        <v>1288</v>
      </c>
      <c r="AE1256" s="414" t="str">
        <f t="shared" si="163"/>
        <v>|</v>
      </c>
      <c r="AG1256" s="412" t="s">
        <v>1841</v>
      </c>
    </row>
    <row r="1257" spans="6:33" ht="24" customHeight="1">
      <c r="F1257" s="414">
        <v>1.6</v>
      </c>
      <c r="G1257" s="414" t="s">
        <v>619</v>
      </c>
      <c r="H1257" s="412" t="s">
        <v>1392</v>
      </c>
      <c r="I1257" s="414">
        <f>(C11)</f>
        <v>932</v>
      </c>
      <c r="J1257" s="412" t="s">
        <v>619</v>
      </c>
      <c r="K1257" s="414">
        <f>(F1257*I1257)</f>
        <v>1491.2</v>
      </c>
      <c r="M1257" s="414">
        <v>10</v>
      </c>
      <c r="N1257" s="414" t="s">
        <v>488</v>
      </c>
      <c r="O1257" s="412" t="s">
        <v>4324</v>
      </c>
      <c r="P1257" s="423">
        <v>421.3</v>
      </c>
      <c r="Q1257" s="413" t="s">
        <v>488</v>
      </c>
      <c r="R1257" s="414">
        <f>M1257*P1257</f>
        <v>4213</v>
      </c>
      <c r="W1257" s="413"/>
      <c r="AA1257" s="420" t="s">
        <v>447</v>
      </c>
      <c r="AC1257" s="412"/>
      <c r="AD1257" s="417" t="e">
        <f>(AD1255/10)</f>
        <v>#REF!</v>
      </c>
      <c r="AE1257" s="419" t="s">
        <v>2117</v>
      </c>
      <c r="AG1257" s="412" t="s">
        <v>1841</v>
      </c>
    </row>
    <row r="1258" spans="6:33" ht="24" customHeight="1">
      <c r="F1258" s="414">
        <v>0.5</v>
      </c>
      <c r="G1258" s="414" t="s">
        <v>619</v>
      </c>
      <c r="H1258" s="412" t="s">
        <v>1550</v>
      </c>
      <c r="I1258" s="414">
        <f>(C12)</f>
        <v>651</v>
      </c>
      <c r="J1258" s="412" t="s">
        <v>619</v>
      </c>
      <c r="K1258" s="414">
        <f>(F1258*I1258)</f>
        <v>325.5</v>
      </c>
      <c r="M1258" s="414">
        <v>0.21</v>
      </c>
      <c r="N1258" s="414" t="s">
        <v>702</v>
      </c>
      <c r="O1258" s="412" t="s">
        <v>1527</v>
      </c>
      <c r="P1258" s="414" t="e">
        <f t="shared" ref="P1258:P1263" si="169">P1216</f>
        <v>#REF!</v>
      </c>
      <c r="Q1258" s="413" t="s">
        <v>702</v>
      </c>
      <c r="R1258" s="414" t="e">
        <f t="shared" ref="R1258:R1267" si="170">(M1258*P1258)</f>
        <v>#REF!</v>
      </c>
      <c r="W1258" s="413"/>
      <c r="AC1258" s="412"/>
      <c r="AD1258" s="418" t="s">
        <v>1676</v>
      </c>
      <c r="AE1258" s="414" t="str">
        <f t="shared" si="163"/>
        <v>|</v>
      </c>
      <c r="AG1258" s="412" t="s">
        <v>1841</v>
      </c>
    </row>
    <row r="1259" spans="6:33" ht="24" customHeight="1">
      <c r="F1259" s="414">
        <v>1.1000000000000001</v>
      </c>
      <c r="G1259" s="414" t="s">
        <v>619</v>
      </c>
      <c r="H1259" s="412" t="s">
        <v>245</v>
      </c>
      <c r="I1259" s="414">
        <f>(C13)</f>
        <v>534</v>
      </c>
      <c r="J1259" s="412" t="s">
        <v>619</v>
      </c>
      <c r="K1259" s="414">
        <f>(F1259*I1259)</f>
        <v>587.4</v>
      </c>
      <c r="M1259" s="414">
        <v>1.1000000000000001</v>
      </c>
      <c r="N1259" s="414" t="s">
        <v>619</v>
      </c>
      <c r="O1259" s="412" t="s">
        <v>1637</v>
      </c>
      <c r="P1259" s="414">
        <f t="shared" si="169"/>
        <v>999</v>
      </c>
      <c r="Q1259" s="413" t="s">
        <v>619</v>
      </c>
      <c r="R1259" s="414">
        <f t="shared" si="170"/>
        <v>1098.9000000000001</v>
      </c>
      <c r="W1259" s="413"/>
      <c r="Y1259" s="427">
        <v>29.4</v>
      </c>
      <c r="Z1259" s="414" t="s">
        <v>1833</v>
      </c>
      <c r="AA1259" s="412" t="s">
        <v>2119</v>
      </c>
      <c r="AE1259" s="414" t="str">
        <f t="shared" si="163"/>
        <v>|</v>
      </c>
      <c r="AG1259" s="412" t="s">
        <v>1841</v>
      </c>
    </row>
    <row r="1260" spans="6:33" ht="24" customHeight="1">
      <c r="G1260" s="414" t="s">
        <v>358</v>
      </c>
      <c r="H1260" s="412" t="s">
        <v>359</v>
      </c>
      <c r="J1260" s="412" t="s">
        <v>358</v>
      </c>
      <c r="K1260" s="414">
        <v>0</v>
      </c>
      <c r="M1260" s="414">
        <v>1.1000000000000001</v>
      </c>
      <c r="N1260" s="414" t="s">
        <v>619</v>
      </c>
      <c r="O1260" s="412" t="s">
        <v>1392</v>
      </c>
      <c r="P1260" s="414">
        <f t="shared" si="169"/>
        <v>932</v>
      </c>
      <c r="Q1260" s="413" t="s">
        <v>619</v>
      </c>
      <c r="R1260" s="414">
        <f t="shared" si="170"/>
        <v>1025.2</v>
      </c>
      <c r="W1260" s="413"/>
      <c r="AA1260" s="412" t="s">
        <v>2120</v>
      </c>
      <c r="AE1260" s="414" t="str">
        <f t="shared" si="163"/>
        <v>|</v>
      </c>
      <c r="AG1260" s="412" t="s">
        <v>1841</v>
      </c>
    </row>
    <row r="1261" spans="6:33" ht="24" customHeight="1">
      <c r="K1261" s="418" t="s">
        <v>1288</v>
      </c>
      <c r="M1261" s="414">
        <v>2.2000000000000002</v>
      </c>
      <c r="N1261" s="414" t="s">
        <v>619</v>
      </c>
      <c r="O1261" s="412" t="s">
        <v>1550</v>
      </c>
      <c r="P1261" s="414">
        <f t="shared" si="169"/>
        <v>651</v>
      </c>
      <c r="Q1261" s="413" t="s">
        <v>619</v>
      </c>
      <c r="R1261" s="414">
        <f t="shared" si="170"/>
        <v>1432.2</v>
      </c>
      <c r="W1261" s="413"/>
      <c r="AA1261" s="418" t="s">
        <v>1288</v>
      </c>
      <c r="AE1261" s="414" t="str">
        <f t="shared" si="163"/>
        <v>|</v>
      </c>
      <c r="AG1261" s="412" t="s">
        <v>1841</v>
      </c>
    </row>
    <row r="1262" spans="6:33" ht="24" customHeight="1">
      <c r="H1262" s="412" t="s">
        <v>351</v>
      </c>
      <c r="K1262" s="414" t="e">
        <f>SUM(K1248:K1260)</f>
        <v>#REF!</v>
      </c>
      <c r="M1262" s="414">
        <v>2.2000000000000002</v>
      </c>
      <c r="N1262" s="414" t="s">
        <v>619</v>
      </c>
      <c r="O1262" s="412" t="s">
        <v>245</v>
      </c>
      <c r="P1262" s="414">
        <f t="shared" si="169"/>
        <v>534</v>
      </c>
      <c r="Q1262" s="413" t="s">
        <v>619</v>
      </c>
      <c r="R1262" s="414">
        <f t="shared" si="170"/>
        <v>1174.8</v>
      </c>
      <c r="W1262" s="413"/>
      <c r="Y1262" s="414">
        <v>1.86</v>
      </c>
      <c r="Z1262" s="414" t="s">
        <v>488</v>
      </c>
      <c r="AA1262" s="412" t="s">
        <v>2121</v>
      </c>
      <c r="AB1262" s="414">
        <f>AB1241</f>
        <v>793</v>
      </c>
      <c r="AC1262" s="412" t="str">
        <f>J1269</f>
        <v>SQM</v>
      </c>
      <c r="AD1262" s="414">
        <f t="shared" ref="AD1262:AD1267" si="171">(Y1262*AB1262)</f>
        <v>1474.98</v>
      </c>
      <c r="AE1262" s="414" t="str">
        <f t="shared" si="163"/>
        <v>|</v>
      </c>
      <c r="AG1262" s="412" t="s">
        <v>1841</v>
      </c>
    </row>
    <row r="1263" spans="6:33" ht="24" customHeight="1">
      <c r="K1263" s="418" t="s">
        <v>1288</v>
      </c>
      <c r="M1263" s="416">
        <v>20</v>
      </c>
      <c r="N1263" s="414" t="s">
        <v>1341</v>
      </c>
      <c r="O1263" s="412" t="s">
        <v>695</v>
      </c>
      <c r="P1263" s="414" t="e">
        <f t="shared" si="169"/>
        <v>#REF!</v>
      </c>
      <c r="Q1263" s="413" t="s">
        <v>694</v>
      </c>
      <c r="R1263" s="414" t="e">
        <f>(M1263*P1263)/1000</f>
        <v>#REF!</v>
      </c>
      <c r="W1263" s="413"/>
      <c r="Y1263" s="414">
        <v>0.4</v>
      </c>
      <c r="Z1263" s="414" t="s">
        <v>1341</v>
      </c>
      <c r="AA1263" s="412" t="s">
        <v>1691</v>
      </c>
      <c r="AB1263" s="414">
        <f>AB1249</f>
        <v>36.1</v>
      </c>
      <c r="AC1263" s="412" t="str">
        <f>J1270</f>
        <v>Kg</v>
      </c>
      <c r="AD1263" s="414">
        <f t="shared" si="171"/>
        <v>14.44</v>
      </c>
      <c r="AE1263" s="414">
        <f t="shared" si="163"/>
        <v>0</v>
      </c>
    </row>
    <row r="1264" spans="6:33" ht="24" customHeight="1">
      <c r="H1264" s="420" t="s">
        <v>447</v>
      </c>
      <c r="K1264" s="417" t="e">
        <f>(K1262/10)</f>
        <v>#REF!</v>
      </c>
      <c r="M1264" s="416">
        <v>2</v>
      </c>
      <c r="N1264" s="414" t="s">
        <v>1341</v>
      </c>
      <c r="O1264" s="412" t="s">
        <v>1241</v>
      </c>
      <c r="P1264" s="414">
        <f>I1256</f>
        <v>36.1</v>
      </c>
      <c r="Q1264" s="413" t="s">
        <v>1341</v>
      </c>
      <c r="R1264" s="414">
        <f t="shared" si="170"/>
        <v>72.2</v>
      </c>
      <c r="W1264" s="413"/>
      <c r="Y1264" s="414">
        <v>0.02</v>
      </c>
      <c r="Z1264" s="414" t="s">
        <v>702</v>
      </c>
      <c r="AA1264" s="412" t="s">
        <v>331</v>
      </c>
      <c r="AB1264" s="414" t="e">
        <f>I1271</f>
        <v>#REF!</v>
      </c>
      <c r="AC1264" s="412" t="str">
        <f>J1271</f>
        <v>CUM</v>
      </c>
      <c r="AD1264" s="414" t="e">
        <f t="shared" si="171"/>
        <v>#REF!</v>
      </c>
      <c r="AE1264" s="414">
        <f t="shared" si="163"/>
        <v>0</v>
      </c>
    </row>
    <row r="1265" spans="6:33" ht="24" customHeight="1">
      <c r="K1265" s="418" t="s">
        <v>1676</v>
      </c>
      <c r="M1265" s="414">
        <v>1.6</v>
      </c>
      <c r="N1265" s="414" t="s">
        <v>619</v>
      </c>
      <c r="O1265" s="412" t="s">
        <v>1392</v>
      </c>
      <c r="P1265" s="414">
        <f>P1223</f>
        <v>932</v>
      </c>
      <c r="Q1265" s="413" t="s">
        <v>619</v>
      </c>
      <c r="R1265" s="414">
        <f t="shared" si="170"/>
        <v>1491.2</v>
      </c>
      <c r="W1265" s="413"/>
      <c r="Y1265" s="414">
        <v>1</v>
      </c>
      <c r="Z1265" s="414" t="s">
        <v>619</v>
      </c>
      <c r="AA1265" s="412" t="s">
        <v>1637</v>
      </c>
      <c r="AB1265" s="414">
        <f>I1272</f>
        <v>999</v>
      </c>
      <c r="AC1265" s="412" t="str">
        <f>J1272</f>
        <v>NO</v>
      </c>
      <c r="AD1265" s="414">
        <f t="shared" si="171"/>
        <v>999</v>
      </c>
      <c r="AE1265" s="414" t="str">
        <f t="shared" si="163"/>
        <v/>
      </c>
      <c r="AG1265" s="412" t="s">
        <v>790</v>
      </c>
    </row>
    <row r="1266" spans="6:33" ht="24" customHeight="1">
      <c r="F1266" s="427">
        <v>29.4</v>
      </c>
      <c r="G1266" s="414" t="s">
        <v>1833</v>
      </c>
      <c r="H1266" s="412" t="s">
        <v>881</v>
      </c>
      <c r="M1266" s="414">
        <v>0.5</v>
      </c>
      <c r="N1266" s="414" t="s">
        <v>619</v>
      </c>
      <c r="O1266" s="412" t="s">
        <v>1550</v>
      </c>
      <c r="P1266" s="414">
        <f>P1224</f>
        <v>651</v>
      </c>
      <c r="Q1266" s="413" t="s">
        <v>619</v>
      </c>
      <c r="R1266" s="414">
        <f t="shared" si="170"/>
        <v>325.5</v>
      </c>
      <c r="W1266" s="413"/>
      <c r="Y1266" s="414">
        <v>1</v>
      </c>
      <c r="Z1266" s="414" t="s">
        <v>619</v>
      </c>
      <c r="AA1266" s="412" t="s">
        <v>1377</v>
      </c>
      <c r="AB1266" s="414">
        <f>I1273</f>
        <v>651</v>
      </c>
      <c r="AC1266" s="412" t="str">
        <f>J1273</f>
        <v>NO</v>
      </c>
      <c r="AD1266" s="414">
        <f t="shared" si="171"/>
        <v>651</v>
      </c>
      <c r="AE1266" s="414">
        <f t="shared" si="163"/>
        <v>0</v>
      </c>
    </row>
    <row r="1267" spans="6:33" ht="24" customHeight="1">
      <c r="H1267" s="412" t="s">
        <v>882</v>
      </c>
      <c r="M1267" s="414">
        <v>1.1000000000000001</v>
      </c>
      <c r="N1267" s="414" t="s">
        <v>619</v>
      </c>
      <c r="O1267" s="412" t="s">
        <v>245</v>
      </c>
      <c r="P1267" s="414">
        <f>P1225</f>
        <v>534</v>
      </c>
      <c r="Q1267" s="413" t="s">
        <v>619</v>
      </c>
      <c r="R1267" s="414">
        <f t="shared" si="170"/>
        <v>587.4</v>
      </c>
      <c r="W1267" s="413"/>
      <c r="Z1267" s="414" t="s">
        <v>358</v>
      </c>
      <c r="AA1267" s="412" t="s">
        <v>359</v>
      </c>
      <c r="AC1267" s="412" t="s">
        <v>358</v>
      </c>
      <c r="AD1267" s="414">
        <f t="shared" si="171"/>
        <v>0</v>
      </c>
      <c r="AE1267" s="414">
        <f t="shared" si="163"/>
        <v>0</v>
      </c>
    </row>
    <row r="1268" spans="6:33" ht="24" customHeight="1">
      <c r="H1268" s="418" t="s">
        <v>1288</v>
      </c>
      <c r="N1268" s="414" t="s">
        <v>358</v>
      </c>
      <c r="O1268" s="412" t="s">
        <v>359</v>
      </c>
      <c r="Q1268" s="413" t="s">
        <v>358</v>
      </c>
      <c r="R1268" s="414">
        <v>0</v>
      </c>
      <c r="W1268" s="413"/>
      <c r="AC1268" s="412"/>
      <c r="AD1268" s="418" t="s">
        <v>1288</v>
      </c>
      <c r="AE1268" s="414">
        <f t="shared" si="163"/>
        <v>0</v>
      </c>
    </row>
    <row r="1269" spans="6:33" ht="24" customHeight="1">
      <c r="F1269" s="414">
        <v>1.86</v>
      </c>
      <c r="G1269" s="414" t="s">
        <v>488</v>
      </c>
      <c r="H1269" s="412" t="s">
        <v>883</v>
      </c>
      <c r="I1269" s="414">
        <f>C602</f>
        <v>415</v>
      </c>
      <c r="J1269" s="412" t="s">
        <v>488</v>
      </c>
      <c r="K1269" s="414">
        <f>(F1269*I1269)</f>
        <v>771.9</v>
      </c>
      <c r="M1269" s="414">
        <f>9.3/0.02</f>
        <v>465</v>
      </c>
      <c r="Q1269" s="413"/>
      <c r="R1269" s="418"/>
      <c r="W1269" s="413"/>
      <c r="AA1269" s="412" t="s">
        <v>1378</v>
      </c>
      <c r="AC1269" s="412"/>
      <c r="AD1269" s="414" t="e">
        <f>SUM(AD1262:AD1267)</f>
        <v>#REF!</v>
      </c>
      <c r="AE1269" s="414">
        <f t="shared" si="163"/>
        <v>0</v>
      </c>
    </row>
    <row r="1270" spans="6:33" ht="24" customHeight="1">
      <c r="F1270" s="414">
        <v>0.4</v>
      </c>
      <c r="G1270" s="414" t="s">
        <v>1341</v>
      </c>
      <c r="H1270" s="412" t="s">
        <v>1691</v>
      </c>
      <c r="I1270" s="414">
        <f>I1256</f>
        <v>36.1</v>
      </c>
      <c r="J1270" s="412" t="s">
        <v>1341</v>
      </c>
      <c r="K1270" s="414">
        <f>(F1270*I1270)</f>
        <v>14.44</v>
      </c>
      <c r="O1270" s="412" t="s">
        <v>351</v>
      </c>
      <c r="Q1270" s="413"/>
      <c r="R1270" s="414" t="e">
        <f>SUM(R1257:R1268)</f>
        <v>#REF!</v>
      </c>
      <c r="W1270" s="413"/>
      <c r="AC1270" s="412"/>
      <c r="AD1270" s="418" t="s">
        <v>1288</v>
      </c>
      <c r="AE1270" s="414">
        <f t="shared" si="163"/>
        <v>0</v>
      </c>
    </row>
    <row r="1271" spans="6:33" ht="24" customHeight="1">
      <c r="F1271" s="414">
        <v>0.02</v>
      </c>
      <c r="G1271" s="414" t="s">
        <v>702</v>
      </c>
      <c r="H1271" s="412" t="s">
        <v>331</v>
      </c>
      <c r="I1271" s="414" t="e">
        <f>K23</f>
        <v>#REF!</v>
      </c>
      <c r="J1271" s="412" t="s">
        <v>702</v>
      </c>
      <c r="K1271" s="414" t="e">
        <f>(F1271*I1271)</f>
        <v>#REF!</v>
      </c>
      <c r="Q1271" s="413"/>
      <c r="R1271" s="418" t="s">
        <v>1288</v>
      </c>
      <c r="W1271" s="413"/>
      <c r="AA1271" s="420" t="s">
        <v>447</v>
      </c>
      <c r="AC1271" s="412"/>
      <c r="AD1271" s="417" t="e">
        <f>(AD1269/1.86)</f>
        <v>#REF!</v>
      </c>
      <c r="AE1271" s="414">
        <f t="shared" si="163"/>
        <v>0</v>
      </c>
    </row>
    <row r="1272" spans="6:33" ht="24" customHeight="1">
      <c r="F1272" s="414">
        <v>1</v>
      </c>
      <c r="G1272" s="414" t="s">
        <v>619</v>
      </c>
      <c r="H1272" s="412" t="s">
        <v>1637</v>
      </c>
      <c r="I1272" s="414">
        <f>C10</f>
        <v>999</v>
      </c>
      <c r="J1272" s="412" t="s">
        <v>619</v>
      </c>
      <c r="K1272" s="414">
        <f>(F1272*I1272)</f>
        <v>999</v>
      </c>
      <c r="O1272" s="415" t="s">
        <v>447</v>
      </c>
      <c r="Q1272" s="413"/>
      <c r="R1272" s="417" t="e">
        <f>(R1270/10)</f>
        <v>#REF!</v>
      </c>
      <c r="W1272" s="413"/>
      <c r="AC1272" s="412"/>
      <c r="AD1272" s="418" t="s">
        <v>1676</v>
      </c>
      <c r="AE1272" s="414">
        <f t="shared" si="163"/>
        <v>0</v>
      </c>
    </row>
    <row r="1273" spans="6:33" ht="24" customHeight="1">
      <c r="F1273" s="414">
        <v>1</v>
      </c>
      <c r="G1273" s="414" t="s">
        <v>619</v>
      </c>
      <c r="H1273" s="412" t="s">
        <v>1377</v>
      </c>
      <c r="I1273" s="414">
        <f>C12</f>
        <v>651</v>
      </c>
      <c r="J1273" s="412" t="s">
        <v>619</v>
      </c>
      <c r="K1273" s="414">
        <f>(F1273*I1273)</f>
        <v>651</v>
      </c>
      <c r="S1273" s="427">
        <v>29.5</v>
      </c>
      <c r="T1273" s="414" t="s">
        <v>1833</v>
      </c>
      <c r="U1273" s="412" t="s">
        <v>4325</v>
      </c>
      <c r="W1273" s="413"/>
      <c r="AE1273" s="414">
        <f t="shared" si="163"/>
        <v>0</v>
      </c>
    </row>
    <row r="1274" spans="6:33" ht="24" customHeight="1">
      <c r="G1274" s="414" t="s">
        <v>358</v>
      </c>
      <c r="H1274" s="412" t="s">
        <v>359</v>
      </c>
      <c r="J1274" s="412" t="s">
        <v>358</v>
      </c>
      <c r="S1274" s="414"/>
      <c r="U1274" s="412"/>
      <c r="W1274" s="413"/>
      <c r="AE1274" s="414">
        <f t="shared" si="163"/>
        <v>0</v>
      </c>
    </row>
    <row r="1275" spans="6:33" ht="24" customHeight="1">
      <c r="K1275" s="418" t="s">
        <v>1288</v>
      </c>
      <c r="S1275" s="414"/>
      <c r="U1275" s="412"/>
      <c r="W1275" s="413"/>
      <c r="AC1275" s="412"/>
      <c r="AE1275" s="414">
        <f t="shared" si="163"/>
        <v>0</v>
      </c>
    </row>
    <row r="1276" spans="6:33" ht="24" customHeight="1">
      <c r="H1276" s="412" t="s">
        <v>1378</v>
      </c>
      <c r="K1276" s="414" t="e">
        <f>SUM(K1269:K1274)</f>
        <v>#REF!</v>
      </c>
      <c r="S1276" s="414"/>
      <c r="U1276" s="418" t="s">
        <v>1288</v>
      </c>
      <c r="V1276" s="418" t="s">
        <v>1288</v>
      </c>
      <c r="W1276" s="413"/>
      <c r="AC1276" s="412"/>
      <c r="AE1276" s="414">
        <f t="shared" si="163"/>
        <v>0</v>
      </c>
    </row>
    <row r="1277" spans="6:33" ht="24" customHeight="1">
      <c r="K1277" s="418" t="s">
        <v>1288</v>
      </c>
      <c r="S1277" s="414">
        <v>10</v>
      </c>
      <c r="T1277" s="414" t="s">
        <v>488</v>
      </c>
      <c r="U1277" s="426" t="s">
        <v>2176</v>
      </c>
      <c r="V1277" s="414">
        <v>538.21</v>
      </c>
      <c r="W1277" s="413" t="s">
        <v>488</v>
      </c>
      <c r="X1277" s="414">
        <f>(S1277*V1277)</f>
        <v>5382.1</v>
      </c>
      <c r="AC1277" s="412"/>
      <c r="AE1277" s="414">
        <f t="shared" si="163"/>
        <v>0</v>
      </c>
    </row>
    <row r="1278" spans="6:33" ht="24" customHeight="1">
      <c r="H1278" s="420" t="s">
        <v>447</v>
      </c>
      <c r="K1278" s="417" t="e">
        <f>(K1276/1.86)</f>
        <v>#REF!</v>
      </c>
      <c r="S1278" s="414">
        <v>0.21</v>
      </c>
      <c r="T1278" s="414" t="s">
        <v>702</v>
      </c>
      <c r="U1278" s="412" t="s">
        <v>1527</v>
      </c>
      <c r="V1278" s="414" t="e">
        <f t="shared" ref="V1278:V1288" si="172">I1249</f>
        <v>#REF!</v>
      </c>
      <c r="W1278" s="413" t="s">
        <v>702</v>
      </c>
      <c r="X1278" s="414" t="e">
        <f>(S1278*V1278)</f>
        <v>#REF!</v>
      </c>
      <c r="AE1278" s="414">
        <f t="shared" ref="AE1278:AE1341" si="173">AG1278</f>
        <v>0</v>
      </c>
    </row>
    <row r="1279" spans="6:33" ht="24" customHeight="1">
      <c r="K1279" s="418" t="s">
        <v>1676</v>
      </c>
      <c r="S1279" s="414"/>
      <c r="U1279" s="412" t="s">
        <v>1528</v>
      </c>
      <c r="V1279" s="414" t="str">
        <f t="shared" si="172"/>
        <v/>
      </c>
      <c r="W1279" s="413"/>
      <c r="X1279" s="412" t="s">
        <v>790</v>
      </c>
      <c r="AE1279" s="414">
        <f t="shared" si="173"/>
        <v>0</v>
      </c>
    </row>
    <row r="1280" spans="6:33" ht="24" customHeight="1">
      <c r="F1280" s="427"/>
      <c r="G1280" s="414" t="s">
        <v>1833</v>
      </c>
      <c r="H1280" s="412" t="s">
        <v>4326</v>
      </c>
      <c r="S1280" s="414">
        <v>1.1000000000000001</v>
      </c>
      <c r="T1280" s="414" t="s">
        <v>619</v>
      </c>
      <c r="U1280" s="412" t="s">
        <v>1637</v>
      </c>
      <c r="V1280" s="414">
        <f t="shared" si="172"/>
        <v>999</v>
      </c>
      <c r="W1280" s="413" t="s">
        <v>619</v>
      </c>
      <c r="X1280" s="414">
        <f>(S1280*V1280)</f>
        <v>1098.9000000000001</v>
      </c>
      <c r="AE1280" s="414">
        <f t="shared" si="173"/>
        <v>0</v>
      </c>
    </row>
    <row r="1281" spans="6:31" ht="24" customHeight="1">
      <c r="H1281" s="412"/>
      <c r="S1281" s="414">
        <v>1.1000000000000001</v>
      </c>
      <c r="T1281" s="414" t="s">
        <v>619</v>
      </c>
      <c r="U1281" s="412" t="s">
        <v>1392</v>
      </c>
      <c r="V1281" s="414">
        <f t="shared" si="172"/>
        <v>932</v>
      </c>
      <c r="W1281" s="413" t="s">
        <v>619</v>
      </c>
      <c r="X1281" s="414">
        <f>(S1281*V1281)</f>
        <v>1025.2</v>
      </c>
      <c r="AE1281" s="414">
        <f t="shared" si="173"/>
        <v>0</v>
      </c>
    </row>
    <row r="1282" spans="6:31" ht="24" customHeight="1">
      <c r="H1282" s="418" t="s">
        <v>1288</v>
      </c>
      <c r="S1282" s="414">
        <v>2.2000000000000002</v>
      </c>
      <c r="T1282" s="414" t="s">
        <v>619</v>
      </c>
      <c r="U1282" s="412" t="s">
        <v>1550</v>
      </c>
      <c r="V1282" s="414">
        <f t="shared" si="172"/>
        <v>651</v>
      </c>
      <c r="W1282" s="413" t="s">
        <v>619</v>
      </c>
      <c r="X1282" s="414">
        <f>(S1282*V1282)</f>
        <v>1432.2</v>
      </c>
      <c r="AE1282" s="414">
        <f t="shared" si="173"/>
        <v>0</v>
      </c>
    </row>
    <row r="1283" spans="6:31" ht="24" customHeight="1">
      <c r="F1283" s="414">
        <v>1.86</v>
      </c>
      <c r="G1283" s="414" t="s">
        <v>488</v>
      </c>
      <c r="H1283" s="412" t="s">
        <v>2177</v>
      </c>
      <c r="I1283" s="414">
        <v>699.4</v>
      </c>
      <c r="J1283" s="412" t="s">
        <v>488</v>
      </c>
      <c r="K1283" s="414">
        <f>(F1283*I1283)</f>
        <v>1300.8800000000001</v>
      </c>
      <c r="S1283" s="414">
        <v>2.2000000000000002</v>
      </c>
      <c r="T1283" s="414" t="s">
        <v>619</v>
      </c>
      <c r="U1283" s="412" t="s">
        <v>245</v>
      </c>
      <c r="V1283" s="414">
        <f t="shared" si="172"/>
        <v>534</v>
      </c>
      <c r="W1283" s="413" t="s">
        <v>619</v>
      </c>
      <c r="X1283" s="414">
        <f>(S1283*V1283)</f>
        <v>1174.8</v>
      </c>
      <c r="AE1283" s="414">
        <f t="shared" si="173"/>
        <v>0</v>
      </c>
    </row>
    <row r="1284" spans="6:31" ht="24" customHeight="1">
      <c r="F1284" s="414">
        <v>0.4</v>
      </c>
      <c r="G1284" s="414" t="s">
        <v>1341</v>
      </c>
      <c r="H1284" s="412" t="s">
        <v>310</v>
      </c>
      <c r="I1284" s="414" t="e">
        <f>C67</f>
        <v>#REF!</v>
      </c>
      <c r="J1284" s="412" t="s">
        <v>1341</v>
      </c>
      <c r="K1284" s="414" t="e">
        <f>(F1284*I1284)</f>
        <v>#REF!</v>
      </c>
      <c r="S1284" s="416">
        <v>20</v>
      </c>
      <c r="T1284" s="414" t="s">
        <v>1341</v>
      </c>
      <c r="U1284" s="412" t="s">
        <v>695</v>
      </c>
      <c r="V1284" s="414" t="e">
        <f t="shared" si="172"/>
        <v>#REF!</v>
      </c>
      <c r="W1284" s="413" t="s">
        <v>694</v>
      </c>
      <c r="X1284" s="414" t="e">
        <f>(S1284*V1284)/1000</f>
        <v>#REF!</v>
      </c>
      <c r="AE1284" s="414">
        <f t="shared" si="173"/>
        <v>0</v>
      </c>
    </row>
    <row r="1285" spans="6:31" ht="24" customHeight="1">
      <c r="F1285" s="414">
        <v>0.02</v>
      </c>
      <c r="G1285" s="414" t="s">
        <v>702</v>
      </c>
      <c r="H1285" s="412" t="s">
        <v>331</v>
      </c>
      <c r="I1285" s="414" t="e">
        <f>I1271</f>
        <v>#REF!</v>
      </c>
      <c r="J1285" s="412" t="s">
        <v>702</v>
      </c>
      <c r="K1285" s="414" t="e">
        <f>(F1285*I1285)</f>
        <v>#REF!</v>
      </c>
      <c r="S1285" s="416">
        <v>2</v>
      </c>
      <c r="T1285" s="414" t="s">
        <v>1341</v>
      </c>
      <c r="U1285" s="412" t="s">
        <v>1691</v>
      </c>
      <c r="V1285" s="414">
        <f t="shared" si="172"/>
        <v>36.1</v>
      </c>
      <c r="W1285" s="413" t="s">
        <v>1341</v>
      </c>
      <c r="X1285" s="414">
        <f>(S1285*V1285)</f>
        <v>72.2</v>
      </c>
      <c r="AE1285" s="414">
        <f t="shared" si="173"/>
        <v>0</v>
      </c>
    </row>
    <row r="1286" spans="6:31" ht="24" customHeight="1">
      <c r="F1286" s="414">
        <v>1</v>
      </c>
      <c r="G1286" s="414" t="s">
        <v>619</v>
      </c>
      <c r="H1286" s="412" t="s">
        <v>1637</v>
      </c>
      <c r="I1286" s="414">
        <f>I1272</f>
        <v>999</v>
      </c>
      <c r="J1286" s="412" t="s">
        <v>619</v>
      </c>
      <c r="K1286" s="414">
        <f>(F1286*I1286)</f>
        <v>999</v>
      </c>
      <c r="S1286" s="414">
        <v>1.6</v>
      </c>
      <c r="T1286" s="414" t="s">
        <v>619</v>
      </c>
      <c r="U1286" s="412" t="s">
        <v>1392</v>
      </c>
      <c r="V1286" s="414">
        <f t="shared" si="172"/>
        <v>932</v>
      </c>
      <c r="W1286" s="413" t="s">
        <v>619</v>
      </c>
      <c r="X1286" s="414">
        <f>(S1286*V1286)</f>
        <v>1491.2</v>
      </c>
      <c r="AE1286" s="414">
        <f t="shared" si="173"/>
        <v>0</v>
      </c>
    </row>
    <row r="1287" spans="6:31" ht="24" customHeight="1">
      <c r="F1287" s="414">
        <v>1</v>
      </c>
      <c r="G1287" s="414" t="s">
        <v>619</v>
      </c>
      <c r="H1287" s="412" t="s">
        <v>1377</v>
      </c>
      <c r="I1287" s="414">
        <f>I1273</f>
        <v>651</v>
      </c>
      <c r="J1287" s="412" t="s">
        <v>619</v>
      </c>
      <c r="K1287" s="414">
        <f>(F1287*I1287)</f>
        <v>651</v>
      </c>
      <c r="S1287" s="414">
        <v>0.5</v>
      </c>
      <c r="T1287" s="414" t="s">
        <v>619</v>
      </c>
      <c r="U1287" s="412" t="s">
        <v>1550</v>
      </c>
      <c r="V1287" s="414">
        <f t="shared" si="172"/>
        <v>651</v>
      </c>
      <c r="W1287" s="413" t="s">
        <v>619</v>
      </c>
      <c r="X1287" s="414">
        <f>(S1287*V1287)</f>
        <v>325.5</v>
      </c>
      <c r="AE1287" s="414">
        <f t="shared" si="173"/>
        <v>0</v>
      </c>
    </row>
    <row r="1288" spans="6:31" ht="24" customHeight="1">
      <c r="G1288" s="414" t="s">
        <v>358</v>
      </c>
      <c r="H1288" s="412" t="s">
        <v>359</v>
      </c>
      <c r="J1288" s="412" t="s">
        <v>358</v>
      </c>
      <c r="S1288" s="414">
        <v>1.1000000000000001</v>
      </c>
      <c r="T1288" s="414" t="s">
        <v>619</v>
      </c>
      <c r="U1288" s="412" t="s">
        <v>245</v>
      </c>
      <c r="V1288" s="414">
        <f t="shared" si="172"/>
        <v>534</v>
      </c>
      <c r="W1288" s="413" t="s">
        <v>619</v>
      </c>
      <c r="X1288" s="414">
        <f>(S1288*V1288)</f>
        <v>587.4</v>
      </c>
      <c r="AE1288" s="414">
        <f t="shared" si="173"/>
        <v>0</v>
      </c>
    </row>
    <row r="1289" spans="6:31" ht="24" customHeight="1">
      <c r="K1289" s="418" t="s">
        <v>1288</v>
      </c>
      <c r="S1289" s="414"/>
      <c r="T1289" s="414" t="s">
        <v>358</v>
      </c>
      <c r="U1289" s="412" t="s">
        <v>359</v>
      </c>
      <c r="W1289" s="413" t="s">
        <v>358</v>
      </c>
      <c r="X1289" s="414">
        <v>0</v>
      </c>
      <c r="AE1289" s="414">
        <f t="shared" si="173"/>
        <v>0</v>
      </c>
    </row>
    <row r="1290" spans="6:31" ht="24" customHeight="1">
      <c r="H1290" s="412" t="s">
        <v>1378</v>
      </c>
      <c r="K1290" s="414" t="e">
        <f>SUM(K1283:K1288)</f>
        <v>#REF!</v>
      </c>
      <c r="S1290" s="414"/>
      <c r="W1290" s="413"/>
      <c r="X1290" s="418" t="s">
        <v>1288</v>
      </c>
      <c r="AE1290" s="414">
        <f t="shared" si="173"/>
        <v>0</v>
      </c>
    </row>
    <row r="1291" spans="6:31" ht="24" customHeight="1">
      <c r="K1291" s="418" t="s">
        <v>1288</v>
      </c>
      <c r="S1291" s="414"/>
      <c r="U1291" s="412" t="s">
        <v>351</v>
      </c>
      <c r="W1291" s="413"/>
      <c r="X1291" s="414" t="e">
        <f>SUM(X1277:X1289)</f>
        <v>#REF!</v>
      </c>
      <c r="AE1291" s="414">
        <f t="shared" si="173"/>
        <v>0</v>
      </c>
    </row>
    <row r="1292" spans="6:31" ht="24" customHeight="1">
      <c r="H1292" s="420" t="s">
        <v>447</v>
      </c>
      <c r="K1292" s="417" t="e">
        <f>(K1290/1.86)</f>
        <v>#REF!</v>
      </c>
      <c r="S1292" s="414"/>
      <c r="W1292" s="413"/>
      <c r="X1292" s="418" t="s">
        <v>1288</v>
      </c>
      <c r="AE1292" s="414">
        <f t="shared" si="173"/>
        <v>0</v>
      </c>
    </row>
    <row r="1293" spans="6:31" ht="24" customHeight="1">
      <c r="K1293" s="418" t="s">
        <v>1676</v>
      </c>
      <c r="U1293" s="420" t="s">
        <v>447</v>
      </c>
      <c r="W1293" s="413"/>
      <c r="X1293" s="417" t="e">
        <f>(X1291/10)</f>
        <v>#REF!</v>
      </c>
      <c r="AE1293" s="414">
        <f t="shared" si="173"/>
        <v>0</v>
      </c>
    </row>
    <row r="1294" spans="6:31" ht="24" customHeight="1">
      <c r="K1294" s="418"/>
      <c r="W1294" s="413"/>
      <c r="X1294" s="418" t="s">
        <v>1676</v>
      </c>
      <c r="AE1294" s="414">
        <f t="shared" si="173"/>
        <v>0</v>
      </c>
    </row>
    <row r="1295" spans="6:31" ht="24" hidden="1" customHeight="1">
      <c r="K1295" s="418"/>
      <c r="W1295" s="413"/>
      <c r="AE1295" s="414">
        <f t="shared" si="173"/>
        <v>0</v>
      </c>
    </row>
    <row r="1296" spans="6:31" ht="24" hidden="1" customHeight="1">
      <c r="K1296" s="418"/>
      <c r="M1296" s="413"/>
      <c r="N1296" s="414" t="s">
        <v>1833</v>
      </c>
      <c r="O1296" s="412" t="s">
        <v>4327</v>
      </c>
      <c r="Q1296" s="413"/>
      <c r="S1296" s="427">
        <v>15.1</v>
      </c>
      <c r="T1296" s="414" t="s">
        <v>1433</v>
      </c>
      <c r="U1296" s="412" t="s">
        <v>4328</v>
      </c>
      <c r="W1296" s="413"/>
      <c r="AE1296" s="414">
        <f t="shared" si="173"/>
        <v>0</v>
      </c>
    </row>
    <row r="1297" spans="6:31" ht="24" hidden="1" customHeight="1">
      <c r="K1297" s="418"/>
      <c r="O1297" s="412" t="s">
        <v>1237</v>
      </c>
      <c r="Q1297" s="413"/>
      <c r="S1297" s="414"/>
      <c r="U1297" s="412" t="s">
        <v>1859</v>
      </c>
      <c r="W1297" s="413"/>
      <c r="AE1297" s="414">
        <f t="shared" si="173"/>
        <v>0</v>
      </c>
    </row>
    <row r="1298" spans="6:31" ht="24" customHeight="1">
      <c r="F1298" s="413" t="s">
        <v>166</v>
      </c>
      <c r="G1298" s="414" t="s">
        <v>1833</v>
      </c>
      <c r="H1298" s="412" t="s">
        <v>1565</v>
      </c>
      <c r="O1298" s="415" t="s">
        <v>4329</v>
      </c>
      <c r="Q1298" s="413"/>
      <c r="S1298" s="414">
        <v>10</v>
      </c>
      <c r="T1298" s="414" t="s">
        <v>1861</v>
      </c>
      <c r="U1298" s="412" t="s">
        <v>4330</v>
      </c>
      <c r="V1298" s="414">
        <v>1626</v>
      </c>
      <c r="W1298" s="413" t="s">
        <v>1861</v>
      </c>
      <c r="X1298" s="414">
        <f t="shared" ref="X1298:X1304" si="174">(S1298*V1298)</f>
        <v>16260</v>
      </c>
      <c r="AE1298" s="414">
        <f t="shared" si="173"/>
        <v>0</v>
      </c>
    </row>
    <row r="1299" spans="6:31" ht="24" customHeight="1">
      <c r="H1299" s="412" t="s">
        <v>1819</v>
      </c>
      <c r="O1299" s="418" t="s">
        <v>1288</v>
      </c>
      <c r="Q1299" s="413"/>
      <c r="S1299" s="414">
        <v>0.21</v>
      </c>
      <c r="T1299" s="414" t="s">
        <v>702</v>
      </c>
      <c r="U1299" s="412" t="s">
        <v>629</v>
      </c>
      <c r="V1299" s="423" t="e">
        <f>P1333</f>
        <v>#REF!</v>
      </c>
      <c r="W1299" s="413" t="s">
        <v>702</v>
      </c>
      <c r="X1299" s="414" t="e">
        <f t="shared" si="174"/>
        <v>#REF!</v>
      </c>
      <c r="AE1299" s="414">
        <f t="shared" si="173"/>
        <v>0</v>
      </c>
    </row>
    <row r="1300" spans="6:31" ht="24" customHeight="1">
      <c r="H1300" s="412" t="s">
        <v>1379</v>
      </c>
      <c r="M1300" s="414">
        <v>3.2</v>
      </c>
      <c r="N1300" s="414" t="s">
        <v>1341</v>
      </c>
      <c r="O1300" s="412" t="s">
        <v>972</v>
      </c>
      <c r="P1300" s="414">
        <v>225</v>
      </c>
      <c r="Q1300" s="413" t="s">
        <v>1341</v>
      </c>
      <c r="R1300" s="414">
        <f>(M1300*P1300)</f>
        <v>720</v>
      </c>
      <c r="S1300" s="414">
        <v>1.1000000000000001</v>
      </c>
      <c r="T1300" s="414" t="s">
        <v>453</v>
      </c>
      <c r="U1300" s="412" t="s">
        <v>454</v>
      </c>
      <c r="V1300" s="423">
        <f>P1334</f>
        <v>999</v>
      </c>
      <c r="W1300" s="413" t="s">
        <v>1134</v>
      </c>
      <c r="X1300" s="414">
        <f t="shared" si="174"/>
        <v>1098.9000000000001</v>
      </c>
      <c r="AE1300" s="414">
        <f t="shared" si="173"/>
        <v>0</v>
      </c>
    </row>
    <row r="1301" spans="6:31" ht="24" customHeight="1">
      <c r="H1301" s="412" t="s">
        <v>4331</v>
      </c>
      <c r="M1301" s="414">
        <v>0.98</v>
      </c>
      <c r="N1301" s="414" t="s">
        <v>1008</v>
      </c>
      <c r="O1301" s="412" t="s">
        <v>2344</v>
      </c>
      <c r="P1301" s="414">
        <f>P1320</f>
        <v>147.5</v>
      </c>
      <c r="Q1301" s="413" t="s">
        <v>1008</v>
      </c>
      <c r="R1301" s="414">
        <f t="shared" ref="R1301:R1306" si="175">(M1301*P1301)</f>
        <v>144.55000000000001</v>
      </c>
      <c r="S1301" s="414">
        <v>1.1000000000000001</v>
      </c>
      <c r="T1301" s="414" t="s">
        <v>453</v>
      </c>
      <c r="U1301" s="412" t="s">
        <v>2180</v>
      </c>
      <c r="V1301" s="423">
        <f>P1260</f>
        <v>932</v>
      </c>
      <c r="W1301" s="413" t="s">
        <v>1134</v>
      </c>
      <c r="X1301" s="414">
        <f t="shared" si="174"/>
        <v>1025.2</v>
      </c>
      <c r="AE1301" s="414">
        <f t="shared" si="173"/>
        <v>0</v>
      </c>
    </row>
    <row r="1302" spans="6:31" ht="24" customHeight="1">
      <c r="H1302" s="418" t="s">
        <v>1288</v>
      </c>
      <c r="M1302" s="414">
        <v>0.5</v>
      </c>
      <c r="N1302" s="414" t="s">
        <v>619</v>
      </c>
      <c r="O1302" s="412" t="s">
        <v>960</v>
      </c>
      <c r="P1302" s="414">
        <f>AE13</f>
        <v>797</v>
      </c>
      <c r="Q1302" s="414" t="s">
        <v>619</v>
      </c>
      <c r="R1302" s="414">
        <f t="shared" si="175"/>
        <v>398.5</v>
      </c>
      <c r="S1302" s="414">
        <v>2.2000000000000002</v>
      </c>
      <c r="T1302" s="414" t="s">
        <v>453</v>
      </c>
      <c r="U1302" s="412" t="s">
        <v>667</v>
      </c>
      <c r="V1302" s="423">
        <f>P1335</f>
        <v>651</v>
      </c>
      <c r="W1302" s="413" t="s">
        <v>1134</v>
      </c>
      <c r="X1302" s="414">
        <f t="shared" si="174"/>
        <v>1432.2</v>
      </c>
      <c r="AE1302" s="414">
        <f t="shared" si="173"/>
        <v>0</v>
      </c>
    </row>
    <row r="1303" spans="6:31" ht="24" customHeight="1">
      <c r="F1303" s="414">
        <v>0.24</v>
      </c>
      <c r="G1303" s="414" t="s">
        <v>702</v>
      </c>
      <c r="H1303" s="412" t="s">
        <v>1380</v>
      </c>
      <c r="I1303" s="414" t="e">
        <f>(C70)</f>
        <v>#REF!</v>
      </c>
      <c r="J1303" s="412" t="s">
        <v>702</v>
      </c>
      <c r="K1303" s="414" t="e">
        <f>(F1303*I1303)</f>
        <v>#REF!</v>
      </c>
      <c r="M1303" s="414">
        <v>0.7</v>
      </c>
      <c r="N1303" s="414" t="s">
        <v>619</v>
      </c>
      <c r="O1303" s="412" t="s">
        <v>973</v>
      </c>
      <c r="P1303" s="414">
        <f>AE14</f>
        <v>772</v>
      </c>
      <c r="Q1303" s="414" t="s">
        <v>619</v>
      </c>
      <c r="R1303" s="414">
        <f t="shared" si="175"/>
        <v>540.4</v>
      </c>
      <c r="S1303" s="414">
        <v>2.2000000000000002</v>
      </c>
      <c r="T1303" s="414" t="s">
        <v>453</v>
      </c>
      <c r="U1303" s="412" t="s">
        <v>2178</v>
      </c>
      <c r="V1303" s="423">
        <f>P1305</f>
        <v>534</v>
      </c>
      <c r="W1303" s="413" t="s">
        <v>1134</v>
      </c>
      <c r="X1303" s="414">
        <f t="shared" si="174"/>
        <v>1174.8</v>
      </c>
      <c r="AE1303" s="414">
        <f t="shared" si="173"/>
        <v>0</v>
      </c>
    </row>
    <row r="1304" spans="6:31" ht="24" customHeight="1">
      <c r="F1304" s="416">
        <v>0.11700000000000001</v>
      </c>
      <c r="G1304" s="414" t="s">
        <v>694</v>
      </c>
      <c r="H1304" s="412" t="s">
        <v>695</v>
      </c>
      <c r="I1304" s="414" t="e">
        <f>(C67)</f>
        <v>#REF!</v>
      </c>
      <c r="J1304" s="412" t="s">
        <v>694</v>
      </c>
      <c r="K1304" s="414" t="e">
        <f>(F1304*I1304)</f>
        <v>#REF!</v>
      </c>
      <c r="M1304" s="414">
        <v>0.5</v>
      </c>
      <c r="N1304" s="414" t="s">
        <v>619</v>
      </c>
      <c r="O1304" s="412" t="s">
        <v>1550</v>
      </c>
      <c r="P1304" s="414">
        <f>I1306</f>
        <v>651</v>
      </c>
      <c r="Q1304" s="414" t="s">
        <v>619</v>
      </c>
      <c r="R1304" s="414">
        <f t="shared" si="175"/>
        <v>325.5</v>
      </c>
      <c r="S1304" s="414">
        <v>10</v>
      </c>
      <c r="T1304" s="414" t="s">
        <v>358</v>
      </c>
      <c r="U1304" s="412" t="s">
        <v>2179</v>
      </c>
      <c r="V1304" s="423">
        <v>153.47</v>
      </c>
      <c r="W1304" s="413" t="s">
        <v>358</v>
      </c>
      <c r="X1304" s="414">
        <f t="shared" si="174"/>
        <v>1534.7</v>
      </c>
      <c r="AE1304" s="414">
        <f t="shared" si="173"/>
        <v>0</v>
      </c>
    </row>
    <row r="1305" spans="6:31" ht="24" customHeight="1">
      <c r="F1305" s="414">
        <v>0.5</v>
      </c>
      <c r="G1305" s="414" t="s">
        <v>619</v>
      </c>
      <c r="H1305" s="412" t="s">
        <v>1637</v>
      </c>
      <c r="I1305" s="414">
        <f>(C10)</f>
        <v>999</v>
      </c>
      <c r="J1305" s="412" t="s">
        <v>619</v>
      </c>
      <c r="K1305" s="414">
        <f>(F1305*I1305)</f>
        <v>499.5</v>
      </c>
      <c r="M1305" s="414">
        <v>0.8</v>
      </c>
      <c r="N1305" s="414" t="s">
        <v>619</v>
      </c>
      <c r="O1305" s="412" t="s">
        <v>245</v>
      </c>
      <c r="P1305" s="414">
        <f>I1307</f>
        <v>534</v>
      </c>
      <c r="Q1305" s="414" t="s">
        <v>619</v>
      </c>
      <c r="R1305" s="414">
        <f t="shared" si="175"/>
        <v>427.2</v>
      </c>
      <c r="S1305" s="414"/>
      <c r="U1305" s="412"/>
      <c r="V1305" s="423">
        <f>P1337</f>
        <v>0</v>
      </c>
      <c r="W1305" s="413"/>
      <c r="X1305" s="418" t="s">
        <v>1288</v>
      </c>
      <c r="AE1305" s="414">
        <f t="shared" si="173"/>
        <v>0</v>
      </c>
    </row>
    <row r="1306" spans="6:31" ht="24" customHeight="1">
      <c r="F1306" s="414">
        <v>1.1000000000000001</v>
      </c>
      <c r="G1306" s="414" t="s">
        <v>619</v>
      </c>
      <c r="H1306" s="412" t="s">
        <v>754</v>
      </c>
      <c r="I1306" s="414">
        <f>(C12)</f>
        <v>651</v>
      </c>
      <c r="J1306" s="412" t="s">
        <v>619</v>
      </c>
      <c r="K1306" s="414">
        <f>(F1306*I1306)</f>
        <v>716.1</v>
      </c>
      <c r="M1306" s="414">
        <v>10</v>
      </c>
      <c r="N1306" s="414" t="s">
        <v>1861</v>
      </c>
      <c r="O1306" s="412" t="s">
        <v>2332</v>
      </c>
      <c r="P1306" s="414">
        <f>C460</f>
        <v>4.2</v>
      </c>
      <c r="Q1306" s="414" t="s">
        <v>1861</v>
      </c>
      <c r="R1306" s="414">
        <f t="shared" si="175"/>
        <v>42</v>
      </c>
      <c r="S1306" s="414"/>
      <c r="U1306" s="413" t="s">
        <v>322</v>
      </c>
      <c r="V1306" s="423"/>
      <c r="W1306" s="413"/>
      <c r="X1306" s="414" t="e">
        <f>SUM(X1298:X1304)</f>
        <v>#REF!</v>
      </c>
      <c r="AE1306" s="414">
        <f t="shared" si="173"/>
        <v>0</v>
      </c>
    </row>
    <row r="1307" spans="6:31" ht="24" customHeight="1">
      <c r="F1307" s="414">
        <v>4.3</v>
      </c>
      <c r="G1307" s="414" t="s">
        <v>619</v>
      </c>
      <c r="H1307" s="412" t="s">
        <v>245</v>
      </c>
      <c r="I1307" s="414">
        <f>(C13)</f>
        <v>534</v>
      </c>
      <c r="J1307" s="412" t="s">
        <v>619</v>
      </c>
      <c r="K1307" s="414">
        <f>(F1307*I1307)</f>
        <v>2296.1999999999998</v>
      </c>
      <c r="N1307" s="414" t="s">
        <v>358</v>
      </c>
      <c r="O1307" s="412" t="s">
        <v>962</v>
      </c>
      <c r="P1307" s="412" t="s">
        <v>790</v>
      </c>
      <c r="Q1307" s="413" t="s">
        <v>358</v>
      </c>
      <c r="R1307" s="414">
        <v>0</v>
      </c>
      <c r="S1307" s="414"/>
      <c r="W1307" s="413"/>
      <c r="X1307" s="418" t="s">
        <v>1288</v>
      </c>
      <c r="AE1307" s="414">
        <f t="shared" si="173"/>
        <v>0</v>
      </c>
    </row>
    <row r="1308" spans="6:31" ht="24" customHeight="1">
      <c r="G1308" s="414" t="s">
        <v>358</v>
      </c>
      <c r="H1308" s="412" t="s">
        <v>359</v>
      </c>
      <c r="J1308" s="412" t="s">
        <v>358</v>
      </c>
      <c r="K1308" s="414">
        <v>0</v>
      </c>
      <c r="Q1308" s="413"/>
      <c r="R1308" s="418" t="s">
        <v>1288</v>
      </c>
      <c r="S1308" s="414"/>
      <c r="U1308" s="413" t="s">
        <v>325</v>
      </c>
      <c r="W1308" s="413"/>
      <c r="X1308" s="417" t="e">
        <f>X1306/10</f>
        <v>#REF!</v>
      </c>
      <c r="AE1308" s="414">
        <f t="shared" si="173"/>
        <v>0</v>
      </c>
    </row>
    <row r="1309" spans="6:31" ht="24" customHeight="1">
      <c r="K1309" s="418" t="s">
        <v>1288</v>
      </c>
      <c r="O1309" s="412" t="s">
        <v>351</v>
      </c>
      <c r="Q1309" s="413"/>
      <c r="R1309" s="414">
        <f>SUM(R1300:R1307)</f>
        <v>2598.15</v>
      </c>
      <c r="S1309" s="414"/>
      <c r="U1309" s="412" t="s">
        <v>307</v>
      </c>
      <c r="W1309" s="413" t="e">
        <f>X1313+Y1308</f>
        <v>#REF!</v>
      </c>
      <c r="X1309" s="414" t="e">
        <f>X1308+Y1306</f>
        <v>#REF!</v>
      </c>
      <c r="AE1309" s="414">
        <f t="shared" si="173"/>
        <v>0</v>
      </c>
    </row>
    <row r="1310" spans="6:31" ht="24" customHeight="1">
      <c r="H1310" s="412" t="s">
        <v>351</v>
      </c>
      <c r="K1310" s="414" t="e">
        <f>SUM(K1303:K1308)</f>
        <v>#REF!</v>
      </c>
      <c r="Q1310" s="413"/>
      <c r="R1310" s="418" t="s">
        <v>1288</v>
      </c>
      <c r="S1310" s="414"/>
      <c r="U1310" s="412" t="s">
        <v>309</v>
      </c>
      <c r="W1310" s="413" t="e">
        <f>W1309+Y1308</f>
        <v>#REF!</v>
      </c>
      <c r="X1310" s="414" t="e">
        <f>X1309+1.11</f>
        <v>#REF!</v>
      </c>
      <c r="AE1310" s="414">
        <f t="shared" si="173"/>
        <v>0</v>
      </c>
    </row>
    <row r="1311" spans="6:31" ht="24" customHeight="1">
      <c r="K1311" s="418" t="s">
        <v>1288</v>
      </c>
      <c r="O1311" s="415" t="s">
        <v>447</v>
      </c>
      <c r="Q1311" s="413"/>
      <c r="R1311" s="417">
        <f>(R1309/10)</f>
        <v>259.82</v>
      </c>
      <c r="S1311" s="414"/>
      <c r="U1311" s="412" t="s">
        <v>1818</v>
      </c>
      <c r="W1311" s="413"/>
      <c r="X1311" s="414" t="e">
        <f>X1310+1.11</f>
        <v>#REF!</v>
      </c>
      <c r="AE1311" s="414">
        <f t="shared" si="173"/>
        <v>0</v>
      </c>
    </row>
    <row r="1312" spans="6:31" ht="24" customHeight="1">
      <c r="H1312" s="420" t="s">
        <v>447</v>
      </c>
      <c r="K1312" s="417" t="e">
        <f>(K1310/10)</f>
        <v>#REF!</v>
      </c>
      <c r="M1312" s="412" t="s">
        <v>790</v>
      </c>
      <c r="Q1312" s="413"/>
      <c r="S1312" s="414"/>
      <c r="U1312" s="412" t="s">
        <v>301</v>
      </c>
      <c r="W1312" s="413"/>
      <c r="X1312" s="414" t="e">
        <f>X1311+Y1308</f>
        <v>#REF!</v>
      </c>
      <c r="AE1312" s="414">
        <f t="shared" si="173"/>
        <v>0</v>
      </c>
    </row>
    <row r="1313" spans="6:31" ht="24" hidden="1" customHeight="1">
      <c r="F1313" s="412" t="s">
        <v>790</v>
      </c>
      <c r="Q1313" s="413"/>
      <c r="R1313" s="418" t="s">
        <v>1676</v>
      </c>
      <c r="S1313" s="414"/>
      <c r="U1313" s="412" t="s">
        <v>1110</v>
      </c>
      <c r="W1313" s="413"/>
      <c r="X1313" s="414" t="e">
        <f>X1312+Y1308</f>
        <v>#REF!</v>
      </c>
      <c r="AE1313" s="414">
        <f t="shared" si="173"/>
        <v>0</v>
      </c>
    </row>
    <row r="1314" spans="6:31" ht="24" customHeight="1">
      <c r="K1314" s="418" t="s">
        <v>1676</v>
      </c>
      <c r="Q1314" s="413"/>
      <c r="S1314" s="414"/>
      <c r="W1314" s="413"/>
      <c r="AE1314" s="414">
        <f t="shared" si="173"/>
        <v>0</v>
      </c>
    </row>
    <row r="1315" spans="6:31" ht="24" customHeight="1">
      <c r="F1315" s="413" t="s">
        <v>1578</v>
      </c>
      <c r="G1315" s="414" t="s">
        <v>1833</v>
      </c>
      <c r="H1315" s="415" t="s">
        <v>4332</v>
      </c>
      <c r="M1315" s="413" t="s">
        <v>1117</v>
      </c>
      <c r="N1315" s="414" t="s">
        <v>1833</v>
      </c>
      <c r="O1315" s="412" t="s">
        <v>4333</v>
      </c>
      <c r="Q1315" s="413"/>
      <c r="W1315" s="413"/>
      <c r="AE1315" s="414">
        <f t="shared" si="173"/>
        <v>0</v>
      </c>
    </row>
    <row r="1316" spans="6:31" ht="24" customHeight="1">
      <c r="H1316" s="412" t="s">
        <v>1579</v>
      </c>
      <c r="O1316" s="412" t="s">
        <v>1237</v>
      </c>
      <c r="Q1316" s="413"/>
      <c r="S1316" s="427">
        <v>15.1</v>
      </c>
      <c r="T1316" s="414" t="s">
        <v>1433</v>
      </c>
      <c r="U1316" s="412" t="s">
        <v>4334</v>
      </c>
      <c r="W1316" s="413"/>
      <c r="AE1316" s="414">
        <f t="shared" si="173"/>
        <v>0</v>
      </c>
    </row>
    <row r="1317" spans="6:31" ht="24" customHeight="1">
      <c r="H1317" s="412" t="s">
        <v>1580</v>
      </c>
      <c r="O1317" s="415" t="s">
        <v>974</v>
      </c>
      <c r="Q1317" s="413"/>
      <c r="S1317" s="414"/>
      <c r="U1317" s="412" t="s">
        <v>1859</v>
      </c>
      <c r="W1317" s="413"/>
      <c r="AE1317" s="414">
        <f t="shared" si="173"/>
        <v>0</v>
      </c>
    </row>
    <row r="1318" spans="6:31" ht="24" customHeight="1">
      <c r="H1318" s="412" t="s">
        <v>609</v>
      </c>
      <c r="O1318" s="418" t="s">
        <v>1288</v>
      </c>
      <c r="Q1318" s="413"/>
      <c r="S1318" s="414">
        <v>10</v>
      </c>
      <c r="T1318" s="414" t="s">
        <v>1861</v>
      </c>
      <c r="U1318" s="412" t="s">
        <v>4335</v>
      </c>
      <c r="V1318" s="414">
        <f>AB1188</f>
        <v>1737</v>
      </c>
      <c r="W1318" s="413" t="s">
        <v>1861</v>
      </c>
      <c r="X1318" s="414">
        <f>(S1318*V1318)</f>
        <v>17370</v>
      </c>
      <c r="AE1318" s="414">
        <f t="shared" si="173"/>
        <v>0</v>
      </c>
    </row>
    <row r="1319" spans="6:31" ht="24" customHeight="1">
      <c r="H1319" s="412" t="s">
        <v>602</v>
      </c>
      <c r="M1319" s="414">
        <v>1.4</v>
      </c>
      <c r="N1319" s="414" t="s">
        <v>1008</v>
      </c>
      <c r="O1319" s="415" t="s">
        <v>2996</v>
      </c>
      <c r="P1319" s="423">
        <v>295.60000000000002</v>
      </c>
      <c r="Q1319" s="413" t="s">
        <v>1008</v>
      </c>
      <c r="R1319" s="414">
        <f>P1319*M1319</f>
        <v>413.84</v>
      </c>
      <c r="S1319" s="414">
        <v>0.21</v>
      </c>
      <c r="T1319" s="414" t="s">
        <v>702</v>
      </c>
      <c r="U1319" s="412" t="s">
        <v>629</v>
      </c>
      <c r="V1319" s="423" t="e">
        <f>V1299</f>
        <v>#REF!</v>
      </c>
      <c r="W1319" s="413" t="s">
        <v>702</v>
      </c>
      <c r="X1319" s="414" t="e">
        <f t="shared" ref="X1319:X1324" si="176">(S1319*V1319)</f>
        <v>#REF!</v>
      </c>
      <c r="AE1319" s="414">
        <f t="shared" si="173"/>
        <v>0</v>
      </c>
    </row>
    <row r="1320" spans="6:31" ht="24" customHeight="1">
      <c r="H1320" s="418" t="s">
        <v>1288</v>
      </c>
      <c r="M1320" s="414">
        <v>0.98</v>
      </c>
      <c r="N1320" s="414" t="s">
        <v>1008</v>
      </c>
      <c r="O1320" s="412" t="s">
        <v>2997</v>
      </c>
      <c r="P1320" s="414">
        <f>C196</f>
        <v>147.5</v>
      </c>
      <c r="Q1320" s="413" t="s">
        <v>1008</v>
      </c>
      <c r="R1320" s="414">
        <f>(M1320*P1320)</f>
        <v>144.55000000000001</v>
      </c>
      <c r="S1320" s="414">
        <v>1.1000000000000001</v>
      </c>
      <c r="T1320" s="414" t="s">
        <v>453</v>
      </c>
      <c r="U1320" s="412" t="s">
        <v>454</v>
      </c>
      <c r="V1320" s="414">
        <f t="shared" ref="V1320:V1325" si="177">V1300</f>
        <v>999</v>
      </c>
      <c r="W1320" s="413" t="s">
        <v>1134</v>
      </c>
      <c r="X1320" s="414">
        <f t="shared" si="176"/>
        <v>1098.9000000000001</v>
      </c>
      <c r="AE1320" s="414">
        <f t="shared" si="173"/>
        <v>0</v>
      </c>
    </row>
    <row r="1321" spans="6:31" ht="24" customHeight="1">
      <c r="F1321" s="414">
        <v>12.8</v>
      </c>
      <c r="G1321" s="414" t="s">
        <v>702</v>
      </c>
      <c r="H1321" s="412" t="s">
        <v>603</v>
      </c>
      <c r="I1321" s="414" t="e">
        <f>(C82)</f>
        <v>#REF!</v>
      </c>
      <c r="J1321" s="412" t="s">
        <v>702</v>
      </c>
      <c r="K1321" s="414" t="e">
        <f>(F1321*I1321)</f>
        <v>#REF!</v>
      </c>
      <c r="M1321" s="414">
        <v>2.2000000000000002</v>
      </c>
      <c r="N1321" s="414" t="s">
        <v>619</v>
      </c>
      <c r="O1321" s="412" t="s">
        <v>960</v>
      </c>
      <c r="P1321" s="414">
        <f>P1302</f>
        <v>797</v>
      </c>
      <c r="Q1321" s="413" t="s">
        <v>619</v>
      </c>
      <c r="R1321" s="414">
        <f>(M1321*P1321)</f>
        <v>1753.4</v>
      </c>
      <c r="S1321" s="414">
        <v>1.1000000000000001</v>
      </c>
      <c r="T1321" s="414" t="s">
        <v>453</v>
      </c>
      <c r="U1321" s="412" t="s">
        <v>2180</v>
      </c>
      <c r="V1321" s="414">
        <f t="shared" si="177"/>
        <v>932</v>
      </c>
      <c r="W1321" s="413" t="s">
        <v>1134</v>
      </c>
      <c r="X1321" s="414">
        <f t="shared" si="176"/>
        <v>1025.2</v>
      </c>
      <c r="AE1321" s="414">
        <f t="shared" si="173"/>
        <v>0</v>
      </c>
    </row>
    <row r="1322" spans="6:31" ht="24" customHeight="1">
      <c r="F1322" s="414">
        <v>5</v>
      </c>
      <c r="G1322" s="414" t="s">
        <v>702</v>
      </c>
      <c r="H1322" s="412" t="s">
        <v>604</v>
      </c>
      <c r="I1322" s="414" t="e">
        <f>(C85)</f>
        <v>#REF!</v>
      </c>
      <c r="J1322" s="412" t="s">
        <v>702</v>
      </c>
      <c r="K1322" s="414" t="e">
        <f>(F1322*I1322)</f>
        <v>#REF!</v>
      </c>
      <c r="N1322" s="414" t="s">
        <v>358</v>
      </c>
      <c r="O1322" s="412" t="s">
        <v>962</v>
      </c>
      <c r="P1322" s="412" t="s">
        <v>790</v>
      </c>
      <c r="Q1322" s="413" t="s">
        <v>358</v>
      </c>
      <c r="R1322" s="414">
        <v>2.5499999999999998</v>
      </c>
      <c r="S1322" s="414">
        <v>2.2000000000000002</v>
      </c>
      <c r="T1322" s="414" t="s">
        <v>453</v>
      </c>
      <c r="U1322" s="412" t="s">
        <v>667</v>
      </c>
      <c r="V1322" s="414">
        <f t="shared" si="177"/>
        <v>651</v>
      </c>
      <c r="W1322" s="413" t="s">
        <v>1134</v>
      </c>
      <c r="X1322" s="414">
        <f t="shared" si="176"/>
        <v>1432.2</v>
      </c>
      <c r="AE1322" s="414">
        <f t="shared" si="173"/>
        <v>0</v>
      </c>
    </row>
    <row r="1323" spans="6:31" ht="24" customHeight="1">
      <c r="F1323" s="414">
        <v>1.8</v>
      </c>
      <c r="G1323" s="414" t="s">
        <v>619</v>
      </c>
      <c r="H1323" s="412" t="s">
        <v>1637</v>
      </c>
      <c r="I1323" s="414">
        <f>(C10)</f>
        <v>999</v>
      </c>
      <c r="J1323" s="412" t="s">
        <v>619</v>
      </c>
      <c r="K1323" s="414">
        <f>(F1323*I1323)</f>
        <v>1798.2</v>
      </c>
      <c r="Q1323" s="413"/>
      <c r="R1323" s="418"/>
      <c r="S1323" s="414">
        <v>2.2000000000000002</v>
      </c>
      <c r="T1323" s="414" t="s">
        <v>453</v>
      </c>
      <c r="U1323" s="412" t="s">
        <v>2178</v>
      </c>
      <c r="V1323" s="414">
        <f t="shared" si="177"/>
        <v>534</v>
      </c>
      <c r="W1323" s="413" t="s">
        <v>1134</v>
      </c>
      <c r="X1323" s="414">
        <f t="shared" si="176"/>
        <v>1174.8</v>
      </c>
      <c r="AE1323" s="414">
        <f t="shared" si="173"/>
        <v>0</v>
      </c>
    </row>
    <row r="1324" spans="6:31" ht="24" customHeight="1">
      <c r="F1324" s="414">
        <v>17.7</v>
      </c>
      <c r="G1324" s="414" t="s">
        <v>619</v>
      </c>
      <c r="H1324" s="412" t="s">
        <v>754</v>
      </c>
      <c r="I1324" s="414">
        <f>(C12)</f>
        <v>651</v>
      </c>
      <c r="J1324" s="412" t="s">
        <v>619</v>
      </c>
      <c r="K1324" s="414">
        <f>(F1324*I1324)</f>
        <v>11522.7</v>
      </c>
      <c r="O1324" s="412" t="s">
        <v>351</v>
      </c>
      <c r="Q1324" s="413"/>
      <c r="R1324" s="414">
        <f>SUM(R1319:R1322)</f>
        <v>2314.34</v>
      </c>
      <c r="S1324" s="414">
        <v>10</v>
      </c>
      <c r="T1324" s="414" t="s">
        <v>358</v>
      </c>
      <c r="U1324" s="412" t="s">
        <v>2179</v>
      </c>
      <c r="V1324" s="414">
        <f t="shared" si="177"/>
        <v>153.47</v>
      </c>
      <c r="W1324" s="413" t="s">
        <v>358</v>
      </c>
      <c r="X1324" s="414">
        <f t="shared" si="176"/>
        <v>1534.7</v>
      </c>
      <c r="AE1324" s="414">
        <f t="shared" si="173"/>
        <v>0</v>
      </c>
    </row>
    <row r="1325" spans="6:31" ht="24" customHeight="1">
      <c r="F1325" s="414">
        <v>14.1</v>
      </c>
      <c r="G1325" s="414" t="s">
        <v>619</v>
      </c>
      <c r="H1325" s="412" t="s">
        <v>245</v>
      </c>
      <c r="I1325" s="414">
        <f>(C13)</f>
        <v>534</v>
      </c>
      <c r="J1325" s="412" t="s">
        <v>619</v>
      </c>
      <c r="K1325" s="414">
        <f>(F1325*I1325)</f>
        <v>7529.4</v>
      </c>
      <c r="Q1325" s="413"/>
      <c r="R1325" s="418" t="s">
        <v>1288</v>
      </c>
      <c r="S1325" s="414"/>
      <c r="U1325" s="412"/>
      <c r="V1325" s="414">
        <f t="shared" si="177"/>
        <v>0</v>
      </c>
      <c r="W1325" s="413"/>
      <c r="X1325" s="418" t="s">
        <v>1288</v>
      </c>
      <c r="AE1325" s="414">
        <f t="shared" si="173"/>
        <v>0</v>
      </c>
    </row>
    <row r="1326" spans="6:31" ht="24" customHeight="1">
      <c r="G1326" s="414" t="s">
        <v>358</v>
      </c>
      <c r="H1326" s="412" t="s">
        <v>359</v>
      </c>
      <c r="J1326" s="412" t="s">
        <v>358</v>
      </c>
      <c r="K1326" s="414">
        <v>0</v>
      </c>
      <c r="O1326" s="412" t="s">
        <v>447</v>
      </c>
      <c r="Q1326" s="413"/>
      <c r="R1326" s="417">
        <f>(R1324/10)</f>
        <v>231.43</v>
      </c>
      <c r="S1326" s="414">
        <f>R1326-157</f>
        <v>74.430000000000007</v>
      </c>
      <c r="U1326" s="413" t="s">
        <v>322</v>
      </c>
      <c r="W1326" s="413"/>
      <c r="X1326" s="414" t="e">
        <f>SUM(X1318:X1324)</f>
        <v>#REF!</v>
      </c>
      <c r="AE1326" s="414">
        <f t="shared" si="173"/>
        <v>0</v>
      </c>
    </row>
    <row r="1327" spans="6:31" ht="24" customHeight="1">
      <c r="K1327" s="418" t="s">
        <v>1288</v>
      </c>
      <c r="M1327" s="412" t="s">
        <v>790</v>
      </c>
      <c r="Q1327" s="413"/>
      <c r="S1327" s="414"/>
      <c r="W1327" s="413"/>
      <c r="X1327" s="418" t="s">
        <v>1288</v>
      </c>
      <c r="AE1327" s="414">
        <f t="shared" si="173"/>
        <v>0</v>
      </c>
    </row>
    <row r="1328" spans="6:31" ht="24" customHeight="1">
      <c r="H1328" s="412" t="s">
        <v>492</v>
      </c>
      <c r="K1328" s="414" t="e">
        <f>SUM(K1321:K1327)</f>
        <v>#REF!</v>
      </c>
      <c r="Q1328" s="413"/>
      <c r="R1328" s="418" t="s">
        <v>1676</v>
      </c>
      <c r="S1328" s="414"/>
      <c r="U1328" s="413" t="s">
        <v>325</v>
      </c>
      <c r="W1328" s="413"/>
      <c r="X1328" s="417" t="e">
        <f>X1326/10</f>
        <v>#REF!</v>
      </c>
      <c r="AE1328" s="414">
        <f t="shared" si="173"/>
        <v>0</v>
      </c>
    </row>
    <row r="1329" spans="6:31" ht="24" customHeight="1">
      <c r="K1329" s="418" t="s">
        <v>1288</v>
      </c>
      <c r="Q1329" s="413"/>
      <c r="W1329" s="413"/>
      <c r="AE1329" s="414">
        <f t="shared" si="173"/>
        <v>0</v>
      </c>
    </row>
    <row r="1330" spans="6:31" ht="24" customHeight="1">
      <c r="H1330" s="420" t="s">
        <v>621</v>
      </c>
      <c r="K1330" s="417" t="e">
        <f>(K1328/10)</f>
        <v>#REF!</v>
      </c>
      <c r="M1330" s="427">
        <v>15.1</v>
      </c>
      <c r="N1330" s="414" t="s">
        <v>1433</v>
      </c>
      <c r="O1330" s="412" t="s">
        <v>4334</v>
      </c>
      <c r="Q1330" s="413"/>
      <c r="T1330" s="415" t="s">
        <v>2324</v>
      </c>
      <c r="W1330" s="413"/>
      <c r="AE1330" s="414">
        <f t="shared" si="173"/>
        <v>0</v>
      </c>
    </row>
    <row r="1331" spans="6:31" ht="24" customHeight="1">
      <c r="K1331" s="418" t="s">
        <v>1676</v>
      </c>
      <c r="O1331" s="412" t="s">
        <v>1859</v>
      </c>
      <c r="Q1331" s="413"/>
      <c r="S1331" s="414">
        <v>10</v>
      </c>
      <c r="T1331" s="414" t="s">
        <v>488</v>
      </c>
      <c r="U1331" s="412" t="s">
        <v>2998</v>
      </c>
      <c r="V1331" s="414">
        <v>506</v>
      </c>
      <c r="W1331" s="413" t="s">
        <v>488</v>
      </c>
      <c r="X1331" s="414">
        <f>(S1331*V1331)</f>
        <v>5060</v>
      </c>
      <c r="Z1331" s="414">
        <v>9</v>
      </c>
      <c r="AA1331" s="414" t="s">
        <v>2197</v>
      </c>
      <c r="AB1331" s="414" t="e">
        <f>AC44</f>
        <v>#REF!</v>
      </c>
      <c r="AC1331" s="414" t="e">
        <f>AB1331*Z1331</f>
        <v>#REF!</v>
      </c>
      <c r="AE1331" s="414">
        <f t="shared" si="173"/>
        <v>0</v>
      </c>
    </row>
    <row r="1332" spans="6:31" ht="24" customHeight="1">
      <c r="M1332" s="414">
        <v>10</v>
      </c>
      <c r="N1332" s="414" t="s">
        <v>1861</v>
      </c>
      <c r="O1332" s="412" t="s">
        <v>4336</v>
      </c>
      <c r="P1332" s="414">
        <v>1626</v>
      </c>
      <c r="Q1332" s="413" t="s">
        <v>1861</v>
      </c>
      <c r="R1332" s="414">
        <f>(M1332*P1332)</f>
        <v>16260</v>
      </c>
      <c r="S1332" s="414">
        <v>0.21</v>
      </c>
      <c r="T1332" s="414" t="s">
        <v>702</v>
      </c>
      <c r="U1332" s="412" t="s">
        <v>1527</v>
      </c>
      <c r="V1332" s="414" t="e">
        <f>P1333</f>
        <v>#REF!</v>
      </c>
      <c r="W1332" s="413" t="s">
        <v>702</v>
      </c>
      <c r="X1332" s="414" t="e">
        <f>(S1332*V1332)</f>
        <v>#REF!</v>
      </c>
      <c r="Z1332" s="414">
        <v>4.5</v>
      </c>
      <c r="AA1332" s="412" t="s">
        <v>331</v>
      </c>
      <c r="AB1332" s="414" t="e">
        <f>K23</f>
        <v>#REF!</v>
      </c>
      <c r="AC1332" s="414" t="e">
        <f>AB1332*Z1332</f>
        <v>#REF!</v>
      </c>
      <c r="AE1332" s="414">
        <f t="shared" si="173"/>
        <v>0</v>
      </c>
    </row>
    <row r="1333" spans="6:31" ht="24" customHeight="1">
      <c r="G1333" s="414" t="s">
        <v>544</v>
      </c>
      <c r="H1333" s="412" t="s">
        <v>605</v>
      </c>
      <c r="M1333" s="414">
        <v>0.12</v>
      </c>
      <c r="N1333" s="414" t="s">
        <v>702</v>
      </c>
      <c r="O1333" s="412" t="s">
        <v>629</v>
      </c>
      <c r="P1333" s="414" t="e">
        <f>K32</f>
        <v>#REF!</v>
      </c>
      <c r="Q1333" s="413" t="s">
        <v>702</v>
      </c>
      <c r="R1333" s="414" t="e">
        <f>(M1333*P1333)</f>
        <v>#REF!</v>
      </c>
      <c r="S1333" s="414">
        <v>10</v>
      </c>
      <c r="U1333" s="412" t="s">
        <v>2325</v>
      </c>
      <c r="V1333" s="423" t="e">
        <f>K1344</f>
        <v>#REF!</v>
      </c>
      <c r="W1333" s="413"/>
      <c r="X1333" s="414" t="e">
        <f>(S1333*V1333)</f>
        <v>#REF!</v>
      </c>
      <c r="Z1333" s="414">
        <v>1.8</v>
      </c>
      <c r="AA1333" s="412" t="s">
        <v>1392</v>
      </c>
      <c r="AB1333" s="414">
        <f>V1335</f>
        <v>932</v>
      </c>
      <c r="AC1333" s="414">
        <f>AB1333*Z1333</f>
        <v>1677.6</v>
      </c>
      <c r="AE1333" s="414">
        <f t="shared" si="173"/>
        <v>0</v>
      </c>
    </row>
    <row r="1334" spans="6:31" ht="24" customHeight="1">
      <c r="H1334" s="412" t="s">
        <v>606</v>
      </c>
      <c r="M1334" s="414">
        <v>1</v>
      </c>
      <c r="N1334" s="414" t="s">
        <v>453</v>
      </c>
      <c r="O1334" s="412" t="s">
        <v>454</v>
      </c>
      <c r="P1334" s="414">
        <f>I1305</f>
        <v>999</v>
      </c>
      <c r="Q1334" s="413" t="s">
        <v>1134</v>
      </c>
      <c r="R1334" s="414">
        <f>(M1334*P1334)</f>
        <v>999</v>
      </c>
      <c r="S1334" s="414">
        <v>1.1000000000000001</v>
      </c>
      <c r="T1334" s="439" t="s">
        <v>619</v>
      </c>
      <c r="U1334" s="412" t="s">
        <v>1637</v>
      </c>
      <c r="V1334" s="414">
        <f>AE9</f>
        <v>999</v>
      </c>
      <c r="W1334" s="413" t="s">
        <v>619</v>
      </c>
      <c r="X1334" s="414">
        <f t="shared" ref="X1334:X1341" si="178">S1334*V1334</f>
        <v>1098.9000000000001</v>
      </c>
      <c r="Z1334" s="414">
        <v>17.7</v>
      </c>
      <c r="AA1334" s="412" t="s">
        <v>1550</v>
      </c>
      <c r="AB1334" s="414">
        <f>V1336</f>
        <v>651</v>
      </c>
      <c r="AC1334" s="414">
        <f>AB1334*Z1334</f>
        <v>11522.7</v>
      </c>
      <c r="AE1334" s="414">
        <f t="shared" si="173"/>
        <v>0</v>
      </c>
    </row>
    <row r="1335" spans="6:31" ht="24" customHeight="1">
      <c r="H1335" s="418" t="s">
        <v>1288</v>
      </c>
      <c r="L1335" s="414" t="e">
        <f>SUM(K1355:K1360)</f>
        <v>#REF!</v>
      </c>
      <c r="M1335" s="414">
        <v>1</v>
      </c>
      <c r="N1335" s="414" t="s">
        <v>453</v>
      </c>
      <c r="O1335" s="412" t="s">
        <v>667</v>
      </c>
      <c r="P1335" s="414">
        <f>I1306</f>
        <v>651</v>
      </c>
      <c r="Q1335" s="413" t="s">
        <v>1134</v>
      </c>
      <c r="R1335" s="414">
        <f>(M1335*P1335)</f>
        <v>651</v>
      </c>
      <c r="S1335" s="414">
        <v>2.1</v>
      </c>
      <c r="T1335" s="439" t="s">
        <v>619</v>
      </c>
      <c r="U1335" s="412" t="s">
        <v>1392</v>
      </c>
      <c r="V1335" s="414">
        <f>AE10</f>
        <v>932</v>
      </c>
      <c r="W1335" s="413" t="s">
        <v>619</v>
      </c>
      <c r="X1335" s="414">
        <f t="shared" si="178"/>
        <v>1957.2</v>
      </c>
      <c r="Z1335" s="414">
        <v>14.1</v>
      </c>
      <c r="AA1335" s="412" t="s">
        <v>245</v>
      </c>
      <c r="AB1335" s="414">
        <f>V1337</f>
        <v>534</v>
      </c>
      <c r="AC1335" s="414">
        <f>AB1335*Z1335</f>
        <v>7529.4</v>
      </c>
      <c r="AE1335" s="414">
        <f t="shared" si="173"/>
        <v>0</v>
      </c>
    </row>
    <row r="1336" spans="6:31" ht="24" customHeight="1">
      <c r="F1336" s="414">
        <v>0.04</v>
      </c>
      <c r="G1336" s="414" t="s">
        <v>702</v>
      </c>
      <c r="H1336" s="412" t="s">
        <v>607</v>
      </c>
      <c r="I1336" s="414" t="e">
        <f>(K32)</f>
        <v>#REF!</v>
      </c>
      <c r="J1336" s="412" t="s">
        <v>702</v>
      </c>
      <c r="K1336" s="414" t="e">
        <f>(F1336*I1336)</f>
        <v>#REF!</v>
      </c>
      <c r="N1336" s="414" t="s">
        <v>358</v>
      </c>
      <c r="O1336" s="412" t="s">
        <v>42</v>
      </c>
      <c r="Q1336" s="413" t="s">
        <v>358</v>
      </c>
      <c r="R1336" s="414">
        <v>0.33</v>
      </c>
      <c r="S1336" s="414">
        <v>2.2000000000000002</v>
      </c>
      <c r="T1336" s="439" t="s">
        <v>619</v>
      </c>
      <c r="U1336" s="412" t="s">
        <v>1550</v>
      </c>
      <c r="V1336" s="414">
        <f>AE11</f>
        <v>651</v>
      </c>
      <c r="W1336" s="413" t="s">
        <v>619</v>
      </c>
      <c r="X1336" s="414">
        <f t="shared" si="178"/>
        <v>1432.2</v>
      </c>
      <c r="AC1336" s="414" t="e">
        <f>SUM(AC1331:AC1335)</f>
        <v>#REF!</v>
      </c>
      <c r="AE1336" s="414">
        <f t="shared" si="173"/>
        <v>0</v>
      </c>
    </row>
    <row r="1337" spans="6:31" ht="24" customHeight="1">
      <c r="F1337" s="414">
        <v>2.2000000000000002</v>
      </c>
      <c r="G1337" s="414" t="s">
        <v>619</v>
      </c>
      <c r="H1337" s="412" t="s">
        <v>1392</v>
      </c>
      <c r="I1337" s="414">
        <f>(C11)</f>
        <v>932</v>
      </c>
      <c r="J1337" s="412" t="s">
        <v>619</v>
      </c>
      <c r="K1337" s="414">
        <f>(F1337*I1337)</f>
        <v>2050.4</v>
      </c>
      <c r="L1337" s="414" t="e">
        <f>SUM(K1355:K1360)</f>
        <v>#REF!</v>
      </c>
      <c r="O1337" s="412" t="s">
        <v>751</v>
      </c>
      <c r="Q1337" s="413"/>
      <c r="R1337" s="418" t="s">
        <v>1288</v>
      </c>
      <c r="S1337" s="414">
        <v>1.1000000000000001</v>
      </c>
      <c r="T1337" s="439" t="s">
        <v>619</v>
      </c>
      <c r="U1337" s="412" t="s">
        <v>245</v>
      </c>
      <c r="V1337" s="414">
        <f>AE12</f>
        <v>534</v>
      </c>
      <c r="W1337" s="413" t="s">
        <v>619</v>
      </c>
      <c r="X1337" s="414">
        <f t="shared" si="178"/>
        <v>587.4</v>
      </c>
      <c r="AC1337" s="414" t="e">
        <f>AC1336/10</f>
        <v>#REF!</v>
      </c>
      <c r="AE1337" s="414">
        <f t="shared" si="173"/>
        <v>0</v>
      </c>
    </row>
    <row r="1338" spans="6:31" ht="24" customHeight="1">
      <c r="F1338" s="414">
        <v>0.5</v>
      </c>
      <c r="G1338" s="414" t="s">
        <v>619</v>
      </c>
      <c r="H1338" s="412" t="s">
        <v>1550</v>
      </c>
      <c r="I1338" s="414">
        <f>(C12)</f>
        <v>651</v>
      </c>
      <c r="J1338" s="412" t="s">
        <v>619</v>
      </c>
      <c r="K1338" s="414">
        <f>(F1338*I1338)</f>
        <v>325.5</v>
      </c>
      <c r="O1338" s="413" t="s">
        <v>322</v>
      </c>
      <c r="Q1338" s="413"/>
      <c r="R1338" s="414" t="e">
        <f>SUM(R1332:R1336)</f>
        <v>#REF!</v>
      </c>
      <c r="S1338" s="416">
        <v>6.5</v>
      </c>
      <c r="T1338" s="439" t="s">
        <v>1341</v>
      </c>
      <c r="U1338" s="412" t="s">
        <v>2198</v>
      </c>
      <c r="V1338" s="414">
        <v>17.18</v>
      </c>
      <c r="W1338" s="413" t="s">
        <v>694</v>
      </c>
      <c r="X1338" s="414">
        <f t="shared" si="178"/>
        <v>111.67</v>
      </c>
      <c r="AE1338" s="414">
        <f t="shared" si="173"/>
        <v>0</v>
      </c>
    </row>
    <row r="1339" spans="6:31" ht="24" customHeight="1">
      <c r="F1339" s="414">
        <v>1.1000000000000001</v>
      </c>
      <c r="G1339" s="414" t="s">
        <v>619</v>
      </c>
      <c r="H1339" s="412" t="s">
        <v>245</v>
      </c>
      <c r="I1339" s="414">
        <f>(C13)</f>
        <v>534</v>
      </c>
      <c r="J1339" s="412" t="s">
        <v>619</v>
      </c>
      <c r="K1339" s="414">
        <f>(F1339*I1339)</f>
        <v>587.4</v>
      </c>
      <c r="Q1339" s="413"/>
      <c r="R1339" s="418" t="s">
        <v>1288</v>
      </c>
      <c r="S1339" s="416">
        <v>3</v>
      </c>
      <c r="T1339" s="439" t="s">
        <v>1341</v>
      </c>
      <c r="U1339" s="412" t="s">
        <v>2262</v>
      </c>
      <c r="V1339" s="414">
        <f>C610</f>
        <v>27.25</v>
      </c>
      <c r="W1339" s="413" t="s">
        <v>1341</v>
      </c>
      <c r="X1339" s="414">
        <f t="shared" si="178"/>
        <v>81.75</v>
      </c>
      <c r="AE1339" s="414">
        <f t="shared" si="173"/>
        <v>0</v>
      </c>
    </row>
    <row r="1340" spans="6:31" ht="24" customHeight="1">
      <c r="G1340" s="414" t="s">
        <v>358</v>
      </c>
      <c r="H1340" s="412" t="s">
        <v>359</v>
      </c>
      <c r="J1340" s="412" t="s">
        <v>358</v>
      </c>
      <c r="K1340" s="414">
        <v>0</v>
      </c>
      <c r="O1340" s="413" t="s">
        <v>325</v>
      </c>
      <c r="Q1340" s="413"/>
      <c r="R1340" s="417" t="e">
        <f>R1338/10</f>
        <v>#REF!</v>
      </c>
      <c r="S1340" s="414">
        <v>2.15</v>
      </c>
      <c r="T1340" s="439" t="s">
        <v>619</v>
      </c>
      <c r="U1340" s="412" t="s">
        <v>2199</v>
      </c>
      <c r="V1340" s="414">
        <v>45.8</v>
      </c>
      <c r="W1340" s="413" t="s">
        <v>619</v>
      </c>
      <c r="X1340" s="414">
        <f t="shared" si="178"/>
        <v>98.47</v>
      </c>
      <c r="AE1340" s="414">
        <f t="shared" si="173"/>
        <v>0</v>
      </c>
    </row>
    <row r="1341" spans="6:31" ht="24" customHeight="1">
      <c r="K1341" s="418" t="s">
        <v>1288</v>
      </c>
      <c r="O1341" s="412" t="s">
        <v>307</v>
      </c>
      <c r="Q1341" s="413" t="e">
        <f>R1345+S1302</f>
        <v>#REF!</v>
      </c>
      <c r="R1341" s="414" t="e">
        <f>R1340+S1299</f>
        <v>#REF!</v>
      </c>
      <c r="S1341" s="414">
        <v>0.4</v>
      </c>
      <c r="T1341" s="439" t="s">
        <v>619</v>
      </c>
      <c r="U1341" s="412" t="s">
        <v>2270</v>
      </c>
      <c r="V1341" s="414" t="e">
        <f>AC1337</f>
        <v>#REF!</v>
      </c>
      <c r="W1341" s="413" t="s">
        <v>619</v>
      </c>
      <c r="X1341" s="414" t="e">
        <f t="shared" si="178"/>
        <v>#REF!</v>
      </c>
      <c r="AE1341" s="414">
        <f t="shared" si="173"/>
        <v>0</v>
      </c>
    </row>
    <row r="1342" spans="6:31" ht="24" customHeight="1">
      <c r="H1342" s="412" t="s">
        <v>351</v>
      </c>
      <c r="K1342" s="414" t="e">
        <f>SUM(K1336:K1340)</f>
        <v>#REF!</v>
      </c>
      <c r="O1342" s="412" t="s">
        <v>309</v>
      </c>
      <c r="Q1342" s="413" t="e">
        <f>Q1341+S1302</f>
        <v>#REF!</v>
      </c>
      <c r="R1342" s="414" t="e">
        <f>R1341+1.11</f>
        <v>#REF!</v>
      </c>
      <c r="S1342" s="414"/>
      <c r="T1342" s="439"/>
      <c r="U1342" s="412"/>
      <c r="W1342" s="413" t="s">
        <v>619</v>
      </c>
      <c r="X1342" s="414">
        <f>(S1342*V1342)</f>
        <v>0</v>
      </c>
      <c r="AE1342" s="414">
        <f t="shared" ref="AE1342:AE1405" si="179">AG1342</f>
        <v>0</v>
      </c>
    </row>
    <row r="1343" spans="6:31" ht="24" customHeight="1">
      <c r="K1343" s="418" t="s">
        <v>1288</v>
      </c>
      <c r="O1343" s="412" t="s">
        <v>1818</v>
      </c>
      <c r="Q1343" s="413"/>
      <c r="R1343" s="414" t="e">
        <f>R1342+1.11</f>
        <v>#REF!</v>
      </c>
      <c r="S1343" s="414"/>
      <c r="T1343" s="439" t="s">
        <v>358</v>
      </c>
      <c r="U1343" s="412" t="s">
        <v>359</v>
      </c>
      <c r="W1343" s="413" t="s">
        <v>358</v>
      </c>
      <c r="X1343" s="414">
        <v>0.8</v>
      </c>
      <c r="AE1343" s="414">
        <f t="shared" si="179"/>
        <v>0</v>
      </c>
    </row>
    <row r="1344" spans="6:31" ht="24" customHeight="1">
      <c r="H1344" s="420" t="s">
        <v>447</v>
      </c>
      <c r="K1344" s="417" t="e">
        <f>(K1342/10)</f>
        <v>#REF!</v>
      </c>
      <c r="O1344" s="412" t="s">
        <v>301</v>
      </c>
      <c r="Q1344" s="413"/>
      <c r="R1344" s="414" t="e">
        <f>R1343+S1302</f>
        <v>#REF!</v>
      </c>
      <c r="S1344" s="414"/>
      <c r="T1344" s="439"/>
      <c r="W1344" s="413"/>
      <c r="X1344" s="418" t="s">
        <v>1288</v>
      </c>
      <c r="AE1344" s="414">
        <f t="shared" si="179"/>
        <v>0</v>
      </c>
    </row>
    <row r="1345" spans="6:31" ht="24" customHeight="1">
      <c r="K1345" s="418" t="s">
        <v>1676</v>
      </c>
      <c r="O1345" s="412" t="s">
        <v>1110</v>
      </c>
      <c r="Q1345" s="413"/>
      <c r="R1345" s="414" t="e">
        <f>R1344+S1302</f>
        <v>#REF!</v>
      </c>
      <c r="S1345" s="414"/>
      <c r="T1345" s="439"/>
      <c r="U1345" s="412" t="s">
        <v>351</v>
      </c>
      <c r="W1345" s="413"/>
      <c r="X1345" s="414" t="e">
        <f>SUM(X1331:X1344)</f>
        <v>#REF!</v>
      </c>
      <c r="AE1345" s="414">
        <f t="shared" si="179"/>
        <v>0</v>
      </c>
    </row>
    <row r="1346" spans="6:31" ht="24" customHeight="1">
      <c r="Q1346" s="413"/>
      <c r="S1346" s="414"/>
      <c r="T1346" s="439"/>
      <c r="W1346" s="413"/>
      <c r="X1346" s="418" t="s">
        <v>1288</v>
      </c>
      <c r="AE1346" s="414">
        <f t="shared" si="179"/>
        <v>0</v>
      </c>
    </row>
    <row r="1347" spans="6:31" ht="24" customHeight="1">
      <c r="F1347" s="427">
        <v>32.1</v>
      </c>
      <c r="G1347" s="414" t="s">
        <v>1833</v>
      </c>
      <c r="H1347" s="412" t="s">
        <v>608</v>
      </c>
      <c r="Q1347" s="412"/>
      <c r="S1347" s="414"/>
      <c r="T1347" s="439"/>
      <c r="U1347" s="412" t="s">
        <v>447</v>
      </c>
      <c r="W1347" s="413"/>
      <c r="X1347" s="417" t="e">
        <f>(X1345/10)</f>
        <v>#REF!</v>
      </c>
      <c r="Y1347" s="414">
        <f>0.8-0.77</f>
        <v>0.03</v>
      </c>
      <c r="AE1347" s="414">
        <f t="shared" si="179"/>
        <v>0</v>
      </c>
    </row>
    <row r="1348" spans="6:31" ht="24" customHeight="1">
      <c r="H1348" s="412" t="s">
        <v>1209</v>
      </c>
      <c r="Q1348" s="412"/>
      <c r="S1348" s="414"/>
      <c r="T1348" s="439"/>
      <c r="W1348" s="413"/>
      <c r="X1348" s="418" t="s">
        <v>1676</v>
      </c>
      <c r="AE1348" s="414">
        <f t="shared" si="179"/>
        <v>0</v>
      </c>
    </row>
    <row r="1349" spans="6:31" ht="24" customHeight="1">
      <c r="H1349" s="412" t="s">
        <v>547</v>
      </c>
      <c r="Q1349" s="412"/>
      <c r="W1349" s="413"/>
      <c r="AE1349" s="414">
        <f t="shared" si="179"/>
        <v>0</v>
      </c>
    </row>
    <row r="1350" spans="6:31" ht="24" customHeight="1">
      <c r="H1350" s="412" t="s">
        <v>1602</v>
      </c>
      <c r="Q1350" s="412"/>
      <c r="W1350" s="413"/>
      <c r="Y1350" s="440">
        <v>3.02</v>
      </c>
      <c r="Z1350" s="414" t="s">
        <v>734</v>
      </c>
      <c r="AA1350" s="412" t="s">
        <v>1505</v>
      </c>
      <c r="AB1350" s="414">
        <f t="shared" ref="AB1350:AB1361" si="180">V1352</f>
        <v>325</v>
      </c>
      <c r="AC1350" s="414" t="s">
        <v>734</v>
      </c>
      <c r="AD1350" s="414">
        <f t="shared" ref="AD1350:AD1361" si="181">AB1350*Y1350</f>
        <v>981.5</v>
      </c>
      <c r="AE1350" s="414">
        <f t="shared" si="179"/>
        <v>0</v>
      </c>
    </row>
    <row r="1351" spans="6:31" ht="24" customHeight="1">
      <c r="H1351" s="412" t="s">
        <v>1052</v>
      </c>
      <c r="O1351" s="414" t="s">
        <v>975</v>
      </c>
      <c r="Q1351" s="413"/>
      <c r="U1351" s="417" t="s">
        <v>2096</v>
      </c>
      <c r="W1351" s="413"/>
      <c r="Y1351" s="440">
        <v>2.19</v>
      </c>
      <c r="Z1351" s="414" t="s">
        <v>734</v>
      </c>
      <c r="AA1351" s="412" t="s">
        <v>1505</v>
      </c>
      <c r="AB1351" s="414">
        <f t="shared" si="180"/>
        <v>325</v>
      </c>
      <c r="AC1351" s="414" t="s">
        <v>734</v>
      </c>
      <c r="AD1351" s="414">
        <f t="shared" si="181"/>
        <v>711.75</v>
      </c>
      <c r="AE1351" s="414">
        <f t="shared" si="179"/>
        <v>0</v>
      </c>
    </row>
    <row r="1352" spans="6:31" ht="24" customHeight="1">
      <c r="H1352" s="418" t="s">
        <v>1288</v>
      </c>
      <c r="Q1352" s="413"/>
      <c r="S1352" s="416">
        <v>3.72</v>
      </c>
      <c r="T1352" s="414" t="s">
        <v>734</v>
      </c>
      <c r="U1352" s="412" t="s">
        <v>1505</v>
      </c>
      <c r="V1352" s="414">
        <f>P1391</f>
        <v>325</v>
      </c>
      <c r="W1352" s="413" t="s">
        <v>734</v>
      </c>
      <c r="X1352" s="414">
        <f>V1352*S1352</f>
        <v>1209</v>
      </c>
      <c r="Y1352" s="440">
        <v>4.96</v>
      </c>
      <c r="Z1352" s="414" t="s">
        <v>734</v>
      </c>
      <c r="AA1352" s="412" t="s">
        <v>1505</v>
      </c>
      <c r="AB1352" s="414">
        <f t="shared" si="180"/>
        <v>325</v>
      </c>
      <c r="AC1352" s="414" t="s">
        <v>734</v>
      </c>
      <c r="AD1352" s="414">
        <f t="shared" si="181"/>
        <v>1612</v>
      </c>
      <c r="AE1352" s="414">
        <f t="shared" si="179"/>
        <v>0</v>
      </c>
    </row>
    <row r="1353" spans="6:31" ht="24" customHeight="1">
      <c r="F1353" s="414">
        <v>190</v>
      </c>
      <c r="G1353" s="414" t="s">
        <v>1524</v>
      </c>
      <c r="H1353" s="412" t="s">
        <v>2347</v>
      </c>
      <c r="I1353" s="414" t="e">
        <f>(C83)</f>
        <v>#REF!</v>
      </c>
      <c r="J1353" s="412" t="s">
        <v>1207</v>
      </c>
      <c r="K1353" s="414" t="e">
        <f>(F1353*I1353)/1000</f>
        <v>#REF!</v>
      </c>
      <c r="M1353" s="414">
        <v>70</v>
      </c>
      <c r="N1353" s="414" t="s">
        <v>669</v>
      </c>
      <c r="O1353" s="414" t="s">
        <v>2999</v>
      </c>
      <c r="P1353" s="414">
        <v>33</v>
      </c>
      <c r="Q1353" s="413" t="s">
        <v>669</v>
      </c>
      <c r="R1353" s="414">
        <f>P1353*M1353</f>
        <v>2310</v>
      </c>
      <c r="S1353" s="416">
        <v>3.87</v>
      </c>
      <c r="T1353" s="414" t="s">
        <v>734</v>
      </c>
      <c r="U1353" s="412" t="s">
        <v>1505</v>
      </c>
      <c r="V1353" s="414">
        <f t="shared" ref="V1353:V1363" si="182">P1392</f>
        <v>325</v>
      </c>
      <c r="W1353" s="413" t="s">
        <v>734</v>
      </c>
      <c r="X1353" s="414">
        <f t="shared" ref="X1353:X1363" si="183">V1353*S1353</f>
        <v>1257.75</v>
      </c>
      <c r="Y1353" s="440">
        <v>0.85</v>
      </c>
      <c r="Z1353" s="414" t="s">
        <v>734</v>
      </c>
      <c r="AA1353" s="412" t="s">
        <v>1505</v>
      </c>
      <c r="AB1353" s="414">
        <f t="shared" si="180"/>
        <v>325</v>
      </c>
      <c r="AC1353" s="414" t="s">
        <v>734</v>
      </c>
      <c r="AD1353" s="414">
        <f t="shared" si="181"/>
        <v>276.25</v>
      </c>
      <c r="AE1353" s="414">
        <f t="shared" si="179"/>
        <v>0</v>
      </c>
    </row>
    <row r="1354" spans="6:31" ht="24" customHeight="1">
      <c r="F1354" s="414">
        <v>0.12</v>
      </c>
      <c r="G1354" s="414" t="s">
        <v>702</v>
      </c>
      <c r="H1354" s="412" t="s">
        <v>1527</v>
      </c>
      <c r="I1354" s="414" t="e">
        <f>(K32)</f>
        <v>#REF!</v>
      </c>
      <c r="J1354" s="412" t="s">
        <v>702</v>
      </c>
      <c r="K1354" s="414" t="e">
        <f t="shared" ref="K1354:K1360" si="184">(F1354*I1354)</f>
        <v>#REF!</v>
      </c>
      <c r="Q1354" s="413"/>
      <c r="S1354" s="416">
        <v>7.46</v>
      </c>
      <c r="T1354" s="414" t="s">
        <v>734</v>
      </c>
      <c r="U1354" s="412" t="s">
        <v>1505</v>
      </c>
      <c r="V1354" s="414">
        <f t="shared" si="182"/>
        <v>325</v>
      </c>
      <c r="W1354" s="413" t="s">
        <v>734</v>
      </c>
      <c r="X1354" s="414">
        <f t="shared" si="183"/>
        <v>2424.5</v>
      </c>
      <c r="Y1354" s="440">
        <v>0.73199999999999998</v>
      </c>
      <c r="Z1354" s="414" t="s">
        <v>184</v>
      </c>
      <c r="AA1354" s="412" t="s">
        <v>1506</v>
      </c>
      <c r="AB1354" s="414">
        <f>V1356</f>
        <v>306.89999999999998</v>
      </c>
      <c r="AC1354" s="414" t="s">
        <v>184</v>
      </c>
      <c r="AD1354" s="414">
        <f t="shared" si="181"/>
        <v>224.65</v>
      </c>
      <c r="AE1354" s="414">
        <f t="shared" si="179"/>
        <v>0</v>
      </c>
    </row>
    <row r="1355" spans="6:31" ht="24" customHeight="1">
      <c r="F1355" s="414">
        <v>10</v>
      </c>
      <c r="G1355" s="414" t="s">
        <v>488</v>
      </c>
      <c r="H1355" s="412" t="s">
        <v>1054</v>
      </c>
      <c r="I1355" s="414" t="e">
        <f>(K1344)</f>
        <v>#REF!</v>
      </c>
      <c r="J1355" s="412" t="s">
        <v>488</v>
      </c>
      <c r="K1355" s="414" t="e">
        <f t="shared" si="184"/>
        <v>#REF!</v>
      </c>
      <c r="M1355" s="414">
        <v>0.3</v>
      </c>
      <c r="N1355" s="414" t="s">
        <v>1749</v>
      </c>
      <c r="O1355" s="414" t="s">
        <v>3000</v>
      </c>
      <c r="P1355" s="414">
        <v>17600</v>
      </c>
      <c r="Q1355" s="413" t="s">
        <v>1749</v>
      </c>
      <c r="R1355" s="414">
        <f>P1355*M1355</f>
        <v>5280</v>
      </c>
      <c r="S1355" s="416">
        <v>1.28</v>
      </c>
      <c r="T1355" s="414" t="s">
        <v>734</v>
      </c>
      <c r="U1355" s="412" t="s">
        <v>1505</v>
      </c>
      <c r="V1355" s="414">
        <f t="shared" si="182"/>
        <v>325</v>
      </c>
      <c r="W1355" s="413" t="s">
        <v>734</v>
      </c>
      <c r="X1355" s="414">
        <f t="shared" si="183"/>
        <v>416</v>
      </c>
      <c r="Y1355" s="440">
        <v>6.8719999999999999</v>
      </c>
      <c r="Z1355" s="414" t="s">
        <v>669</v>
      </c>
      <c r="AA1355" s="412" t="s">
        <v>1507</v>
      </c>
      <c r="AB1355" s="414">
        <f t="shared" si="180"/>
        <v>29.05</v>
      </c>
      <c r="AC1355" s="414" t="s">
        <v>669</v>
      </c>
      <c r="AD1355" s="414">
        <f t="shared" si="181"/>
        <v>199.63</v>
      </c>
      <c r="AE1355" s="414">
        <f t="shared" si="179"/>
        <v>0</v>
      </c>
    </row>
    <row r="1356" spans="6:31" ht="24" customHeight="1">
      <c r="F1356" s="416">
        <v>1.54</v>
      </c>
      <c r="G1356" s="414" t="s">
        <v>1341</v>
      </c>
      <c r="H1356" s="412" t="s">
        <v>779</v>
      </c>
      <c r="I1356" s="414">
        <f>C653</f>
        <v>42.7</v>
      </c>
      <c r="J1356" s="412" t="s">
        <v>1341</v>
      </c>
      <c r="K1356" s="414">
        <f t="shared" si="184"/>
        <v>65.760000000000005</v>
      </c>
      <c r="Q1356" s="413"/>
      <c r="S1356" s="416">
        <v>1.107</v>
      </c>
      <c r="T1356" s="414" t="s">
        <v>184</v>
      </c>
      <c r="U1356" s="412" t="s">
        <v>1506</v>
      </c>
      <c r="V1356" s="414">
        <f t="shared" si="182"/>
        <v>306.89999999999998</v>
      </c>
      <c r="W1356" s="413" t="s">
        <v>184</v>
      </c>
      <c r="X1356" s="414">
        <f t="shared" si="183"/>
        <v>339.74</v>
      </c>
      <c r="Y1356" s="440">
        <v>8</v>
      </c>
      <c r="Z1356" s="414" t="s">
        <v>619</v>
      </c>
      <c r="AA1356" s="412" t="s">
        <v>1508</v>
      </c>
      <c r="AB1356" s="414">
        <f t="shared" si="180"/>
        <v>71.900000000000006</v>
      </c>
      <c r="AC1356" s="414" t="s">
        <v>619</v>
      </c>
      <c r="AD1356" s="414">
        <f t="shared" si="181"/>
        <v>575.20000000000005</v>
      </c>
      <c r="AE1356" s="414">
        <f t="shared" si="179"/>
        <v>0</v>
      </c>
    </row>
    <row r="1357" spans="6:31" ht="24" customHeight="1">
      <c r="F1357" s="414">
        <v>1.1000000000000001</v>
      </c>
      <c r="G1357" s="414" t="s">
        <v>619</v>
      </c>
      <c r="H1357" s="412" t="s">
        <v>1637</v>
      </c>
      <c r="I1357" s="414">
        <f>(C10)</f>
        <v>999</v>
      </c>
      <c r="J1357" s="412" t="s">
        <v>619</v>
      </c>
      <c r="K1357" s="414">
        <f t="shared" si="184"/>
        <v>1098.9000000000001</v>
      </c>
      <c r="O1357" s="414" t="s">
        <v>976</v>
      </c>
      <c r="Q1357" s="413"/>
      <c r="R1357" s="414">
        <f>SUM(R1353:R1355)</f>
        <v>7590</v>
      </c>
      <c r="S1357" s="416">
        <v>10.343999999999999</v>
      </c>
      <c r="T1357" s="414" t="s">
        <v>669</v>
      </c>
      <c r="U1357" s="412" t="s">
        <v>1507</v>
      </c>
      <c r="V1357" s="414">
        <f t="shared" si="182"/>
        <v>29.05</v>
      </c>
      <c r="W1357" s="413" t="s">
        <v>669</v>
      </c>
      <c r="X1357" s="414">
        <f t="shared" si="183"/>
        <v>300.49</v>
      </c>
      <c r="Y1357" s="440">
        <v>4</v>
      </c>
      <c r="Z1357" s="414" t="s">
        <v>619</v>
      </c>
      <c r="AA1357" s="412" t="s">
        <v>1509</v>
      </c>
      <c r="AB1357" s="414">
        <f t="shared" si="180"/>
        <v>57.65</v>
      </c>
      <c r="AC1357" s="414" t="s">
        <v>619</v>
      </c>
      <c r="AD1357" s="414">
        <f t="shared" si="181"/>
        <v>230.6</v>
      </c>
      <c r="AE1357" s="414">
        <f t="shared" si="179"/>
        <v>0</v>
      </c>
    </row>
    <row r="1358" spans="6:31" ht="24" customHeight="1">
      <c r="F1358" s="414">
        <v>2.1</v>
      </c>
      <c r="G1358" s="414" t="s">
        <v>619</v>
      </c>
      <c r="H1358" s="412" t="s">
        <v>1392</v>
      </c>
      <c r="I1358" s="414">
        <f>(C11)</f>
        <v>932</v>
      </c>
      <c r="J1358" s="412" t="s">
        <v>619</v>
      </c>
      <c r="K1358" s="414">
        <f t="shared" si="184"/>
        <v>1957.2</v>
      </c>
      <c r="O1358" s="419" t="s">
        <v>977</v>
      </c>
      <c r="Q1358" s="413"/>
      <c r="R1358" s="417">
        <f>R1357/10</f>
        <v>759</v>
      </c>
      <c r="S1358" s="416">
        <v>12</v>
      </c>
      <c r="T1358" s="414" t="s">
        <v>619</v>
      </c>
      <c r="U1358" s="412" t="s">
        <v>2441</v>
      </c>
      <c r="V1358" s="414">
        <f t="shared" si="182"/>
        <v>71.900000000000006</v>
      </c>
      <c r="W1358" s="413" t="s">
        <v>619</v>
      </c>
      <c r="X1358" s="414">
        <f t="shared" si="183"/>
        <v>862.8</v>
      </c>
      <c r="Y1358" s="440">
        <v>4</v>
      </c>
      <c r="Z1358" s="414" t="s">
        <v>619</v>
      </c>
      <c r="AA1358" s="412" t="s">
        <v>1510</v>
      </c>
      <c r="AB1358" s="414">
        <f t="shared" si="180"/>
        <v>30</v>
      </c>
      <c r="AC1358" s="414" t="s">
        <v>619</v>
      </c>
      <c r="AD1358" s="414">
        <f t="shared" si="181"/>
        <v>120</v>
      </c>
      <c r="AE1358" s="414">
        <f t="shared" si="179"/>
        <v>0</v>
      </c>
    </row>
    <row r="1359" spans="6:31" ht="24" customHeight="1">
      <c r="F1359" s="414">
        <v>2.2000000000000002</v>
      </c>
      <c r="G1359" s="414" t="s">
        <v>619</v>
      </c>
      <c r="H1359" s="412" t="s">
        <v>1550</v>
      </c>
      <c r="I1359" s="414">
        <f>(C12)</f>
        <v>651</v>
      </c>
      <c r="J1359" s="412" t="s">
        <v>619</v>
      </c>
      <c r="K1359" s="414">
        <f t="shared" si="184"/>
        <v>1432.2</v>
      </c>
      <c r="Q1359" s="413"/>
      <c r="S1359" s="416">
        <v>6</v>
      </c>
      <c r="T1359" s="414" t="s">
        <v>619</v>
      </c>
      <c r="U1359" s="412" t="s">
        <v>1509</v>
      </c>
      <c r="V1359" s="414">
        <f t="shared" si="182"/>
        <v>57.65</v>
      </c>
      <c r="W1359" s="413" t="s">
        <v>619</v>
      </c>
      <c r="X1359" s="414">
        <f t="shared" si="183"/>
        <v>345.9</v>
      </c>
      <c r="Y1359" s="440">
        <v>4</v>
      </c>
      <c r="Z1359" s="414" t="s">
        <v>619</v>
      </c>
      <c r="AA1359" s="412" t="s">
        <v>1511</v>
      </c>
      <c r="AB1359" s="414">
        <f t="shared" si="180"/>
        <v>20</v>
      </c>
      <c r="AC1359" s="414" t="s">
        <v>619</v>
      </c>
      <c r="AD1359" s="414">
        <f t="shared" si="181"/>
        <v>80</v>
      </c>
      <c r="AE1359" s="414">
        <f t="shared" si="179"/>
        <v>0</v>
      </c>
    </row>
    <row r="1360" spans="6:31" ht="24" customHeight="1">
      <c r="F1360" s="414">
        <v>1.1000000000000001</v>
      </c>
      <c r="G1360" s="414" t="s">
        <v>619</v>
      </c>
      <c r="H1360" s="412" t="s">
        <v>245</v>
      </c>
      <c r="I1360" s="414">
        <f>(C13)</f>
        <v>534</v>
      </c>
      <c r="J1360" s="412" t="s">
        <v>619</v>
      </c>
      <c r="K1360" s="414">
        <f t="shared" si="184"/>
        <v>587.4</v>
      </c>
      <c r="M1360" s="414">
        <v>2</v>
      </c>
      <c r="N1360" s="414" t="s">
        <v>1166</v>
      </c>
      <c r="O1360" s="414" t="s">
        <v>272</v>
      </c>
      <c r="P1360" s="414">
        <f>C12</f>
        <v>651</v>
      </c>
      <c r="Q1360" s="413" t="s">
        <v>1394</v>
      </c>
      <c r="R1360" s="414">
        <f>P1360*M1360</f>
        <v>1302</v>
      </c>
      <c r="S1360" s="416">
        <v>6</v>
      </c>
      <c r="T1360" s="414" t="s">
        <v>619</v>
      </c>
      <c r="U1360" s="412" t="s">
        <v>1510</v>
      </c>
      <c r="V1360" s="414">
        <f t="shared" si="182"/>
        <v>30</v>
      </c>
      <c r="W1360" s="413" t="s">
        <v>619</v>
      </c>
      <c r="X1360" s="414">
        <f t="shared" si="183"/>
        <v>180</v>
      </c>
      <c r="Y1360" s="440">
        <v>4</v>
      </c>
      <c r="Z1360" s="414" t="s">
        <v>619</v>
      </c>
      <c r="AA1360" s="412" t="s">
        <v>1512</v>
      </c>
      <c r="AB1360" s="414">
        <f t="shared" si="180"/>
        <v>15</v>
      </c>
      <c r="AC1360" s="414" t="s">
        <v>619</v>
      </c>
      <c r="AD1360" s="414">
        <f t="shared" si="181"/>
        <v>60</v>
      </c>
      <c r="AE1360" s="414">
        <f t="shared" si="179"/>
        <v>0</v>
      </c>
    </row>
    <row r="1361" spans="6:31" ht="24" customHeight="1">
      <c r="G1361" s="414" t="s">
        <v>358</v>
      </c>
      <c r="H1361" s="412" t="s">
        <v>359</v>
      </c>
      <c r="J1361" s="412" t="s">
        <v>358</v>
      </c>
      <c r="K1361" s="414">
        <v>0</v>
      </c>
      <c r="Q1361" s="413"/>
      <c r="S1361" s="416">
        <v>6</v>
      </c>
      <c r="T1361" s="414" t="s">
        <v>619</v>
      </c>
      <c r="U1361" s="412" t="s">
        <v>1511</v>
      </c>
      <c r="V1361" s="414">
        <f t="shared" si="182"/>
        <v>20</v>
      </c>
      <c r="W1361" s="413" t="s">
        <v>619</v>
      </c>
      <c r="X1361" s="414">
        <f t="shared" si="183"/>
        <v>120</v>
      </c>
      <c r="Y1361" s="440">
        <v>0.94499999999999995</v>
      </c>
      <c r="Z1361" s="414" t="s">
        <v>1861</v>
      </c>
      <c r="AA1361" s="412" t="s">
        <v>1513</v>
      </c>
      <c r="AB1361" s="414">
        <f t="shared" si="180"/>
        <v>1998</v>
      </c>
      <c r="AC1361" s="414" t="s">
        <v>1861</v>
      </c>
      <c r="AD1361" s="414">
        <f t="shared" si="181"/>
        <v>1888.11</v>
      </c>
      <c r="AE1361" s="414">
        <f t="shared" si="179"/>
        <v>0</v>
      </c>
    </row>
    <row r="1362" spans="6:31" ht="24" customHeight="1">
      <c r="K1362" s="418" t="s">
        <v>1288</v>
      </c>
      <c r="O1362" s="414" t="s">
        <v>978</v>
      </c>
      <c r="P1362" s="414" t="s">
        <v>528</v>
      </c>
      <c r="Q1362" s="413"/>
      <c r="R1362" s="414">
        <v>11.5</v>
      </c>
      <c r="S1362" s="416">
        <v>4</v>
      </c>
      <c r="T1362" s="414" t="s">
        <v>619</v>
      </c>
      <c r="U1362" s="412" t="s">
        <v>1512</v>
      </c>
      <c r="V1362" s="414">
        <f t="shared" si="182"/>
        <v>15</v>
      </c>
      <c r="W1362" s="413" t="s">
        <v>619</v>
      </c>
      <c r="X1362" s="414">
        <f t="shared" si="183"/>
        <v>60</v>
      </c>
      <c r="AA1362" s="412" t="s">
        <v>1514</v>
      </c>
      <c r="AC1362" s="413"/>
      <c r="AD1362" s="414">
        <v>0.81</v>
      </c>
      <c r="AE1362" s="414">
        <f t="shared" si="179"/>
        <v>0</v>
      </c>
    </row>
    <row r="1363" spans="6:31" ht="24" customHeight="1">
      <c r="H1363" s="412" t="s">
        <v>351</v>
      </c>
      <c r="K1363" s="414" t="e">
        <f>SUM(K1353:K1361)</f>
        <v>#REF!</v>
      </c>
      <c r="O1363" s="419" t="s">
        <v>979</v>
      </c>
      <c r="Q1363" s="413"/>
      <c r="R1363" s="414">
        <f>SUM(R1358:R1362)</f>
        <v>2072.5</v>
      </c>
      <c r="S1363" s="416">
        <v>1.4179999999999999</v>
      </c>
      <c r="T1363" s="414" t="s">
        <v>1861</v>
      </c>
      <c r="U1363" s="412" t="s">
        <v>1513</v>
      </c>
      <c r="V1363" s="414">
        <f t="shared" si="182"/>
        <v>1998</v>
      </c>
      <c r="W1363" s="413" t="s">
        <v>1861</v>
      </c>
      <c r="X1363" s="414">
        <f t="shared" si="183"/>
        <v>2833.16</v>
      </c>
      <c r="AA1363" s="419" t="s">
        <v>2141</v>
      </c>
      <c r="AD1363" s="417">
        <f>SUM(AD1350:AD1362)</f>
        <v>6960.5</v>
      </c>
      <c r="AE1363" s="414">
        <f t="shared" si="179"/>
        <v>0</v>
      </c>
    </row>
    <row r="1364" spans="6:31" ht="24" customHeight="1">
      <c r="K1364" s="418" t="s">
        <v>1288</v>
      </c>
      <c r="Q1364" s="413"/>
      <c r="U1364" s="412" t="s">
        <v>1514</v>
      </c>
      <c r="W1364" s="413"/>
      <c r="AE1364" s="414">
        <f t="shared" si="179"/>
        <v>0</v>
      </c>
    </row>
    <row r="1365" spans="6:31" ht="24" customHeight="1">
      <c r="H1365" s="420" t="s">
        <v>447</v>
      </c>
      <c r="K1365" s="417" t="e">
        <f>(K1363/10)</f>
        <v>#REF!</v>
      </c>
      <c r="O1365" s="419" t="s">
        <v>980</v>
      </c>
      <c r="Q1365" s="413"/>
      <c r="R1365" s="417">
        <f>R1363/6</f>
        <v>345.42</v>
      </c>
      <c r="U1365" s="419" t="s">
        <v>2141</v>
      </c>
      <c r="W1365" s="413"/>
      <c r="X1365" s="417">
        <f>SUM(X1352:X1364)</f>
        <v>10349.34</v>
      </c>
      <c r="AE1365" s="414">
        <f t="shared" si="179"/>
        <v>0</v>
      </c>
    </row>
    <row r="1366" spans="6:31" ht="24" customHeight="1">
      <c r="K1366" s="418" t="s">
        <v>1676</v>
      </c>
      <c r="Q1366" s="413"/>
      <c r="W1366" s="413"/>
      <c r="AA1366" s="417" t="s">
        <v>2092</v>
      </c>
      <c r="AC1366" s="412"/>
      <c r="AE1366" s="414">
        <f t="shared" si="179"/>
        <v>0</v>
      </c>
    </row>
    <row r="1367" spans="6:31" ht="24" customHeight="1">
      <c r="K1367" s="418"/>
      <c r="Q1367" s="412"/>
      <c r="W1367" s="413"/>
      <c r="Y1367" s="440">
        <v>3.72</v>
      </c>
      <c r="Z1367" s="414" t="s">
        <v>734</v>
      </c>
      <c r="AA1367" s="412" t="s">
        <v>1505</v>
      </c>
      <c r="AB1367" s="414">
        <f>AB1350</f>
        <v>325</v>
      </c>
      <c r="AC1367" s="414" t="s">
        <v>734</v>
      </c>
      <c r="AD1367" s="414">
        <f t="shared" ref="AD1367:AD1378" si="185">AB1367*Y1367</f>
        <v>1209</v>
      </c>
      <c r="AE1367" s="414">
        <f t="shared" si="179"/>
        <v>0</v>
      </c>
    </row>
    <row r="1368" spans="6:31" ht="24" hidden="1" customHeight="1">
      <c r="K1368" s="418"/>
      <c r="M1368" s="427">
        <v>29.5</v>
      </c>
      <c r="N1368" s="414" t="s">
        <v>1833</v>
      </c>
      <c r="O1368" s="412" t="s">
        <v>981</v>
      </c>
      <c r="Q1368" s="413"/>
      <c r="U1368" s="417" t="s">
        <v>2091</v>
      </c>
      <c r="W1368" s="413"/>
      <c r="Y1368" s="440">
        <v>2.69</v>
      </c>
      <c r="Z1368" s="414" t="s">
        <v>734</v>
      </c>
      <c r="AA1368" s="412" t="s">
        <v>1505</v>
      </c>
      <c r="AB1368" s="414">
        <f t="shared" ref="AB1368:AB1378" si="186">AB1351</f>
        <v>325</v>
      </c>
      <c r="AC1368" s="414" t="s">
        <v>734</v>
      </c>
      <c r="AD1368" s="414">
        <f t="shared" si="185"/>
        <v>874.25</v>
      </c>
      <c r="AE1368" s="414">
        <f t="shared" si="179"/>
        <v>0</v>
      </c>
    </row>
    <row r="1369" spans="6:31" ht="24" customHeight="1">
      <c r="F1369" s="427">
        <v>32.200000000000003</v>
      </c>
      <c r="G1369" s="414" t="s">
        <v>1833</v>
      </c>
      <c r="H1369" s="412" t="s">
        <v>608</v>
      </c>
      <c r="K1369" s="418"/>
      <c r="O1369" s="412" t="s">
        <v>691</v>
      </c>
      <c r="Q1369" s="413"/>
      <c r="S1369" s="416">
        <v>3.49</v>
      </c>
      <c r="T1369" s="414" t="s">
        <v>734</v>
      </c>
      <c r="U1369" s="412" t="s">
        <v>1505</v>
      </c>
      <c r="V1369" s="414">
        <f>P1408</f>
        <v>325</v>
      </c>
      <c r="W1369" s="413" t="s">
        <v>734</v>
      </c>
      <c r="X1369" s="414">
        <f>V1369*S1369</f>
        <v>1134.25</v>
      </c>
      <c r="Y1369" s="440">
        <v>6.15</v>
      </c>
      <c r="Z1369" s="414" t="s">
        <v>734</v>
      </c>
      <c r="AA1369" s="412" t="s">
        <v>1505</v>
      </c>
      <c r="AB1369" s="414">
        <f t="shared" si="186"/>
        <v>325</v>
      </c>
      <c r="AC1369" s="414" t="s">
        <v>734</v>
      </c>
      <c r="AD1369" s="414">
        <f t="shared" si="185"/>
        <v>1998.75</v>
      </c>
      <c r="AE1369" s="414">
        <f t="shared" si="179"/>
        <v>0</v>
      </c>
    </row>
    <row r="1370" spans="6:31" ht="24" customHeight="1">
      <c r="H1370" s="412" t="s">
        <v>1209</v>
      </c>
      <c r="K1370" s="418"/>
      <c r="O1370" s="412" t="s">
        <v>1576</v>
      </c>
      <c r="Q1370" s="413"/>
      <c r="S1370" s="416">
        <v>2.5299999999999998</v>
      </c>
      <c r="T1370" s="414" t="s">
        <v>734</v>
      </c>
      <c r="U1370" s="412" t="s">
        <v>1505</v>
      </c>
      <c r="V1370" s="414">
        <f t="shared" ref="V1370:V1380" si="187">P1409</f>
        <v>325</v>
      </c>
      <c r="W1370" s="413" t="s">
        <v>734</v>
      </c>
      <c r="X1370" s="414">
        <f t="shared" ref="X1370:X1380" si="188">V1370*S1370</f>
        <v>822.25</v>
      </c>
      <c r="Y1370" s="440">
        <v>1.07</v>
      </c>
      <c r="Z1370" s="414" t="s">
        <v>734</v>
      </c>
      <c r="AA1370" s="412" t="s">
        <v>1505</v>
      </c>
      <c r="AB1370" s="414">
        <f t="shared" si="186"/>
        <v>325</v>
      </c>
      <c r="AC1370" s="414" t="s">
        <v>734</v>
      </c>
      <c r="AD1370" s="414">
        <f t="shared" si="185"/>
        <v>347.75</v>
      </c>
      <c r="AE1370" s="414">
        <f t="shared" si="179"/>
        <v>0</v>
      </c>
    </row>
    <row r="1371" spans="6:31" ht="24" customHeight="1">
      <c r="H1371" s="412" t="s">
        <v>547</v>
      </c>
      <c r="K1371" s="418"/>
      <c r="O1371" s="418" t="s">
        <v>1288</v>
      </c>
      <c r="P1371" s="418" t="s">
        <v>1288</v>
      </c>
      <c r="Q1371" s="413"/>
      <c r="S1371" s="416">
        <v>5.75</v>
      </c>
      <c r="T1371" s="414" t="s">
        <v>734</v>
      </c>
      <c r="U1371" s="412" t="s">
        <v>1505</v>
      </c>
      <c r="V1371" s="414">
        <f t="shared" si="187"/>
        <v>325</v>
      </c>
      <c r="W1371" s="413" t="s">
        <v>734</v>
      </c>
      <c r="X1371" s="414">
        <f t="shared" si="188"/>
        <v>1868.75</v>
      </c>
      <c r="Y1371" s="440">
        <v>1.153</v>
      </c>
      <c r="Z1371" s="414" t="s">
        <v>184</v>
      </c>
      <c r="AA1371" s="412" t="s">
        <v>1506</v>
      </c>
      <c r="AB1371" s="414">
        <f t="shared" si="186"/>
        <v>306.89999999999998</v>
      </c>
      <c r="AC1371" s="414" t="s">
        <v>184</v>
      </c>
      <c r="AD1371" s="414">
        <f t="shared" si="185"/>
        <v>353.86</v>
      </c>
      <c r="AE1371" s="414">
        <f t="shared" si="179"/>
        <v>0</v>
      </c>
    </row>
    <row r="1372" spans="6:31" ht="24" customHeight="1">
      <c r="H1372" s="412" t="s">
        <v>1602</v>
      </c>
      <c r="K1372" s="418"/>
      <c r="M1372" s="414">
        <v>10</v>
      </c>
      <c r="N1372" s="414" t="s">
        <v>488</v>
      </c>
      <c r="O1372" s="412" t="s">
        <v>982</v>
      </c>
      <c r="P1372" s="423">
        <f>P1332</f>
        <v>1626</v>
      </c>
      <c r="Q1372" s="413" t="s">
        <v>488</v>
      </c>
      <c r="R1372" s="414">
        <f>M1372*P1372</f>
        <v>16260</v>
      </c>
      <c r="S1372" s="416">
        <v>1</v>
      </c>
      <c r="T1372" s="414" t="s">
        <v>734</v>
      </c>
      <c r="U1372" s="412" t="s">
        <v>1505</v>
      </c>
      <c r="V1372" s="414">
        <f t="shared" si="187"/>
        <v>325</v>
      </c>
      <c r="W1372" s="413" t="s">
        <v>734</v>
      </c>
      <c r="X1372" s="414">
        <f t="shared" si="188"/>
        <v>325</v>
      </c>
      <c r="Y1372" s="440">
        <v>8.6720000000000006</v>
      </c>
      <c r="Z1372" s="414" t="s">
        <v>669</v>
      </c>
      <c r="AA1372" s="412" t="s">
        <v>1507</v>
      </c>
      <c r="AB1372" s="414">
        <f t="shared" si="186"/>
        <v>29.05</v>
      </c>
      <c r="AC1372" s="414" t="s">
        <v>669</v>
      </c>
      <c r="AD1372" s="414">
        <f t="shared" si="185"/>
        <v>251.92</v>
      </c>
      <c r="AE1372" s="414">
        <f t="shared" si="179"/>
        <v>0</v>
      </c>
    </row>
    <row r="1373" spans="6:31" ht="24" customHeight="1">
      <c r="H1373" s="412" t="s">
        <v>1052</v>
      </c>
      <c r="K1373" s="418"/>
      <c r="M1373" s="414">
        <v>0.21</v>
      </c>
      <c r="N1373" s="414" t="s">
        <v>702</v>
      </c>
      <c r="O1373" s="412" t="s">
        <v>1527</v>
      </c>
      <c r="P1373" s="414" t="e">
        <f>P1333</f>
        <v>#REF!</v>
      </c>
      <c r="Q1373" s="413" t="s">
        <v>702</v>
      </c>
      <c r="R1373" s="414" t="e">
        <f>(M1373*P1373)</f>
        <v>#REF!</v>
      </c>
      <c r="S1373" s="416">
        <v>0.96699999999999997</v>
      </c>
      <c r="T1373" s="414" t="s">
        <v>184</v>
      </c>
      <c r="U1373" s="412" t="s">
        <v>1506</v>
      </c>
      <c r="V1373" s="414">
        <f t="shared" si="187"/>
        <v>306.89999999999998</v>
      </c>
      <c r="W1373" s="413" t="s">
        <v>184</v>
      </c>
      <c r="X1373" s="414">
        <f t="shared" si="188"/>
        <v>296.77</v>
      </c>
      <c r="Y1373" s="440">
        <v>8</v>
      </c>
      <c r="Z1373" s="414" t="s">
        <v>619</v>
      </c>
      <c r="AA1373" s="412" t="s">
        <v>1508</v>
      </c>
      <c r="AB1373" s="414">
        <f t="shared" si="186"/>
        <v>71.900000000000006</v>
      </c>
      <c r="AC1373" s="414" t="s">
        <v>619</v>
      </c>
      <c r="AD1373" s="414">
        <f t="shared" si="185"/>
        <v>575.20000000000005</v>
      </c>
      <c r="AE1373" s="414">
        <f t="shared" si="179"/>
        <v>0</v>
      </c>
    </row>
    <row r="1374" spans="6:31" ht="24" customHeight="1">
      <c r="H1374" s="418" t="s">
        <v>1288</v>
      </c>
      <c r="K1374" s="418"/>
      <c r="O1374" s="412" t="s">
        <v>1528</v>
      </c>
      <c r="P1374" s="412" t="s">
        <v>790</v>
      </c>
      <c r="Q1374" s="413"/>
      <c r="R1374" s="412" t="s">
        <v>790</v>
      </c>
      <c r="S1374" s="416">
        <v>8.0719999999999992</v>
      </c>
      <c r="T1374" s="414" t="s">
        <v>669</v>
      </c>
      <c r="U1374" s="412" t="s">
        <v>1507</v>
      </c>
      <c r="V1374" s="414">
        <f t="shared" si="187"/>
        <v>29.05</v>
      </c>
      <c r="W1374" s="413" t="s">
        <v>669</v>
      </c>
      <c r="X1374" s="414">
        <f t="shared" si="188"/>
        <v>234.49</v>
      </c>
      <c r="Y1374" s="440">
        <v>4</v>
      </c>
      <c r="Z1374" s="414" t="s">
        <v>619</v>
      </c>
      <c r="AA1374" s="412" t="s">
        <v>1509</v>
      </c>
      <c r="AB1374" s="414">
        <f t="shared" si="186"/>
        <v>57.65</v>
      </c>
      <c r="AC1374" s="414" t="s">
        <v>619</v>
      </c>
      <c r="AD1374" s="414">
        <f t="shared" si="185"/>
        <v>230.6</v>
      </c>
      <c r="AE1374" s="414">
        <f t="shared" si="179"/>
        <v>0</v>
      </c>
    </row>
    <row r="1375" spans="6:31" ht="24" customHeight="1">
      <c r="F1375" s="414">
        <v>190</v>
      </c>
      <c r="G1375" s="414" t="s">
        <v>1524</v>
      </c>
      <c r="H1375" s="412" t="s">
        <v>1271</v>
      </c>
      <c r="I1375" s="414" t="e">
        <f>C83</f>
        <v>#REF!</v>
      </c>
      <c r="J1375" s="412" t="s">
        <v>1207</v>
      </c>
      <c r="K1375" s="414" t="e">
        <f>(F1375*I1375)/1000</f>
        <v>#REF!</v>
      </c>
      <c r="M1375" s="414">
        <v>1.1000000000000001</v>
      </c>
      <c r="N1375" s="414" t="s">
        <v>619</v>
      </c>
      <c r="O1375" s="412" t="s">
        <v>1637</v>
      </c>
      <c r="P1375" s="414">
        <f>AE9</f>
        <v>999</v>
      </c>
      <c r="Q1375" s="413" t="s">
        <v>619</v>
      </c>
      <c r="R1375" s="414">
        <f>(M1375*P1375)</f>
        <v>1098.9000000000001</v>
      </c>
      <c r="S1375" s="416">
        <v>8</v>
      </c>
      <c r="T1375" s="414" t="s">
        <v>619</v>
      </c>
      <c r="U1375" s="412" t="s">
        <v>1508</v>
      </c>
      <c r="V1375" s="414">
        <f t="shared" si="187"/>
        <v>71.900000000000006</v>
      </c>
      <c r="W1375" s="413" t="s">
        <v>619</v>
      </c>
      <c r="X1375" s="414">
        <f t="shared" si="188"/>
        <v>575.20000000000005</v>
      </c>
      <c r="Y1375" s="440">
        <v>4</v>
      </c>
      <c r="Z1375" s="414" t="s">
        <v>619</v>
      </c>
      <c r="AA1375" s="412" t="s">
        <v>1510</v>
      </c>
      <c r="AB1375" s="414">
        <f t="shared" si="186"/>
        <v>30</v>
      </c>
      <c r="AC1375" s="414" t="s">
        <v>619</v>
      </c>
      <c r="AD1375" s="414">
        <f t="shared" si="185"/>
        <v>120</v>
      </c>
      <c r="AE1375" s="414">
        <f t="shared" si="179"/>
        <v>0</v>
      </c>
    </row>
    <row r="1376" spans="6:31" ht="24" customHeight="1">
      <c r="F1376" s="414">
        <v>0.12</v>
      </c>
      <c r="G1376" s="414" t="s">
        <v>702</v>
      </c>
      <c r="H1376" s="412" t="s">
        <v>1527</v>
      </c>
      <c r="I1376" s="414" t="e">
        <f>K32</f>
        <v>#REF!</v>
      </c>
      <c r="J1376" s="412" t="s">
        <v>702</v>
      </c>
      <c r="K1376" s="414" t="e">
        <f t="shared" ref="K1376:K1382" si="189">(F1376*I1376)</f>
        <v>#REF!</v>
      </c>
      <c r="M1376" s="414">
        <v>1.1000000000000001</v>
      </c>
      <c r="N1376" s="414" t="s">
        <v>619</v>
      </c>
      <c r="O1376" s="412" t="s">
        <v>1392</v>
      </c>
      <c r="P1376" s="414">
        <f>AE10</f>
        <v>932</v>
      </c>
      <c r="Q1376" s="413" t="s">
        <v>619</v>
      </c>
      <c r="R1376" s="414">
        <f>(M1376*P1376)</f>
        <v>1025.2</v>
      </c>
      <c r="S1376" s="416">
        <v>4</v>
      </c>
      <c r="T1376" s="414" t="s">
        <v>619</v>
      </c>
      <c r="U1376" s="412" t="s">
        <v>1509</v>
      </c>
      <c r="V1376" s="414">
        <f t="shared" si="187"/>
        <v>57.65</v>
      </c>
      <c r="W1376" s="413" t="s">
        <v>619</v>
      </c>
      <c r="X1376" s="414">
        <f t="shared" si="188"/>
        <v>230.6</v>
      </c>
      <c r="Y1376" s="440">
        <v>4</v>
      </c>
      <c r="Z1376" s="414" t="s">
        <v>619</v>
      </c>
      <c r="AA1376" s="412" t="s">
        <v>1511</v>
      </c>
      <c r="AB1376" s="414">
        <f t="shared" si="186"/>
        <v>20</v>
      </c>
      <c r="AC1376" s="414" t="s">
        <v>619</v>
      </c>
      <c r="AD1376" s="414">
        <f t="shared" si="185"/>
        <v>80</v>
      </c>
      <c r="AE1376" s="414">
        <f t="shared" si="179"/>
        <v>0</v>
      </c>
    </row>
    <row r="1377" spans="6:31" ht="24" customHeight="1">
      <c r="F1377" s="414">
        <v>10</v>
      </c>
      <c r="G1377" s="414" t="s">
        <v>488</v>
      </c>
      <c r="H1377" s="412" t="s">
        <v>1054</v>
      </c>
      <c r="I1377" s="414" t="e">
        <f>K1344</f>
        <v>#REF!</v>
      </c>
      <c r="J1377" s="412" t="s">
        <v>488</v>
      </c>
      <c r="K1377" s="414" t="e">
        <f t="shared" si="189"/>
        <v>#REF!</v>
      </c>
      <c r="M1377" s="414">
        <v>2.2000000000000002</v>
      </c>
      <c r="N1377" s="414" t="s">
        <v>619</v>
      </c>
      <c r="O1377" s="412" t="s">
        <v>1550</v>
      </c>
      <c r="P1377" s="414">
        <f>AE11</f>
        <v>651</v>
      </c>
      <c r="Q1377" s="413" t="s">
        <v>619</v>
      </c>
      <c r="R1377" s="414">
        <f>(M1377*P1377)</f>
        <v>1432.2</v>
      </c>
      <c r="S1377" s="416">
        <v>4</v>
      </c>
      <c r="T1377" s="414" t="s">
        <v>619</v>
      </c>
      <c r="U1377" s="412" t="s">
        <v>1510</v>
      </c>
      <c r="V1377" s="414">
        <f t="shared" si="187"/>
        <v>30</v>
      </c>
      <c r="W1377" s="413" t="s">
        <v>619</v>
      </c>
      <c r="X1377" s="414">
        <f t="shared" si="188"/>
        <v>120</v>
      </c>
      <c r="Y1377" s="440">
        <v>4</v>
      </c>
      <c r="Z1377" s="414" t="s">
        <v>619</v>
      </c>
      <c r="AA1377" s="412" t="s">
        <v>1512</v>
      </c>
      <c r="AB1377" s="414">
        <f t="shared" si="186"/>
        <v>15</v>
      </c>
      <c r="AC1377" s="414" t="s">
        <v>619</v>
      </c>
      <c r="AD1377" s="414">
        <f t="shared" si="185"/>
        <v>60</v>
      </c>
      <c r="AE1377" s="414">
        <f t="shared" si="179"/>
        <v>0</v>
      </c>
    </row>
    <row r="1378" spans="6:31" ht="24" customHeight="1">
      <c r="F1378" s="414">
        <v>5.8</v>
      </c>
      <c r="G1378" s="414" t="s">
        <v>1341</v>
      </c>
      <c r="H1378" s="412" t="s">
        <v>779</v>
      </c>
      <c r="I1378" s="414">
        <f>C653</f>
        <v>42.7</v>
      </c>
      <c r="J1378" s="412" t="s">
        <v>1341</v>
      </c>
      <c r="K1378" s="414">
        <f t="shared" si="189"/>
        <v>247.66</v>
      </c>
      <c r="M1378" s="414">
        <v>2.2000000000000002</v>
      </c>
      <c r="N1378" s="414" t="s">
        <v>619</v>
      </c>
      <c r="O1378" s="412" t="s">
        <v>245</v>
      </c>
      <c r="P1378" s="414">
        <f>AE12</f>
        <v>534</v>
      </c>
      <c r="Q1378" s="413" t="s">
        <v>619</v>
      </c>
      <c r="R1378" s="414">
        <f>(M1378*P1378)</f>
        <v>1174.8</v>
      </c>
      <c r="S1378" s="416">
        <v>4</v>
      </c>
      <c r="T1378" s="414" t="s">
        <v>619</v>
      </c>
      <c r="U1378" s="412" t="s">
        <v>1511</v>
      </c>
      <c r="V1378" s="414">
        <f t="shared" si="187"/>
        <v>20</v>
      </c>
      <c r="W1378" s="413" t="s">
        <v>619</v>
      </c>
      <c r="X1378" s="414">
        <f t="shared" si="188"/>
        <v>80</v>
      </c>
      <c r="Y1378" s="440">
        <v>1.42</v>
      </c>
      <c r="Z1378" s="414" t="s">
        <v>1861</v>
      </c>
      <c r="AA1378" s="412" t="s">
        <v>1513</v>
      </c>
      <c r="AB1378" s="414">
        <f t="shared" si="186"/>
        <v>1998</v>
      </c>
      <c r="AC1378" s="414" t="s">
        <v>1861</v>
      </c>
      <c r="AD1378" s="414">
        <f t="shared" si="185"/>
        <v>2837.16</v>
      </c>
      <c r="AE1378" s="414">
        <f t="shared" si="179"/>
        <v>0</v>
      </c>
    </row>
    <row r="1379" spans="6:31" ht="24" customHeight="1">
      <c r="F1379" s="414">
        <v>1.1000000000000001</v>
      </c>
      <c r="G1379" s="414" t="s">
        <v>619</v>
      </c>
      <c r="H1379" s="412" t="s">
        <v>1637</v>
      </c>
      <c r="I1379" s="414">
        <f>C10</f>
        <v>999</v>
      </c>
      <c r="J1379" s="412" t="s">
        <v>619</v>
      </c>
      <c r="K1379" s="414">
        <f t="shared" si="189"/>
        <v>1098.9000000000001</v>
      </c>
      <c r="M1379" s="416">
        <v>20</v>
      </c>
      <c r="N1379" s="414" t="s">
        <v>1341</v>
      </c>
      <c r="O1379" s="412" t="s">
        <v>695</v>
      </c>
      <c r="P1379" s="414" t="e">
        <f>AC31</f>
        <v>#REF!</v>
      </c>
      <c r="Q1379" s="413" t="s">
        <v>694</v>
      </c>
      <c r="R1379" s="414" t="e">
        <f>(M1379*P1379)/1000</f>
        <v>#REF!</v>
      </c>
      <c r="S1379" s="416">
        <v>4</v>
      </c>
      <c r="T1379" s="414" t="s">
        <v>619</v>
      </c>
      <c r="U1379" s="412" t="s">
        <v>1512</v>
      </c>
      <c r="V1379" s="414">
        <f t="shared" si="187"/>
        <v>15</v>
      </c>
      <c r="W1379" s="413" t="s">
        <v>619</v>
      </c>
      <c r="X1379" s="414">
        <f t="shared" si="188"/>
        <v>60</v>
      </c>
      <c r="AA1379" s="412" t="s">
        <v>1514</v>
      </c>
      <c r="AC1379" s="413"/>
      <c r="AD1379" s="414">
        <v>0.85</v>
      </c>
      <c r="AE1379" s="414">
        <f t="shared" si="179"/>
        <v>0</v>
      </c>
    </row>
    <row r="1380" spans="6:31" ht="24" customHeight="1">
      <c r="F1380" s="414">
        <v>2.1</v>
      </c>
      <c r="G1380" s="414" t="s">
        <v>619</v>
      </c>
      <c r="H1380" s="412" t="s">
        <v>1392</v>
      </c>
      <c r="I1380" s="414">
        <f>C11</f>
        <v>932</v>
      </c>
      <c r="J1380" s="412" t="s">
        <v>619</v>
      </c>
      <c r="K1380" s="414">
        <f t="shared" si="189"/>
        <v>1957.2</v>
      </c>
      <c r="M1380" s="416">
        <v>2</v>
      </c>
      <c r="N1380" s="414" t="s">
        <v>1341</v>
      </c>
      <c r="O1380" s="412" t="s">
        <v>1691</v>
      </c>
      <c r="P1380" s="414">
        <f>P1264</f>
        <v>36.1</v>
      </c>
      <c r="Q1380" s="413" t="s">
        <v>1341</v>
      </c>
      <c r="R1380" s="414">
        <f>(M1380*P1380)</f>
        <v>72.2</v>
      </c>
      <c r="S1380" s="416">
        <v>1.2150000000000001</v>
      </c>
      <c r="T1380" s="414" t="s">
        <v>1861</v>
      </c>
      <c r="U1380" s="412" t="s">
        <v>1513</v>
      </c>
      <c r="V1380" s="414">
        <f t="shared" si="187"/>
        <v>1998</v>
      </c>
      <c r="W1380" s="413" t="s">
        <v>1861</v>
      </c>
      <c r="X1380" s="414">
        <f t="shared" si="188"/>
        <v>2427.5700000000002</v>
      </c>
      <c r="AA1380" s="419" t="s">
        <v>2141</v>
      </c>
      <c r="AD1380" s="417">
        <f>SUM(AD1367:AD1379)</f>
        <v>8939.34</v>
      </c>
      <c r="AE1380" s="414">
        <f t="shared" si="179"/>
        <v>0</v>
      </c>
    </row>
    <row r="1381" spans="6:31" ht="24" customHeight="1">
      <c r="F1381" s="414">
        <v>2.2000000000000002</v>
      </c>
      <c r="G1381" s="414" t="s">
        <v>619</v>
      </c>
      <c r="H1381" s="412" t="s">
        <v>1550</v>
      </c>
      <c r="I1381" s="414">
        <f>C12</f>
        <v>651</v>
      </c>
      <c r="J1381" s="412" t="s">
        <v>619</v>
      </c>
      <c r="K1381" s="414">
        <f t="shared" si="189"/>
        <v>1432.2</v>
      </c>
      <c r="M1381" s="414">
        <v>1.6</v>
      </c>
      <c r="N1381" s="414" t="s">
        <v>619</v>
      </c>
      <c r="O1381" s="412" t="s">
        <v>1392</v>
      </c>
      <c r="P1381" s="414">
        <f>P1265</f>
        <v>932</v>
      </c>
      <c r="Q1381" s="413" t="s">
        <v>619</v>
      </c>
      <c r="R1381" s="414">
        <f>(M1381*P1381)</f>
        <v>1491.2</v>
      </c>
      <c r="U1381" s="412" t="s">
        <v>1514</v>
      </c>
      <c r="W1381" s="413"/>
      <c r="X1381" s="414">
        <v>0.23</v>
      </c>
      <c r="AE1381" s="414">
        <f t="shared" si="179"/>
        <v>0</v>
      </c>
    </row>
    <row r="1382" spans="6:31" ht="24" customHeight="1">
      <c r="F1382" s="414">
        <v>1.1000000000000001</v>
      </c>
      <c r="G1382" s="414" t="s">
        <v>619</v>
      </c>
      <c r="H1382" s="412" t="s">
        <v>245</v>
      </c>
      <c r="I1382" s="414">
        <f>C13</f>
        <v>534</v>
      </c>
      <c r="J1382" s="412" t="s">
        <v>619</v>
      </c>
      <c r="K1382" s="414">
        <f t="shared" si="189"/>
        <v>587.4</v>
      </c>
      <c r="M1382" s="414">
        <v>0.5</v>
      </c>
      <c r="N1382" s="414" t="s">
        <v>619</v>
      </c>
      <c r="O1382" s="412" t="s">
        <v>1550</v>
      </c>
      <c r="P1382" s="414">
        <f>P1266</f>
        <v>651</v>
      </c>
      <c r="Q1382" s="413" t="s">
        <v>619</v>
      </c>
      <c r="R1382" s="414">
        <f>(M1382*P1382)</f>
        <v>325.5</v>
      </c>
      <c r="U1382" s="419" t="s">
        <v>2141</v>
      </c>
      <c r="W1382" s="413"/>
      <c r="X1382" s="417">
        <f>SUM(X1369:X1381)</f>
        <v>8175.11</v>
      </c>
      <c r="AE1382" s="414">
        <f t="shared" si="179"/>
        <v>0</v>
      </c>
    </row>
    <row r="1383" spans="6:31" ht="24" customHeight="1">
      <c r="G1383" s="414" t="s">
        <v>358</v>
      </c>
      <c r="H1383" s="412" t="s">
        <v>359</v>
      </c>
      <c r="J1383" s="412" t="s">
        <v>358</v>
      </c>
      <c r="K1383" s="414">
        <v>0</v>
      </c>
      <c r="M1383" s="414">
        <v>1.1000000000000001</v>
      </c>
      <c r="N1383" s="414" t="s">
        <v>619</v>
      </c>
      <c r="O1383" s="412" t="s">
        <v>245</v>
      </c>
      <c r="P1383" s="414">
        <f>P1267</f>
        <v>534</v>
      </c>
      <c r="Q1383" s="413" t="s">
        <v>619</v>
      </c>
      <c r="R1383" s="414">
        <f>(M1383*P1383)</f>
        <v>587.4</v>
      </c>
      <c r="W1383" s="413"/>
      <c r="AA1383" s="417" t="s">
        <v>2093</v>
      </c>
      <c r="AC1383" s="412"/>
      <c r="AE1383" s="414">
        <f t="shared" si="179"/>
        <v>0</v>
      </c>
    </row>
    <row r="1384" spans="6:31" ht="24" customHeight="1">
      <c r="K1384" s="418" t="s">
        <v>1288</v>
      </c>
      <c r="N1384" s="414" t="s">
        <v>358</v>
      </c>
      <c r="O1384" s="412" t="s">
        <v>359</v>
      </c>
      <c r="Q1384" s="413" t="s">
        <v>358</v>
      </c>
      <c r="R1384" s="414">
        <v>0.28000000000000003</v>
      </c>
      <c r="W1384" s="413"/>
      <c r="Y1384" s="440">
        <v>2.87</v>
      </c>
      <c r="Z1384" s="414" t="s">
        <v>734</v>
      </c>
      <c r="AA1384" s="412" t="s">
        <v>1505</v>
      </c>
      <c r="AB1384" s="414">
        <f>AB1367</f>
        <v>325</v>
      </c>
      <c r="AC1384" s="414" t="s">
        <v>734</v>
      </c>
      <c r="AD1384" s="414">
        <f t="shared" ref="AD1384:AD1395" si="190">AB1384*Y1384</f>
        <v>932.75</v>
      </c>
      <c r="AE1384" s="414">
        <f t="shared" si="179"/>
        <v>0</v>
      </c>
    </row>
    <row r="1385" spans="6:31" ht="24" customHeight="1">
      <c r="H1385" s="412" t="s">
        <v>351</v>
      </c>
      <c r="K1385" s="414" t="e">
        <f>SUM(K1375:K1383)</f>
        <v>#REF!</v>
      </c>
      <c r="Q1385" s="413"/>
      <c r="R1385" s="418" t="s">
        <v>1288</v>
      </c>
      <c r="U1385" s="417" t="s">
        <v>2100</v>
      </c>
      <c r="W1385" s="413"/>
      <c r="Y1385" s="440">
        <v>0.56000000000000005</v>
      </c>
      <c r="Z1385" s="414" t="s">
        <v>734</v>
      </c>
      <c r="AA1385" s="412" t="s">
        <v>1505</v>
      </c>
      <c r="AB1385" s="414">
        <f t="shared" ref="AB1385:AB1395" si="191">AB1368</f>
        <v>325</v>
      </c>
      <c r="AC1385" s="414" t="s">
        <v>734</v>
      </c>
      <c r="AD1385" s="414">
        <f t="shared" si="190"/>
        <v>182</v>
      </c>
      <c r="AE1385" s="414">
        <f t="shared" si="179"/>
        <v>0</v>
      </c>
    </row>
    <row r="1386" spans="6:31" ht="24" customHeight="1">
      <c r="K1386" s="418" t="s">
        <v>1288</v>
      </c>
      <c r="O1386" s="412" t="s">
        <v>351</v>
      </c>
      <c r="Q1386" s="413"/>
      <c r="R1386" s="414" t="e">
        <f>SUM(R1372:R1384)</f>
        <v>#REF!</v>
      </c>
      <c r="S1386" s="416">
        <v>4.88</v>
      </c>
      <c r="T1386" s="414" t="s">
        <v>734</v>
      </c>
      <c r="U1386" s="412" t="s">
        <v>1505</v>
      </c>
      <c r="V1386" s="414">
        <f>V1369</f>
        <v>325</v>
      </c>
      <c r="W1386" s="413" t="s">
        <v>734</v>
      </c>
      <c r="X1386" s="414">
        <f>V1386*S1386</f>
        <v>1586</v>
      </c>
      <c r="Y1386" s="440">
        <v>2.98</v>
      </c>
      <c r="Z1386" s="414" t="s">
        <v>734</v>
      </c>
      <c r="AA1386" s="412" t="s">
        <v>1505</v>
      </c>
      <c r="AB1386" s="414">
        <f t="shared" si="191"/>
        <v>325</v>
      </c>
      <c r="AC1386" s="414" t="s">
        <v>734</v>
      </c>
      <c r="AD1386" s="414">
        <f t="shared" si="190"/>
        <v>968.5</v>
      </c>
      <c r="AE1386" s="414">
        <f t="shared" si="179"/>
        <v>0</v>
      </c>
    </row>
    <row r="1387" spans="6:31" ht="24" customHeight="1">
      <c r="H1387" s="420" t="s">
        <v>447</v>
      </c>
      <c r="K1387" s="417" t="e">
        <f>(K1385/10)</f>
        <v>#REF!</v>
      </c>
      <c r="Q1387" s="413"/>
      <c r="R1387" s="418" t="s">
        <v>1288</v>
      </c>
      <c r="S1387" s="416">
        <v>6.57</v>
      </c>
      <c r="T1387" s="414" t="s">
        <v>734</v>
      </c>
      <c r="U1387" s="412" t="s">
        <v>1505</v>
      </c>
      <c r="V1387" s="414">
        <f t="shared" ref="V1387:V1397" si="192">V1370</f>
        <v>325</v>
      </c>
      <c r="W1387" s="413" t="s">
        <v>734</v>
      </c>
      <c r="X1387" s="414">
        <f t="shared" ref="X1387:X1397" si="193">V1387*S1387</f>
        <v>2135.25</v>
      </c>
      <c r="Y1387" s="440">
        <v>0.52</v>
      </c>
      <c r="Z1387" s="414" t="s">
        <v>734</v>
      </c>
      <c r="AA1387" s="412" t="s">
        <v>1505</v>
      </c>
      <c r="AB1387" s="414">
        <f t="shared" si="191"/>
        <v>325</v>
      </c>
      <c r="AC1387" s="414" t="s">
        <v>734</v>
      </c>
      <c r="AD1387" s="414">
        <f t="shared" si="190"/>
        <v>169</v>
      </c>
      <c r="AE1387" s="414">
        <f t="shared" si="179"/>
        <v>0</v>
      </c>
    </row>
    <row r="1388" spans="6:31" ht="24" customHeight="1">
      <c r="K1388" s="418" t="s">
        <v>1676</v>
      </c>
      <c r="O1388" s="412" t="s">
        <v>447</v>
      </c>
      <c r="Q1388" s="413"/>
      <c r="R1388" s="414" t="e">
        <f>(R1386/10)</f>
        <v>#REF!</v>
      </c>
      <c r="S1388" s="416">
        <v>11.56</v>
      </c>
      <c r="T1388" s="414" t="s">
        <v>734</v>
      </c>
      <c r="U1388" s="412" t="s">
        <v>1505</v>
      </c>
      <c r="V1388" s="414">
        <f t="shared" si="192"/>
        <v>325</v>
      </c>
      <c r="W1388" s="413" t="s">
        <v>734</v>
      </c>
      <c r="X1388" s="414">
        <f t="shared" si="193"/>
        <v>3757</v>
      </c>
      <c r="Y1388" s="440">
        <v>0.53300000000000003</v>
      </c>
      <c r="Z1388" s="414" t="s">
        <v>184</v>
      </c>
      <c r="AA1388" s="412" t="s">
        <v>1506</v>
      </c>
      <c r="AB1388" s="414">
        <f t="shared" si="191"/>
        <v>306.89999999999998</v>
      </c>
      <c r="AC1388" s="414" t="s">
        <v>184</v>
      </c>
      <c r="AD1388" s="414">
        <f t="shared" si="190"/>
        <v>163.58000000000001</v>
      </c>
      <c r="AE1388" s="414">
        <f t="shared" si="179"/>
        <v>0</v>
      </c>
    </row>
    <row r="1389" spans="6:31" ht="24" customHeight="1">
      <c r="K1389" s="418"/>
      <c r="Q1389" s="413"/>
      <c r="R1389" s="418" t="s">
        <v>1676</v>
      </c>
      <c r="S1389" s="416">
        <v>2.0099999999999998</v>
      </c>
      <c r="T1389" s="414" t="s">
        <v>734</v>
      </c>
      <c r="U1389" s="412" t="s">
        <v>1505</v>
      </c>
      <c r="V1389" s="414">
        <f t="shared" si="192"/>
        <v>325</v>
      </c>
      <c r="W1389" s="413" t="s">
        <v>734</v>
      </c>
      <c r="X1389" s="414">
        <f t="shared" si="193"/>
        <v>653.25</v>
      </c>
      <c r="Y1389" s="440">
        <v>4.1959999999999997</v>
      </c>
      <c r="Z1389" s="414" t="s">
        <v>669</v>
      </c>
      <c r="AA1389" s="412" t="s">
        <v>1507</v>
      </c>
      <c r="AB1389" s="414">
        <f t="shared" si="191"/>
        <v>29.05</v>
      </c>
      <c r="AC1389" s="414" t="s">
        <v>669</v>
      </c>
      <c r="AD1389" s="414">
        <f t="shared" si="190"/>
        <v>121.89</v>
      </c>
      <c r="AE1389" s="414">
        <f t="shared" si="179"/>
        <v>0</v>
      </c>
    </row>
    <row r="1390" spans="6:31" ht="24" customHeight="1">
      <c r="F1390" s="413" t="s">
        <v>1055</v>
      </c>
      <c r="G1390" s="414" t="s">
        <v>1833</v>
      </c>
      <c r="H1390" s="412" t="s">
        <v>1</v>
      </c>
      <c r="O1390" s="417" t="s">
        <v>2095</v>
      </c>
      <c r="Q1390" s="412"/>
      <c r="S1390" s="416">
        <v>1.96</v>
      </c>
      <c r="T1390" s="414" t="s">
        <v>184</v>
      </c>
      <c r="U1390" s="412" t="s">
        <v>1506</v>
      </c>
      <c r="V1390" s="414">
        <f t="shared" si="192"/>
        <v>306.89999999999998</v>
      </c>
      <c r="W1390" s="413" t="s">
        <v>184</v>
      </c>
      <c r="X1390" s="414">
        <f t="shared" si="193"/>
        <v>601.52</v>
      </c>
      <c r="Y1390" s="440">
        <v>4</v>
      </c>
      <c r="Z1390" s="414" t="s">
        <v>619</v>
      </c>
      <c r="AA1390" s="412" t="s">
        <v>1508</v>
      </c>
      <c r="AB1390" s="414">
        <f t="shared" si="191"/>
        <v>71.900000000000006</v>
      </c>
      <c r="AC1390" s="414" t="s">
        <v>619</v>
      </c>
      <c r="AD1390" s="414">
        <f t="shared" si="190"/>
        <v>287.60000000000002</v>
      </c>
      <c r="AE1390" s="414">
        <f t="shared" si="179"/>
        <v>0</v>
      </c>
    </row>
    <row r="1391" spans="6:31" ht="24" customHeight="1">
      <c r="H1391" s="418" t="s">
        <v>1288</v>
      </c>
      <c r="M1391" s="440">
        <v>4.1849999999999996</v>
      </c>
      <c r="N1391" s="414" t="s">
        <v>734</v>
      </c>
      <c r="O1391" s="412" t="s">
        <v>3001</v>
      </c>
      <c r="P1391" s="414">
        <v>325</v>
      </c>
      <c r="Q1391" s="414" t="s">
        <v>734</v>
      </c>
      <c r="R1391" s="414">
        <f>P1391*M1391</f>
        <v>1360.13</v>
      </c>
      <c r="S1391" s="416">
        <v>16.224</v>
      </c>
      <c r="T1391" s="414" t="s">
        <v>669</v>
      </c>
      <c r="U1391" s="412" t="s">
        <v>1507</v>
      </c>
      <c r="V1391" s="414">
        <f t="shared" si="192"/>
        <v>29.05</v>
      </c>
      <c r="W1391" s="413" t="s">
        <v>669</v>
      </c>
      <c r="X1391" s="414">
        <f t="shared" si="193"/>
        <v>471.31</v>
      </c>
      <c r="Y1391" s="440">
        <v>2</v>
      </c>
      <c r="Z1391" s="414" t="s">
        <v>619</v>
      </c>
      <c r="AA1391" s="412" t="s">
        <v>1509</v>
      </c>
      <c r="AB1391" s="414">
        <f t="shared" si="191"/>
        <v>57.65</v>
      </c>
      <c r="AC1391" s="414" t="s">
        <v>619</v>
      </c>
      <c r="AD1391" s="414">
        <f t="shared" si="190"/>
        <v>115.3</v>
      </c>
      <c r="AE1391" s="414">
        <f t="shared" si="179"/>
        <v>0</v>
      </c>
    </row>
    <row r="1392" spans="6:31" ht="24" customHeight="1">
      <c r="F1392" s="414">
        <v>0.14000000000000001</v>
      </c>
      <c r="G1392" s="414" t="s">
        <v>702</v>
      </c>
      <c r="H1392" s="412" t="s">
        <v>1325</v>
      </c>
      <c r="I1392" s="414" t="e">
        <f>(K49)</f>
        <v>#REF!</v>
      </c>
      <c r="J1392" s="412" t="s">
        <v>702</v>
      </c>
      <c r="K1392" s="414" t="e">
        <f>(F1392*I1392)</f>
        <v>#REF!</v>
      </c>
      <c r="M1392" s="440">
        <v>4.55</v>
      </c>
      <c r="N1392" s="414" t="s">
        <v>734</v>
      </c>
      <c r="O1392" s="412" t="s">
        <v>1505</v>
      </c>
      <c r="P1392" s="414">
        <f>P1391</f>
        <v>325</v>
      </c>
      <c r="Q1392" s="414" t="s">
        <v>734</v>
      </c>
      <c r="R1392" s="414">
        <f t="shared" ref="R1392:R1402" si="194">P1392*M1392</f>
        <v>1478.75</v>
      </c>
      <c r="S1392" s="416">
        <v>16</v>
      </c>
      <c r="T1392" s="414" t="s">
        <v>619</v>
      </c>
      <c r="U1392" s="412" t="s">
        <v>1508</v>
      </c>
      <c r="V1392" s="414">
        <f t="shared" si="192"/>
        <v>71.900000000000006</v>
      </c>
      <c r="W1392" s="413" t="s">
        <v>619</v>
      </c>
      <c r="X1392" s="414">
        <f t="shared" si="193"/>
        <v>1150.4000000000001</v>
      </c>
      <c r="Y1392" s="440">
        <v>2</v>
      </c>
      <c r="Z1392" s="414" t="s">
        <v>619</v>
      </c>
      <c r="AA1392" s="412" t="s">
        <v>1510</v>
      </c>
      <c r="AB1392" s="414">
        <f t="shared" si="191"/>
        <v>30</v>
      </c>
      <c r="AC1392" s="414" t="s">
        <v>619</v>
      </c>
      <c r="AD1392" s="414">
        <f t="shared" si="190"/>
        <v>60</v>
      </c>
      <c r="AE1392" s="414">
        <f t="shared" si="179"/>
        <v>0</v>
      </c>
    </row>
    <row r="1393" spans="6:31" ht="24" customHeight="1">
      <c r="F1393" s="414">
        <v>1.1000000000000001</v>
      </c>
      <c r="G1393" s="414" t="s">
        <v>701</v>
      </c>
      <c r="H1393" s="412" t="s">
        <v>1637</v>
      </c>
      <c r="I1393" s="414">
        <f>(C10)</f>
        <v>999</v>
      </c>
      <c r="J1393" s="412" t="s">
        <v>701</v>
      </c>
      <c r="K1393" s="414">
        <f>(F1393*I1393)</f>
        <v>1098.9000000000001</v>
      </c>
      <c r="M1393" s="440">
        <v>8.66</v>
      </c>
      <c r="N1393" s="414" t="s">
        <v>734</v>
      </c>
      <c r="O1393" s="412" t="s">
        <v>1505</v>
      </c>
      <c r="P1393" s="414">
        <f>P1391</f>
        <v>325</v>
      </c>
      <c r="Q1393" s="414" t="s">
        <v>734</v>
      </c>
      <c r="R1393" s="414">
        <f t="shared" si="194"/>
        <v>2814.5</v>
      </c>
      <c r="S1393" s="416">
        <v>8</v>
      </c>
      <c r="T1393" s="414" t="s">
        <v>619</v>
      </c>
      <c r="U1393" s="412" t="s">
        <v>1509</v>
      </c>
      <c r="V1393" s="414">
        <f t="shared" si="192"/>
        <v>57.65</v>
      </c>
      <c r="W1393" s="413" t="s">
        <v>619</v>
      </c>
      <c r="X1393" s="414">
        <f t="shared" si="193"/>
        <v>461.2</v>
      </c>
      <c r="Y1393" s="440">
        <v>2</v>
      </c>
      <c r="Z1393" s="414" t="s">
        <v>619</v>
      </c>
      <c r="AA1393" s="412" t="s">
        <v>1511</v>
      </c>
      <c r="AB1393" s="414">
        <f t="shared" si="191"/>
        <v>20</v>
      </c>
      <c r="AC1393" s="414" t="s">
        <v>619</v>
      </c>
      <c r="AD1393" s="414">
        <f t="shared" si="190"/>
        <v>40</v>
      </c>
      <c r="AE1393" s="414">
        <f t="shared" si="179"/>
        <v>0</v>
      </c>
    </row>
    <row r="1394" spans="6:31" ht="24" customHeight="1">
      <c r="F1394" s="414">
        <v>0.5</v>
      </c>
      <c r="G1394" s="414" t="s">
        <v>701</v>
      </c>
      <c r="H1394" s="412" t="s">
        <v>1550</v>
      </c>
      <c r="I1394" s="414">
        <f>(C12)</f>
        <v>651</v>
      </c>
      <c r="J1394" s="412" t="s">
        <v>701</v>
      </c>
      <c r="K1394" s="414">
        <f>(F1394*I1394)</f>
        <v>325.5</v>
      </c>
      <c r="M1394" s="440">
        <v>1.51</v>
      </c>
      <c r="N1394" s="414" t="s">
        <v>734</v>
      </c>
      <c r="O1394" s="412" t="s">
        <v>1505</v>
      </c>
      <c r="P1394" s="414">
        <f>P1391</f>
        <v>325</v>
      </c>
      <c r="Q1394" s="414" t="s">
        <v>734</v>
      </c>
      <c r="R1394" s="414">
        <f t="shared" si="194"/>
        <v>490.75</v>
      </c>
      <c r="S1394" s="416">
        <v>8</v>
      </c>
      <c r="T1394" s="414" t="s">
        <v>619</v>
      </c>
      <c r="U1394" s="412" t="s">
        <v>1510</v>
      </c>
      <c r="V1394" s="414">
        <f t="shared" si="192"/>
        <v>30</v>
      </c>
      <c r="W1394" s="413" t="s">
        <v>619</v>
      </c>
      <c r="X1394" s="414">
        <f t="shared" si="193"/>
        <v>240</v>
      </c>
      <c r="Y1394" s="440">
        <v>4</v>
      </c>
      <c r="Z1394" s="414" t="s">
        <v>619</v>
      </c>
      <c r="AA1394" s="412" t="s">
        <v>1512</v>
      </c>
      <c r="AB1394" s="414">
        <f t="shared" si="191"/>
        <v>15</v>
      </c>
      <c r="AC1394" s="414" t="s">
        <v>619</v>
      </c>
      <c r="AD1394" s="414">
        <f t="shared" si="190"/>
        <v>60</v>
      </c>
      <c r="AE1394" s="414">
        <f t="shared" si="179"/>
        <v>0</v>
      </c>
    </row>
    <row r="1395" spans="6:31" ht="24" customHeight="1">
      <c r="F1395" s="414">
        <v>1.1000000000000001</v>
      </c>
      <c r="G1395" s="414" t="s">
        <v>701</v>
      </c>
      <c r="H1395" s="412" t="s">
        <v>245</v>
      </c>
      <c r="I1395" s="414">
        <f>(C13)</f>
        <v>534</v>
      </c>
      <c r="J1395" s="412" t="s">
        <v>701</v>
      </c>
      <c r="K1395" s="414">
        <f>(F1395*I1395)</f>
        <v>587.4</v>
      </c>
      <c r="M1395" s="440">
        <v>1.462</v>
      </c>
      <c r="N1395" s="414" t="s">
        <v>184</v>
      </c>
      <c r="O1395" s="412" t="s">
        <v>1506</v>
      </c>
      <c r="P1395" s="414">
        <v>306.89999999999998</v>
      </c>
      <c r="Q1395" s="414" t="s">
        <v>184</v>
      </c>
      <c r="R1395" s="414">
        <f t="shared" si="194"/>
        <v>448.69</v>
      </c>
      <c r="S1395" s="416">
        <v>8</v>
      </c>
      <c r="T1395" s="414" t="s">
        <v>619</v>
      </c>
      <c r="U1395" s="412" t="s">
        <v>1511</v>
      </c>
      <c r="V1395" s="414">
        <f t="shared" si="192"/>
        <v>20</v>
      </c>
      <c r="W1395" s="413" t="s">
        <v>619</v>
      </c>
      <c r="X1395" s="414">
        <f t="shared" si="193"/>
        <v>160</v>
      </c>
      <c r="Y1395" s="440">
        <v>0.67500000000000004</v>
      </c>
      <c r="Z1395" s="414" t="s">
        <v>1861</v>
      </c>
      <c r="AA1395" s="412" t="s">
        <v>1513</v>
      </c>
      <c r="AB1395" s="414">
        <f t="shared" si="191"/>
        <v>1998</v>
      </c>
      <c r="AC1395" s="414" t="s">
        <v>1861</v>
      </c>
      <c r="AD1395" s="414">
        <f t="shared" si="190"/>
        <v>1348.65</v>
      </c>
      <c r="AE1395" s="414">
        <f t="shared" si="179"/>
        <v>0</v>
      </c>
    </row>
    <row r="1396" spans="6:31" ht="24" customHeight="1">
      <c r="G1396" s="414" t="s">
        <v>358</v>
      </c>
      <c r="H1396" s="412" t="s">
        <v>359</v>
      </c>
      <c r="I1396" s="412" t="s">
        <v>790</v>
      </c>
      <c r="J1396" s="412" t="s">
        <v>358</v>
      </c>
      <c r="K1396" s="414">
        <v>5</v>
      </c>
      <c r="M1396" s="440">
        <v>12.144</v>
      </c>
      <c r="N1396" s="414" t="s">
        <v>669</v>
      </c>
      <c r="O1396" s="412" t="s">
        <v>2855</v>
      </c>
      <c r="P1396" s="414">
        <v>29.05</v>
      </c>
      <c r="Q1396" s="414" t="s">
        <v>669</v>
      </c>
      <c r="R1396" s="414">
        <f t="shared" si="194"/>
        <v>352.78</v>
      </c>
      <c r="S1396" s="416">
        <v>4</v>
      </c>
      <c r="T1396" s="414" t="s">
        <v>619</v>
      </c>
      <c r="U1396" s="412" t="s">
        <v>1512</v>
      </c>
      <c r="V1396" s="414">
        <f t="shared" si="192"/>
        <v>15</v>
      </c>
      <c r="W1396" s="413" t="s">
        <v>619</v>
      </c>
      <c r="X1396" s="414">
        <f t="shared" si="193"/>
        <v>60</v>
      </c>
      <c r="AA1396" s="412" t="s">
        <v>1514</v>
      </c>
      <c r="AC1396" s="413"/>
      <c r="AD1396" s="414">
        <v>0.39</v>
      </c>
      <c r="AE1396" s="414">
        <f t="shared" si="179"/>
        <v>0</v>
      </c>
    </row>
    <row r="1397" spans="6:31" ht="24" customHeight="1">
      <c r="K1397" s="418" t="s">
        <v>1288</v>
      </c>
      <c r="M1397" s="440">
        <v>12</v>
      </c>
      <c r="N1397" s="414" t="s">
        <v>619</v>
      </c>
      <c r="O1397" s="412" t="s">
        <v>2856</v>
      </c>
      <c r="P1397" s="414">
        <v>71.900000000000006</v>
      </c>
      <c r="Q1397" s="414" t="s">
        <v>619</v>
      </c>
      <c r="R1397" s="414">
        <f t="shared" si="194"/>
        <v>862.8</v>
      </c>
      <c r="S1397" s="416">
        <v>2.4300000000000002</v>
      </c>
      <c r="T1397" s="414" t="s">
        <v>1861</v>
      </c>
      <c r="U1397" s="412" t="s">
        <v>1513</v>
      </c>
      <c r="V1397" s="414">
        <f t="shared" si="192"/>
        <v>1998</v>
      </c>
      <c r="W1397" s="413" t="s">
        <v>1861</v>
      </c>
      <c r="X1397" s="414">
        <f t="shared" si="193"/>
        <v>4855.1400000000003</v>
      </c>
      <c r="AA1397" s="419" t="s">
        <v>2141</v>
      </c>
      <c r="AD1397" s="417">
        <f>SUM(AD1384:AD1396)</f>
        <v>4449.66</v>
      </c>
      <c r="AE1397" s="414">
        <f t="shared" si="179"/>
        <v>0</v>
      </c>
    </row>
    <row r="1398" spans="6:31" ht="24" customHeight="1">
      <c r="H1398" s="412" t="s">
        <v>351</v>
      </c>
      <c r="K1398" s="414" t="e">
        <f>SUM(K1392:K1397)</f>
        <v>#REF!</v>
      </c>
      <c r="M1398" s="440">
        <v>6</v>
      </c>
      <c r="N1398" s="414" t="s">
        <v>619</v>
      </c>
      <c r="O1398" s="412" t="s">
        <v>2597</v>
      </c>
      <c r="P1398" s="414">
        <f>P1094</f>
        <v>57.65</v>
      </c>
      <c r="Q1398" s="414" t="s">
        <v>619</v>
      </c>
      <c r="R1398" s="414">
        <f t="shared" si="194"/>
        <v>345.9</v>
      </c>
      <c r="U1398" s="412" t="s">
        <v>1514</v>
      </c>
      <c r="W1398" s="413"/>
      <c r="AE1398" s="414">
        <f t="shared" si="179"/>
        <v>0</v>
      </c>
    </row>
    <row r="1399" spans="6:31" ht="24" customHeight="1">
      <c r="K1399" s="418" t="s">
        <v>1288</v>
      </c>
      <c r="M1399" s="440">
        <v>6</v>
      </c>
      <c r="N1399" s="414" t="s">
        <v>619</v>
      </c>
      <c r="O1399" s="412" t="s">
        <v>2139</v>
      </c>
      <c r="P1399" s="414">
        <v>30</v>
      </c>
      <c r="Q1399" s="414" t="s">
        <v>619</v>
      </c>
      <c r="R1399" s="414">
        <f t="shared" si="194"/>
        <v>180</v>
      </c>
      <c r="U1399" s="419" t="s">
        <v>2141</v>
      </c>
      <c r="W1399" s="413"/>
      <c r="X1399" s="417">
        <f>SUM(X1386:X1398)</f>
        <v>16131.07</v>
      </c>
      <c r="AA1399" s="417" t="s">
        <v>2098</v>
      </c>
      <c r="AC1399" s="412"/>
      <c r="AE1399" s="414">
        <f t="shared" si="179"/>
        <v>0</v>
      </c>
    </row>
    <row r="1400" spans="6:31" ht="24" customHeight="1">
      <c r="H1400" s="420" t="s">
        <v>447</v>
      </c>
      <c r="K1400" s="417" t="e">
        <f>(K1398/10)</f>
        <v>#REF!</v>
      </c>
      <c r="M1400" s="440">
        <v>6</v>
      </c>
      <c r="N1400" s="414" t="s">
        <v>619</v>
      </c>
      <c r="O1400" s="412" t="s">
        <v>1511</v>
      </c>
      <c r="P1400" s="414">
        <v>20</v>
      </c>
      <c r="Q1400" s="414" t="s">
        <v>619</v>
      </c>
      <c r="R1400" s="414">
        <f t="shared" si="194"/>
        <v>120</v>
      </c>
      <c r="W1400" s="413"/>
      <c r="Y1400" s="440">
        <v>2.33</v>
      </c>
      <c r="Z1400" s="414" t="s">
        <v>734</v>
      </c>
      <c r="AA1400" s="412" t="s">
        <v>1505</v>
      </c>
      <c r="AB1400" s="414">
        <f t="shared" ref="AB1400:AB1411" si="195">V1402</f>
        <v>325</v>
      </c>
      <c r="AC1400" s="414" t="s">
        <v>734</v>
      </c>
      <c r="AD1400" s="414">
        <f t="shared" ref="AD1400:AD1411" si="196">AB1400*Y1400</f>
        <v>757.25</v>
      </c>
      <c r="AE1400" s="414">
        <f t="shared" si="179"/>
        <v>0</v>
      </c>
    </row>
    <row r="1401" spans="6:31" ht="24" hidden="1" customHeight="1">
      <c r="F1401" s="412" t="s">
        <v>790</v>
      </c>
      <c r="M1401" s="440">
        <v>4</v>
      </c>
      <c r="N1401" s="414" t="s">
        <v>619</v>
      </c>
      <c r="O1401" s="412" t="s">
        <v>1512</v>
      </c>
      <c r="P1401" s="414">
        <v>15</v>
      </c>
      <c r="Q1401" s="414" t="s">
        <v>619</v>
      </c>
      <c r="R1401" s="414">
        <f t="shared" si="194"/>
        <v>60</v>
      </c>
      <c r="U1401" s="417" t="s">
        <v>2099</v>
      </c>
      <c r="W1401" s="413"/>
      <c r="Y1401" s="440">
        <v>0.67</v>
      </c>
      <c r="Z1401" s="414" t="s">
        <v>734</v>
      </c>
      <c r="AA1401" s="412" t="s">
        <v>1505</v>
      </c>
      <c r="AB1401" s="414">
        <f t="shared" si="195"/>
        <v>325</v>
      </c>
      <c r="AC1401" s="414" t="s">
        <v>734</v>
      </c>
      <c r="AD1401" s="414">
        <f t="shared" si="196"/>
        <v>217.75</v>
      </c>
      <c r="AE1401" s="414">
        <f t="shared" si="179"/>
        <v>0</v>
      </c>
    </row>
    <row r="1402" spans="6:31" ht="24" customHeight="1">
      <c r="K1402" s="418" t="s">
        <v>1676</v>
      </c>
      <c r="M1402" s="440">
        <v>1.823</v>
      </c>
      <c r="N1402" s="414" t="s">
        <v>1861</v>
      </c>
      <c r="O1402" s="412" t="s">
        <v>1513</v>
      </c>
      <c r="P1402" s="414">
        <f>ROUND(AE17+AE11+(AE20*0.5),2)</f>
        <v>1998</v>
      </c>
      <c r="Q1402" s="414" t="s">
        <v>1861</v>
      </c>
      <c r="R1402" s="414">
        <f t="shared" si="194"/>
        <v>3642.35</v>
      </c>
      <c r="S1402" s="416">
        <f>8*0.775</f>
        <v>6.2</v>
      </c>
      <c r="T1402" s="414" t="s">
        <v>734</v>
      </c>
      <c r="U1402" s="412" t="s">
        <v>1505</v>
      </c>
      <c r="V1402" s="414">
        <f>V1386</f>
        <v>325</v>
      </c>
      <c r="W1402" s="413" t="s">
        <v>734</v>
      </c>
      <c r="X1402" s="414">
        <f>V1402*S1402</f>
        <v>2015</v>
      </c>
      <c r="Y1402" s="440">
        <v>2.65</v>
      </c>
      <c r="Z1402" s="414" t="s">
        <v>734</v>
      </c>
      <c r="AA1402" s="412" t="s">
        <v>1505</v>
      </c>
      <c r="AB1402" s="414">
        <f t="shared" si="195"/>
        <v>325</v>
      </c>
      <c r="AC1402" s="414" t="s">
        <v>734</v>
      </c>
      <c r="AD1402" s="414">
        <f t="shared" si="196"/>
        <v>861.25</v>
      </c>
      <c r="AE1402" s="414">
        <f t="shared" si="179"/>
        <v>0</v>
      </c>
    </row>
    <row r="1403" spans="6:31" ht="24" customHeight="1">
      <c r="F1403" s="413" t="s">
        <v>2</v>
      </c>
      <c r="G1403" s="414" t="s">
        <v>1833</v>
      </c>
      <c r="H1403" s="412" t="s">
        <v>3</v>
      </c>
      <c r="O1403" s="412" t="s">
        <v>1514</v>
      </c>
      <c r="Q1403" s="413"/>
      <c r="R1403" s="414">
        <v>0.51</v>
      </c>
      <c r="S1403" s="416">
        <f>8.4*1.123</f>
        <v>9.4329999999999998</v>
      </c>
      <c r="T1403" s="414" t="s">
        <v>734</v>
      </c>
      <c r="U1403" s="412" t="s">
        <v>1505</v>
      </c>
      <c r="V1403" s="414">
        <f t="shared" ref="V1403:V1413" si="197">V1387</f>
        <v>325</v>
      </c>
      <c r="W1403" s="413" t="s">
        <v>734</v>
      </c>
      <c r="X1403" s="414">
        <f t="shared" ref="X1403:X1413" si="198">V1403*S1403</f>
        <v>3065.73</v>
      </c>
      <c r="Y1403" s="440">
        <v>0.46</v>
      </c>
      <c r="Z1403" s="414" t="s">
        <v>734</v>
      </c>
      <c r="AA1403" s="412" t="s">
        <v>1505</v>
      </c>
      <c r="AB1403" s="414">
        <f t="shared" si="195"/>
        <v>325</v>
      </c>
      <c r="AC1403" s="414" t="s">
        <v>734</v>
      </c>
      <c r="AD1403" s="414">
        <f t="shared" si="196"/>
        <v>149.5</v>
      </c>
      <c r="AE1403" s="414">
        <f t="shared" si="179"/>
        <v>0</v>
      </c>
    </row>
    <row r="1404" spans="6:31" ht="24" customHeight="1">
      <c r="H1404" s="418" t="s">
        <v>1288</v>
      </c>
      <c r="L1404" s="414">
        <f>5.85*1.123</f>
        <v>6.57</v>
      </c>
      <c r="R1404" s="417">
        <f>SUM(R1391:R1403)</f>
        <v>12157.16</v>
      </c>
      <c r="S1404" s="416">
        <f>24.24*0.663</f>
        <v>16.071000000000002</v>
      </c>
      <c r="T1404" s="414" t="s">
        <v>734</v>
      </c>
      <c r="U1404" s="412" t="s">
        <v>1505</v>
      </c>
      <c r="V1404" s="414">
        <f t="shared" si="197"/>
        <v>325</v>
      </c>
      <c r="W1404" s="413" t="s">
        <v>734</v>
      </c>
      <c r="X1404" s="414">
        <f t="shared" si="198"/>
        <v>5223.08</v>
      </c>
      <c r="Y1404" s="440">
        <v>0.41699999999999998</v>
      </c>
      <c r="Z1404" s="414" t="s">
        <v>184</v>
      </c>
      <c r="AA1404" s="412" t="s">
        <v>1506</v>
      </c>
      <c r="AB1404" s="414">
        <f t="shared" si="195"/>
        <v>306.89999999999998</v>
      </c>
      <c r="AC1404" s="414" t="s">
        <v>184</v>
      </c>
      <c r="AD1404" s="414">
        <f t="shared" si="196"/>
        <v>127.98</v>
      </c>
      <c r="AE1404" s="414">
        <f t="shared" si="179"/>
        <v>0</v>
      </c>
    </row>
    <row r="1405" spans="6:31" ht="24" customHeight="1">
      <c r="F1405" s="414">
        <v>0.14000000000000001</v>
      </c>
      <c r="G1405" s="414" t="s">
        <v>702</v>
      </c>
      <c r="H1405" s="412" t="s">
        <v>1063</v>
      </c>
      <c r="I1405" s="414" t="e">
        <f>(K40)</f>
        <v>#REF!</v>
      </c>
      <c r="J1405" s="412" t="s">
        <v>702</v>
      </c>
      <c r="K1405" s="414" t="e">
        <f>(F1405*I1405)</f>
        <v>#REF!</v>
      </c>
      <c r="S1405" s="416">
        <f>23.02*0.124</f>
        <v>2.8540000000000001</v>
      </c>
      <c r="T1405" s="414" t="s">
        <v>734</v>
      </c>
      <c r="U1405" s="412" t="s">
        <v>1505</v>
      </c>
      <c r="V1405" s="414">
        <f t="shared" si="197"/>
        <v>325</v>
      </c>
      <c r="W1405" s="413" t="s">
        <v>734</v>
      </c>
      <c r="X1405" s="414">
        <f t="shared" si="198"/>
        <v>927.55</v>
      </c>
      <c r="Y1405" s="440">
        <v>3.6960000000000002</v>
      </c>
      <c r="Z1405" s="414" t="s">
        <v>669</v>
      </c>
      <c r="AA1405" s="412" t="s">
        <v>1507</v>
      </c>
      <c r="AB1405" s="414">
        <f t="shared" si="195"/>
        <v>29.05</v>
      </c>
      <c r="AC1405" s="414" t="s">
        <v>669</v>
      </c>
      <c r="AD1405" s="414">
        <f t="shared" si="196"/>
        <v>107.37</v>
      </c>
      <c r="AE1405" s="414">
        <f t="shared" si="179"/>
        <v>0</v>
      </c>
    </row>
    <row r="1406" spans="6:31" ht="24" customHeight="1">
      <c r="F1406" s="414">
        <v>1.1000000000000001</v>
      </c>
      <c r="G1406" s="414" t="s">
        <v>701</v>
      </c>
      <c r="H1406" s="412" t="s">
        <v>1637</v>
      </c>
      <c r="I1406" s="414">
        <f>(C10)</f>
        <v>999</v>
      </c>
      <c r="J1406" s="412" t="s">
        <v>701</v>
      </c>
      <c r="K1406" s="414">
        <f>(F1406*I1406)</f>
        <v>1098.9000000000001</v>
      </c>
      <c r="S1406" s="416">
        <f>3.31</f>
        <v>3.31</v>
      </c>
      <c r="T1406" s="414" t="s">
        <v>184</v>
      </c>
      <c r="U1406" s="412" t="s">
        <v>1506</v>
      </c>
      <c r="V1406" s="414">
        <f t="shared" si="197"/>
        <v>306.89999999999998</v>
      </c>
      <c r="W1406" s="413" t="s">
        <v>184</v>
      </c>
      <c r="X1406" s="414">
        <f t="shared" si="198"/>
        <v>1015.84</v>
      </c>
      <c r="Y1406" s="440">
        <v>4</v>
      </c>
      <c r="Z1406" s="414" t="s">
        <v>619</v>
      </c>
      <c r="AA1406" s="412" t="s">
        <v>1508</v>
      </c>
      <c r="AB1406" s="414">
        <f t="shared" si="195"/>
        <v>71.900000000000006</v>
      </c>
      <c r="AC1406" s="414" t="s">
        <v>619</v>
      </c>
      <c r="AD1406" s="414">
        <f t="shared" si="196"/>
        <v>287.60000000000002</v>
      </c>
      <c r="AE1406" s="414">
        <f t="shared" ref="AE1406:AE1469" si="199">AG1406</f>
        <v>0</v>
      </c>
    </row>
    <row r="1407" spans="6:31" ht="24" customHeight="1">
      <c r="F1407" s="414">
        <v>0.5</v>
      </c>
      <c r="G1407" s="414" t="s">
        <v>701</v>
      </c>
      <c r="H1407" s="412" t="s">
        <v>1550</v>
      </c>
      <c r="I1407" s="414">
        <f>(C12)</f>
        <v>651</v>
      </c>
      <c r="J1407" s="412" t="s">
        <v>701</v>
      </c>
      <c r="K1407" s="414">
        <f>(F1407*I1407)</f>
        <v>325.5</v>
      </c>
      <c r="O1407" s="417" t="s">
        <v>2090</v>
      </c>
      <c r="Q1407" s="412"/>
      <c r="S1407" s="416">
        <v>23.02</v>
      </c>
      <c r="T1407" s="414" t="s">
        <v>669</v>
      </c>
      <c r="U1407" s="412" t="s">
        <v>1507</v>
      </c>
      <c r="V1407" s="414">
        <f t="shared" si="197"/>
        <v>29.05</v>
      </c>
      <c r="W1407" s="413" t="s">
        <v>669</v>
      </c>
      <c r="X1407" s="414">
        <f t="shared" si="198"/>
        <v>668.73</v>
      </c>
      <c r="Y1407" s="440">
        <v>2</v>
      </c>
      <c r="Z1407" s="414" t="s">
        <v>619</v>
      </c>
      <c r="AA1407" s="412" t="s">
        <v>1509</v>
      </c>
      <c r="AB1407" s="414">
        <f t="shared" si="195"/>
        <v>57.65</v>
      </c>
      <c r="AC1407" s="414" t="s">
        <v>619</v>
      </c>
      <c r="AD1407" s="414">
        <f t="shared" si="196"/>
        <v>115.3</v>
      </c>
      <c r="AE1407" s="414">
        <f t="shared" si="199"/>
        <v>0</v>
      </c>
    </row>
    <row r="1408" spans="6:31" ht="24" customHeight="1">
      <c r="F1408" s="414">
        <v>1.1000000000000001</v>
      </c>
      <c r="G1408" s="414" t="s">
        <v>701</v>
      </c>
      <c r="H1408" s="412" t="s">
        <v>245</v>
      </c>
      <c r="I1408" s="414">
        <f>(C13)</f>
        <v>534</v>
      </c>
      <c r="J1408" s="412" t="s">
        <v>701</v>
      </c>
      <c r="K1408" s="414">
        <f>(F1408*I1408)</f>
        <v>587.4</v>
      </c>
      <c r="M1408" s="440">
        <v>3.95</v>
      </c>
      <c r="N1408" s="414" t="s">
        <v>734</v>
      </c>
      <c r="O1408" s="412" t="s">
        <v>2595</v>
      </c>
      <c r="P1408" s="414">
        <f>P1391</f>
        <v>325</v>
      </c>
      <c r="Q1408" s="414" t="s">
        <v>734</v>
      </c>
      <c r="R1408" s="414">
        <f>P1408*M1408</f>
        <v>1283.75</v>
      </c>
      <c r="S1408" s="416">
        <v>16</v>
      </c>
      <c r="T1408" s="414" t="s">
        <v>619</v>
      </c>
      <c r="U1408" s="412" t="s">
        <v>1508</v>
      </c>
      <c r="V1408" s="414">
        <f t="shared" si="197"/>
        <v>71.900000000000006</v>
      </c>
      <c r="W1408" s="413" t="s">
        <v>619</v>
      </c>
      <c r="X1408" s="414">
        <f t="shared" si="198"/>
        <v>1150.4000000000001</v>
      </c>
      <c r="Y1408" s="440">
        <v>2</v>
      </c>
      <c r="Z1408" s="414" t="s">
        <v>619</v>
      </c>
      <c r="AA1408" s="412" t="s">
        <v>1510</v>
      </c>
      <c r="AB1408" s="414">
        <f t="shared" si="195"/>
        <v>30</v>
      </c>
      <c r="AC1408" s="414" t="s">
        <v>619</v>
      </c>
      <c r="AD1408" s="414">
        <f t="shared" si="196"/>
        <v>60</v>
      </c>
      <c r="AE1408" s="414">
        <f t="shared" si="199"/>
        <v>0</v>
      </c>
    </row>
    <row r="1409" spans="6:31" ht="24" customHeight="1">
      <c r="G1409" s="414" t="s">
        <v>358</v>
      </c>
      <c r="H1409" s="412" t="s">
        <v>359</v>
      </c>
      <c r="I1409" s="412" t="s">
        <v>790</v>
      </c>
      <c r="J1409" s="412" t="s">
        <v>358</v>
      </c>
      <c r="K1409" s="414">
        <v>5</v>
      </c>
      <c r="M1409" s="440">
        <v>2.86</v>
      </c>
      <c r="N1409" s="414" t="s">
        <v>734</v>
      </c>
      <c r="O1409" s="412" t="s">
        <v>1505</v>
      </c>
      <c r="P1409" s="414">
        <f t="shared" ref="P1409:P1419" si="200">P1392</f>
        <v>325</v>
      </c>
      <c r="Q1409" s="414" t="s">
        <v>734</v>
      </c>
      <c r="R1409" s="414">
        <f t="shared" ref="R1409:R1419" si="201">P1409*M1409</f>
        <v>929.5</v>
      </c>
      <c r="S1409" s="416">
        <v>8</v>
      </c>
      <c r="T1409" s="414" t="s">
        <v>619</v>
      </c>
      <c r="U1409" s="412" t="s">
        <v>1509</v>
      </c>
      <c r="V1409" s="414">
        <f t="shared" si="197"/>
        <v>57.65</v>
      </c>
      <c r="W1409" s="413" t="s">
        <v>619</v>
      </c>
      <c r="X1409" s="414">
        <f t="shared" si="198"/>
        <v>461.2</v>
      </c>
      <c r="Y1409" s="440">
        <v>2</v>
      </c>
      <c r="Z1409" s="414" t="s">
        <v>619</v>
      </c>
      <c r="AA1409" s="412" t="s">
        <v>1511</v>
      </c>
      <c r="AB1409" s="414">
        <f t="shared" si="195"/>
        <v>20</v>
      </c>
      <c r="AC1409" s="414" t="s">
        <v>619</v>
      </c>
      <c r="AD1409" s="414">
        <f t="shared" si="196"/>
        <v>40</v>
      </c>
      <c r="AE1409" s="414">
        <f t="shared" si="199"/>
        <v>0</v>
      </c>
    </row>
    <row r="1410" spans="6:31" ht="24" hidden="1" customHeight="1">
      <c r="H1410" s="412"/>
      <c r="I1410" s="412"/>
      <c r="M1410" s="440">
        <v>6.55</v>
      </c>
      <c r="N1410" s="414" t="s">
        <v>734</v>
      </c>
      <c r="O1410" s="412" t="s">
        <v>1505</v>
      </c>
      <c r="P1410" s="414">
        <f t="shared" si="200"/>
        <v>325</v>
      </c>
      <c r="Q1410" s="414" t="s">
        <v>734</v>
      </c>
      <c r="R1410" s="414">
        <f t="shared" si="201"/>
        <v>2128.75</v>
      </c>
      <c r="S1410" s="416">
        <v>8</v>
      </c>
      <c r="T1410" s="414" t="s">
        <v>619</v>
      </c>
      <c r="U1410" s="412" t="s">
        <v>1510</v>
      </c>
      <c r="V1410" s="414">
        <f t="shared" si="197"/>
        <v>30</v>
      </c>
      <c r="W1410" s="413" t="s">
        <v>619</v>
      </c>
      <c r="X1410" s="414">
        <f t="shared" si="198"/>
        <v>240</v>
      </c>
      <c r="Y1410" s="440">
        <v>2</v>
      </c>
      <c r="Z1410" s="414" t="s">
        <v>619</v>
      </c>
      <c r="AA1410" s="412" t="s">
        <v>1512</v>
      </c>
      <c r="AB1410" s="414">
        <f t="shared" si="195"/>
        <v>15</v>
      </c>
      <c r="AC1410" s="414" t="s">
        <v>619</v>
      </c>
      <c r="AD1410" s="414">
        <f t="shared" si="196"/>
        <v>30</v>
      </c>
      <c r="AE1410" s="414">
        <f t="shared" si="199"/>
        <v>0</v>
      </c>
    </row>
    <row r="1411" spans="6:31" ht="24" customHeight="1">
      <c r="K1411" s="418" t="s">
        <v>1288</v>
      </c>
      <c r="M1411" s="440">
        <v>1.1499999999999999</v>
      </c>
      <c r="N1411" s="414" t="s">
        <v>734</v>
      </c>
      <c r="O1411" s="412" t="s">
        <v>1505</v>
      </c>
      <c r="P1411" s="414">
        <f t="shared" si="200"/>
        <v>325</v>
      </c>
      <c r="Q1411" s="414" t="s">
        <v>734</v>
      </c>
      <c r="R1411" s="414">
        <f t="shared" si="201"/>
        <v>373.75</v>
      </c>
      <c r="S1411" s="416">
        <v>8</v>
      </c>
      <c r="T1411" s="414" t="s">
        <v>619</v>
      </c>
      <c r="U1411" s="412" t="s">
        <v>1511</v>
      </c>
      <c r="V1411" s="414">
        <f t="shared" si="197"/>
        <v>20</v>
      </c>
      <c r="W1411" s="413" t="s">
        <v>619</v>
      </c>
      <c r="X1411" s="414">
        <f t="shared" si="198"/>
        <v>160</v>
      </c>
      <c r="Y1411" s="440">
        <v>0.54</v>
      </c>
      <c r="Z1411" s="414" t="s">
        <v>1861</v>
      </c>
      <c r="AA1411" s="412" t="s">
        <v>1513</v>
      </c>
      <c r="AB1411" s="414">
        <f t="shared" si="195"/>
        <v>1998</v>
      </c>
      <c r="AC1411" s="414" t="s">
        <v>1861</v>
      </c>
      <c r="AD1411" s="414">
        <f t="shared" si="196"/>
        <v>1078.92</v>
      </c>
      <c r="AE1411" s="414">
        <f t="shared" si="199"/>
        <v>0</v>
      </c>
    </row>
    <row r="1412" spans="6:31" ht="24" customHeight="1">
      <c r="H1412" s="412" t="s">
        <v>351</v>
      </c>
      <c r="K1412" s="414" t="e">
        <f>SUM(K1405:K1409)</f>
        <v>#REF!</v>
      </c>
      <c r="L1412" s="414" t="e">
        <f>SUM(K1433:K1436)</f>
        <v>#REF!</v>
      </c>
      <c r="M1412" s="440">
        <v>1.3380000000000001</v>
      </c>
      <c r="N1412" s="414" t="s">
        <v>184</v>
      </c>
      <c r="O1412" s="412" t="s">
        <v>1506</v>
      </c>
      <c r="P1412" s="414">
        <f t="shared" si="200"/>
        <v>306.89999999999998</v>
      </c>
      <c r="Q1412" s="414" t="s">
        <v>184</v>
      </c>
      <c r="R1412" s="414">
        <f t="shared" si="201"/>
        <v>410.63</v>
      </c>
      <c r="S1412" s="416">
        <v>4</v>
      </c>
      <c r="T1412" s="414" t="s">
        <v>619</v>
      </c>
      <c r="U1412" s="412" t="s">
        <v>1512</v>
      </c>
      <c r="V1412" s="414">
        <f t="shared" si="197"/>
        <v>15</v>
      </c>
      <c r="W1412" s="413" t="s">
        <v>619</v>
      </c>
      <c r="X1412" s="414">
        <f t="shared" si="198"/>
        <v>60</v>
      </c>
      <c r="AA1412" s="412" t="s">
        <v>1514</v>
      </c>
      <c r="AC1412" s="413"/>
      <c r="AD1412" s="414">
        <v>0.7</v>
      </c>
      <c r="AE1412" s="414">
        <f t="shared" si="199"/>
        <v>0</v>
      </c>
    </row>
    <row r="1413" spans="6:31" ht="24" customHeight="1">
      <c r="K1413" s="418" t="s">
        <v>1288</v>
      </c>
      <c r="M1413" s="440">
        <v>9.2720000000000002</v>
      </c>
      <c r="N1413" s="414" t="s">
        <v>669</v>
      </c>
      <c r="O1413" s="412" t="s">
        <v>2598</v>
      </c>
      <c r="P1413" s="414">
        <f t="shared" si="200"/>
        <v>29.05</v>
      </c>
      <c r="Q1413" s="414" t="s">
        <v>669</v>
      </c>
      <c r="R1413" s="414">
        <f t="shared" si="201"/>
        <v>269.35000000000002</v>
      </c>
      <c r="S1413" s="416">
        <v>3.96</v>
      </c>
      <c r="T1413" s="414" t="s">
        <v>1861</v>
      </c>
      <c r="U1413" s="412" t="s">
        <v>1513</v>
      </c>
      <c r="V1413" s="414">
        <f t="shared" si="197"/>
        <v>1998</v>
      </c>
      <c r="W1413" s="413" t="s">
        <v>1861</v>
      </c>
      <c r="X1413" s="414">
        <f t="shared" si="198"/>
        <v>7912.08</v>
      </c>
      <c r="AA1413" s="419" t="s">
        <v>2141</v>
      </c>
      <c r="AD1413" s="417">
        <f>SUM(AD1400:AD1412)</f>
        <v>3833.62</v>
      </c>
      <c r="AE1413" s="414">
        <f t="shared" si="199"/>
        <v>0</v>
      </c>
    </row>
    <row r="1414" spans="6:31" ht="24" customHeight="1">
      <c r="H1414" s="420" t="s">
        <v>447</v>
      </c>
      <c r="K1414" s="417" t="e">
        <f>(K1412/10)</f>
        <v>#REF!</v>
      </c>
      <c r="M1414" s="440">
        <v>8</v>
      </c>
      <c r="N1414" s="414" t="s">
        <v>619</v>
      </c>
      <c r="O1414" s="412" t="s">
        <v>2596</v>
      </c>
      <c r="P1414" s="414">
        <f t="shared" si="200"/>
        <v>71.900000000000006</v>
      </c>
      <c r="Q1414" s="414" t="s">
        <v>619</v>
      </c>
      <c r="R1414" s="414">
        <f t="shared" si="201"/>
        <v>575.20000000000005</v>
      </c>
      <c r="U1414" s="412" t="s">
        <v>1514</v>
      </c>
      <c r="W1414" s="413"/>
      <c r="X1414" s="414">
        <v>0.09</v>
      </c>
      <c r="AE1414" s="414">
        <f t="shared" si="199"/>
        <v>0</v>
      </c>
    </row>
    <row r="1415" spans="6:31" ht="24" customHeight="1">
      <c r="K1415" s="418" t="s">
        <v>1676</v>
      </c>
      <c r="M1415" s="440">
        <v>4</v>
      </c>
      <c r="N1415" s="414" t="s">
        <v>619</v>
      </c>
      <c r="O1415" s="412" t="s">
        <v>2597</v>
      </c>
      <c r="P1415" s="414">
        <f t="shared" si="200"/>
        <v>57.65</v>
      </c>
      <c r="Q1415" s="414" t="s">
        <v>619</v>
      </c>
      <c r="R1415" s="414">
        <f t="shared" si="201"/>
        <v>230.6</v>
      </c>
      <c r="U1415" s="419" t="s">
        <v>2141</v>
      </c>
      <c r="W1415" s="413"/>
      <c r="X1415" s="417">
        <f>SUM(X1402:X1414)</f>
        <v>22899.7</v>
      </c>
      <c r="AE1415" s="414">
        <f t="shared" si="199"/>
        <v>0</v>
      </c>
    </row>
    <row r="1416" spans="6:31" ht="24" customHeight="1">
      <c r="F1416" s="413" t="s">
        <v>4</v>
      </c>
      <c r="G1416" s="414" t="s">
        <v>1833</v>
      </c>
      <c r="H1416" s="412" t="s">
        <v>5</v>
      </c>
      <c r="M1416" s="440">
        <v>4</v>
      </c>
      <c r="N1416" s="414" t="s">
        <v>619</v>
      </c>
      <c r="O1416" s="412" t="s">
        <v>1510</v>
      </c>
      <c r="P1416" s="414">
        <f t="shared" si="200"/>
        <v>30</v>
      </c>
      <c r="Q1416" s="414" t="s">
        <v>619</v>
      </c>
      <c r="R1416" s="414">
        <f t="shared" si="201"/>
        <v>120</v>
      </c>
      <c r="W1416" s="413"/>
      <c r="AA1416" s="417" t="s">
        <v>2089</v>
      </c>
      <c r="AC1416" s="412"/>
      <c r="AE1416" s="414">
        <f t="shared" si="199"/>
        <v>0</v>
      </c>
    </row>
    <row r="1417" spans="6:31" ht="24" customHeight="1">
      <c r="H1417" s="418" t="s">
        <v>1288</v>
      </c>
      <c r="M1417" s="440">
        <v>4</v>
      </c>
      <c r="N1417" s="414" t="s">
        <v>619</v>
      </c>
      <c r="O1417" s="412" t="s">
        <v>1511</v>
      </c>
      <c r="P1417" s="414">
        <f t="shared" si="200"/>
        <v>20</v>
      </c>
      <c r="Q1417" s="414" t="s">
        <v>619</v>
      </c>
      <c r="R1417" s="414">
        <f t="shared" si="201"/>
        <v>80</v>
      </c>
      <c r="W1417" s="413"/>
      <c r="Y1417" s="440">
        <f>4.2*0.775</f>
        <v>3.2549999999999999</v>
      </c>
      <c r="Z1417" s="414" t="s">
        <v>734</v>
      </c>
      <c r="AA1417" s="412" t="s">
        <v>1505</v>
      </c>
      <c r="AB1417" s="414">
        <f>AB1400</f>
        <v>325</v>
      </c>
      <c r="AC1417" s="414" t="s">
        <v>734</v>
      </c>
      <c r="AD1417" s="414">
        <f t="shared" ref="AD1417:AD1428" si="202">AB1417*Y1417</f>
        <v>1057.8800000000001</v>
      </c>
      <c r="AE1417" s="414">
        <f t="shared" si="199"/>
        <v>0</v>
      </c>
    </row>
    <row r="1418" spans="6:31" ht="24" customHeight="1">
      <c r="F1418" s="414">
        <v>0.1</v>
      </c>
      <c r="G1418" s="414" t="s">
        <v>702</v>
      </c>
      <c r="H1418" s="412" t="s">
        <v>1100</v>
      </c>
      <c r="I1418" s="414" t="e">
        <f>(K32)</f>
        <v>#REF!</v>
      </c>
      <c r="J1418" s="412" t="s">
        <v>702</v>
      </c>
      <c r="K1418" s="414" t="e">
        <f>(F1418*I1418)</f>
        <v>#REF!</v>
      </c>
      <c r="M1418" s="440">
        <v>4</v>
      </c>
      <c r="N1418" s="414" t="s">
        <v>619</v>
      </c>
      <c r="O1418" s="412" t="s">
        <v>1512</v>
      </c>
      <c r="P1418" s="414">
        <f t="shared" si="200"/>
        <v>15</v>
      </c>
      <c r="Q1418" s="414" t="s">
        <v>619</v>
      </c>
      <c r="R1418" s="414">
        <f t="shared" si="201"/>
        <v>60</v>
      </c>
      <c r="U1418" s="417" t="s">
        <v>2142</v>
      </c>
      <c r="W1418" s="413"/>
      <c r="Y1418" s="440">
        <v>2.3580000000000001</v>
      </c>
      <c r="Z1418" s="414" t="s">
        <v>734</v>
      </c>
      <c r="AA1418" s="412" t="s">
        <v>1505</v>
      </c>
      <c r="AB1418" s="414">
        <f t="shared" ref="AB1418:AB1428" si="203">AB1401</f>
        <v>325</v>
      </c>
      <c r="AC1418" s="414" t="s">
        <v>734</v>
      </c>
      <c r="AD1418" s="414">
        <f t="shared" si="202"/>
        <v>766.35</v>
      </c>
      <c r="AE1418" s="414">
        <f t="shared" si="199"/>
        <v>0</v>
      </c>
    </row>
    <row r="1419" spans="6:31" ht="24" customHeight="1">
      <c r="F1419" s="414">
        <v>1.1000000000000001</v>
      </c>
      <c r="G1419" s="414" t="s">
        <v>701</v>
      </c>
      <c r="H1419" s="412" t="s">
        <v>1637</v>
      </c>
      <c r="I1419" s="414">
        <f>(C10)</f>
        <v>999</v>
      </c>
      <c r="J1419" s="412" t="s">
        <v>701</v>
      </c>
      <c r="K1419" s="414">
        <f>(F1419*I1419)</f>
        <v>1098.9000000000001</v>
      </c>
      <c r="L1419" s="414">
        <f>M1458+M1459+M1460</f>
        <v>11.74</v>
      </c>
      <c r="M1419" s="440">
        <v>1.62</v>
      </c>
      <c r="N1419" s="414" t="s">
        <v>1861</v>
      </c>
      <c r="O1419" s="412" t="s">
        <v>1513</v>
      </c>
      <c r="P1419" s="414">
        <f t="shared" si="200"/>
        <v>1998</v>
      </c>
      <c r="Q1419" s="414" t="s">
        <v>1861</v>
      </c>
      <c r="R1419" s="414">
        <f t="shared" si="201"/>
        <v>3236.76</v>
      </c>
      <c r="S1419" s="416">
        <v>4.42</v>
      </c>
      <c r="T1419" s="414" t="s">
        <v>734</v>
      </c>
      <c r="U1419" s="412" t="s">
        <v>1505</v>
      </c>
      <c r="V1419" s="414">
        <f>P1458</f>
        <v>325</v>
      </c>
      <c r="W1419" s="413" t="s">
        <v>734</v>
      </c>
      <c r="X1419" s="414">
        <f>V1419*S1419</f>
        <v>1436.5</v>
      </c>
      <c r="Y1419" s="440">
        <f>8.08*0.663</f>
        <v>5.3570000000000002</v>
      </c>
      <c r="Z1419" s="414" t="s">
        <v>734</v>
      </c>
      <c r="AA1419" s="412" t="s">
        <v>1505</v>
      </c>
      <c r="AB1419" s="414">
        <f t="shared" si="203"/>
        <v>325</v>
      </c>
      <c r="AC1419" s="414" t="s">
        <v>734</v>
      </c>
      <c r="AD1419" s="414">
        <f t="shared" si="202"/>
        <v>1741.03</v>
      </c>
      <c r="AE1419" s="414">
        <f t="shared" si="199"/>
        <v>0</v>
      </c>
    </row>
    <row r="1420" spans="6:31" ht="24" customHeight="1">
      <c r="F1420" s="414">
        <v>1.1000000000000001</v>
      </c>
      <c r="G1420" s="414" t="s">
        <v>701</v>
      </c>
      <c r="H1420" s="412" t="s">
        <v>1550</v>
      </c>
      <c r="I1420" s="414">
        <f>(C12)</f>
        <v>651</v>
      </c>
      <c r="J1420" s="412" t="s">
        <v>701</v>
      </c>
      <c r="K1420" s="414">
        <f>(F1420*I1420)</f>
        <v>716.1</v>
      </c>
      <c r="O1420" s="412" t="s">
        <v>1514</v>
      </c>
      <c r="Q1420" s="413"/>
      <c r="R1420" s="414">
        <v>0.25</v>
      </c>
      <c r="S1420" s="416">
        <v>4.72</v>
      </c>
      <c r="T1420" s="414" t="s">
        <v>734</v>
      </c>
      <c r="U1420" s="412" t="s">
        <v>1505</v>
      </c>
      <c r="V1420" s="414">
        <f>P1459</f>
        <v>325</v>
      </c>
      <c r="W1420" s="413" t="s">
        <v>734</v>
      </c>
      <c r="X1420" s="414">
        <f t="shared" ref="X1420:X1430" si="204">V1420*S1420</f>
        <v>1534</v>
      </c>
      <c r="Y1420" s="440">
        <v>0.92600000000000005</v>
      </c>
      <c r="Z1420" s="414" t="s">
        <v>734</v>
      </c>
      <c r="AA1420" s="412" t="s">
        <v>1505</v>
      </c>
      <c r="AB1420" s="414">
        <f t="shared" si="203"/>
        <v>325</v>
      </c>
      <c r="AC1420" s="414" t="s">
        <v>734</v>
      </c>
      <c r="AD1420" s="414">
        <f t="shared" si="202"/>
        <v>300.95</v>
      </c>
      <c r="AE1420" s="414">
        <f t="shared" si="199"/>
        <v>0</v>
      </c>
    </row>
    <row r="1421" spans="6:31" ht="24" customHeight="1">
      <c r="F1421" s="414">
        <v>1.1000000000000001</v>
      </c>
      <c r="G1421" s="414" t="s">
        <v>701</v>
      </c>
      <c r="H1421" s="412" t="s">
        <v>245</v>
      </c>
      <c r="I1421" s="414">
        <f>(C13)</f>
        <v>534</v>
      </c>
      <c r="J1421" s="412" t="s">
        <v>701</v>
      </c>
      <c r="K1421" s="414">
        <f>(F1421*I1421)</f>
        <v>587.4</v>
      </c>
      <c r="R1421" s="417">
        <f>SUM(R1408:R1420)</f>
        <v>9698.5400000000009</v>
      </c>
      <c r="S1421" s="416">
        <v>9.06</v>
      </c>
      <c r="T1421" s="414" t="s">
        <v>734</v>
      </c>
      <c r="U1421" s="412" t="s">
        <v>1505</v>
      </c>
      <c r="V1421" s="414">
        <f>P1460</f>
        <v>325</v>
      </c>
      <c r="W1421" s="413" t="s">
        <v>734</v>
      </c>
      <c r="X1421" s="414">
        <f t="shared" si="204"/>
        <v>2944.5</v>
      </c>
      <c r="Y1421" s="440">
        <v>0.85</v>
      </c>
      <c r="Z1421" s="414" t="s">
        <v>184</v>
      </c>
      <c r="AA1421" s="412" t="s">
        <v>1506</v>
      </c>
      <c r="AB1421" s="414">
        <f t="shared" si="203"/>
        <v>306.89999999999998</v>
      </c>
      <c r="AC1421" s="414" t="s">
        <v>184</v>
      </c>
      <c r="AD1421" s="414">
        <f t="shared" si="202"/>
        <v>260.87</v>
      </c>
      <c r="AE1421" s="414">
        <f t="shared" si="199"/>
        <v>0</v>
      </c>
    </row>
    <row r="1422" spans="6:31" ht="24" customHeight="1">
      <c r="G1422" s="414" t="s">
        <v>358</v>
      </c>
      <c r="H1422" s="412" t="s">
        <v>359</v>
      </c>
      <c r="I1422" s="412" t="s">
        <v>790</v>
      </c>
      <c r="J1422" s="412" t="s">
        <v>358</v>
      </c>
      <c r="O1422" s="412"/>
      <c r="Q1422" s="413"/>
      <c r="S1422" s="416">
        <v>1.58</v>
      </c>
      <c r="T1422" s="414" t="s">
        <v>734</v>
      </c>
      <c r="U1422" s="412" t="s">
        <v>1505</v>
      </c>
      <c r="V1422" s="414">
        <f>P1461</f>
        <v>325</v>
      </c>
      <c r="W1422" s="413" t="s">
        <v>734</v>
      </c>
      <c r="X1422" s="414">
        <f t="shared" si="204"/>
        <v>513.5</v>
      </c>
      <c r="Y1422" s="440">
        <v>7.4720000000000004</v>
      </c>
      <c r="Z1422" s="414" t="s">
        <v>669</v>
      </c>
      <c r="AA1422" s="412" t="s">
        <v>1507</v>
      </c>
      <c r="AB1422" s="414">
        <f t="shared" si="203"/>
        <v>29.05</v>
      </c>
      <c r="AC1422" s="414" t="s">
        <v>669</v>
      </c>
      <c r="AD1422" s="414">
        <f t="shared" si="202"/>
        <v>217.06</v>
      </c>
      <c r="AE1422" s="414">
        <f t="shared" si="199"/>
        <v>0</v>
      </c>
    </row>
    <row r="1423" spans="6:31" ht="24" customHeight="1">
      <c r="K1423" s="418" t="s">
        <v>1288</v>
      </c>
      <c r="O1423" s="412"/>
      <c r="Q1423" s="413"/>
      <c r="S1423" s="416">
        <v>1.65</v>
      </c>
      <c r="T1423" s="414" t="s">
        <v>184</v>
      </c>
      <c r="U1423" s="412" t="s">
        <v>1506</v>
      </c>
      <c r="V1423" s="414">
        <f>P1429</f>
        <v>306.89999999999998</v>
      </c>
      <c r="W1423" s="413" t="s">
        <v>184</v>
      </c>
      <c r="X1423" s="414">
        <f t="shared" si="204"/>
        <v>506.39</v>
      </c>
      <c r="Y1423" s="440">
        <v>8</v>
      </c>
      <c r="Z1423" s="414" t="s">
        <v>619</v>
      </c>
      <c r="AA1423" s="412" t="s">
        <v>1508</v>
      </c>
      <c r="AB1423" s="414">
        <f t="shared" si="203"/>
        <v>71.900000000000006</v>
      </c>
      <c r="AC1423" s="414" t="s">
        <v>619</v>
      </c>
      <c r="AD1423" s="414">
        <f t="shared" si="202"/>
        <v>575.20000000000005</v>
      </c>
      <c r="AE1423" s="414">
        <f t="shared" si="199"/>
        <v>0</v>
      </c>
    </row>
    <row r="1424" spans="6:31" ht="24" customHeight="1">
      <c r="H1424" s="412" t="s">
        <v>351</v>
      </c>
      <c r="K1424" s="414" t="e">
        <f>SUM(K1418:K1422)</f>
        <v>#REF!</v>
      </c>
      <c r="O1424" s="417" t="s">
        <v>2094</v>
      </c>
      <c r="Q1424" s="412"/>
      <c r="S1424" s="416">
        <v>12.74</v>
      </c>
      <c r="T1424" s="414" t="s">
        <v>669</v>
      </c>
      <c r="U1424" s="412" t="s">
        <v>1507</v>
      </c>
      <c r="V1424" s="414">
        <f>P1463</f>
        <v>29.05</v>
      </c>
      <c r="W1424" s="413" t="s">
        <v>669</v>
      </c>
      <c r="X1424" s="414">
        <f t="shared" si="204"/>
        <v>370.1</v>
      </c>
      <c r="Y1424" s="440">
        <v>4</v>
      </c>
      <c r="Z1424" s="414" t="s">
        <v>619</v>
      </c>
      <c r="AA1424" s="412" t="s">
        <v>1509</v>
      </c>
      <c r="AB1424" s="414">
        <f t="shared" si="203"/>
        <v>57.65</v>
      </c>
      <c r="AC1424" s="414" t="s">
        <v>619</v>
      </c>
      <c r="AD1424" s="414">
        <f t="shared" si="202"/>
        <v>230.6</v>
      </c>
      <c r="AE1424" s="414">
        <f t="shared" si="199"/>
        <v>0</v>
      </c>
    </row>
    <row r="1425" spans="6:31" ht="24" customHeight="1">
      <c r="H1425" s="413"/>
      <c r="K1425" s="418" t="s">
        <v>1288</v>
      </c>
      <c r="M1425" s="440">
        <v>2.79</v>
      </c>
      <c r="N1425" s="414" t="s">
        <v>734</v>
      </c>
      <c r="O1425" s="412" t="s">
        <v>2595</v>
      </c>
      <c r="P1425" s="414">
        <f>P1408</f>
        <v>325</v>
      </c>
      <c r="Q1425" s="414" t="s">
        <v>734</v>
      </c>
      <c r="R1425" s="414">
        <f>P1425*M1425</f>
        <v>906.75</v>
      </c>
      <c r="S1425" s="416">
        <v>12</v>
      </c>
      <c r="T1425" s="414" t="s">
        <v>619</v>
      </c>
      <c r="U1425" s="412" t="s">
        <v>1508</v>
      </c>
      <c r="V1425" s="414">
        <f>P1464</f>
        <v>71.900000000000006</v>
      </c>
      <c r="W1425" s="413" t="s">
        <v>619</v>
      </c>
      <c r="X1425" s="414">
        <f t="shared" si="204"/>
        <v>862.8</v>
      </c>
      <c r="Y1425" s="440">
        <v>4</v>
      </c>
      <c r="Z1425" s="414" t="s">
        <v>619</v>
      </c>
      <c r="AA1425" s="412" t="s">
        <v>1510</v>
      </c>
      <c r="AB1425" s="414">
        <f t="shared" si="203"/>
        <v>30</v>
      </c>
      <c r="AC1425" s="414" t="s">
        <v>619</v>
      </c>
      <c r="AD1425" s="414">
        <f t="shared" si="202"/>
        <v>120</v>
      </c>
      <c r="AE1425" s="414">
        <f t="shared" si="199"/>
        <v>0</v>
      </c>
    </row>
    <row r="1426" spans="6:31" ht="24" customHeight="1">
      <c r="H1426" s="420" t="s">
        <v>447</v>
      </c>
      <c r="I1426" s="417"/>
      <c r="J1426" s="415"/>
      <c r="K1426" s="417" t="e">
        <f>(K1424/10)</f>
        <v>#REF!</v>
      </c>
      <c r="M1426" s="440">
        <v>0.5</v>
      </c>
      <c r="N1426" s="414" t="s">
        <v>734</v>
      </c>
      <c r="O1426" s="412" t="s">
        <v>1505</v>
      </c>
      <c r="P1426" s="414">
        <f t="shared" ref="P1426:P1436" si="205">P1409</f>
        <v>325</v>
      </c>
      <c r="Q1426" s="414" t="s">
        <v>734</v>
      </c>
      <c r="R1426" s="414">
        <f t="shared" ref="R1426:R1436" si="206">P1426*M1426</f>
        <v>162.5</v>
      </c>
      <c r="S1426" s="416">
        <v>6</v>
      </c>
      <c r="T1426" s="414" t="s">
        <v>619</v>
      </c>
      <c r="U1426" s="412" t="s">
        <v>1509</v>
      </c>
      <c r="V1426" s="414">
        <f>P1465</f>
        <v>57.65</v>
      </c>
      <c r="W1426" s="413" t="s">
        <v>619</v>
      </c>
      <c r="X1426" s="414">
        <f t="shared" si="204"/>
        <v>345.9</v>
      </c>
      <c r="Y1426" s="440">
        <v>4</v>
      </c>
      <c r="Z1426" s="414" t="s">
        <v>619</v>
      </c>
      <c r="AA1426" s="412" t="s">
        <v>1511</v>
      </c>
      <c r="AB1426" s="414">
        <f t="shared" si="203"/>
        <v>20</v>
      </c>
      <c r="AC1426" s="414" t="s">
        <v>619</v>
      </c>
      <c r="AD1426" s="414">
        <f t="shared" si="202"/>
        <v>80</v>
      </c>
      <c r="AE1426" s="414">
        <f t="shared" si="199"/>
        <v>0</v>
      </c>
    </row>
    <row r="1427" spans="6:31" ht="24" customHeight="1">
      <c r="K1427" s="418" t="s">
        <v>1676</v>
      </c>
      <c r="M1427" s="440">
        <v>2.85</v>
      </c>
      <c r="N1427" s="414" t="s">
        <v>734</v>
      </c>
      <c r="O1427" s="412" t="s">
        <v>1505</v>
      </c>
      <c r="P1427" s="414">
        <f t="shared" si="205"/>
        <v>325</v>
      </c>
      <c r="Q1427" s="414" t="s">
        <v>734</v>
      </c>
      <c r="R1427" s="414">
        <f t="shared" si="206"/>
        <v>926.25</v>
      </c>
      <c r="S1427" s="416">
        <v>6</v>
      </c>
      <c r="T1427" s="414" t="s">
        <v>619</v>
      </c>
      <c r="U1427" s="412" t="s">
        <v>1510</v>
      </c>
      <c r="V1427" s="414">
        <v>30</v>
      </c>
      <c r="W1427" s="413" t="s">
        <v>619</v>
      </c>
      <c r="X1427" s="414">
        <f t="shared" si="204"/>
        <v>180</v>
      </c>
      <c r="Y1427" s="440">
        <v>4</v>
      </c>
      <c r="Z1427" s="414" t="s">
        <v>619</v>
      </c>
      <c r="AA1427" s="412" t="s">
        <v>1512</v>
      </c>
      <c r="AB1427" s="414">
        <f t="shared" si="203"/>
        <v>15</v>
      </c>
      <c r="AC1427" s="414" t="s">
        <v>619</v>
      </c>
      <c r="AD1427" s="414">
        <f t="shared" si="202"/>
        <v>60</v>
      </c>
      <c r="AE1427" s="414">
        <f t="shared" si="199"/>
        <v>0</v>
      </c>
    </row>
    <row r="1428" spans="6:31" ht="24" customHeight="1">
      <c r="M1428" s="440">
        <v>0.5</v>
      </c>
      <c r="N1428" s="414" t="s">
        <v>734</v>
      </c>
      <c r="O1428" s="412" t="s">
        <v>1505</v>
      </c>
      <c r="P1428" s="414">
        <f t="shared" si="205"/>
        <v>325</v>
      </c>
      <c r="Q1428" s="414" t="s">
        <v>734</v>
      </c>
      <c r="R1428" s="414">
        <f t="shared" si="206"/>
        <v>162.5</v>
      </c>
      <c r="S1428" s="416">
        <v>6</v>
      </c>
      <c r="T1428" s="414" t="s">
        <v>619</v>
      </c>
      <c r="U1428" s="412" t="s">
        <v>1511</v>
      </c>
      <c r="V1428" s="414">
        <v>20</v>
      </c>
      <c r="W1428" s="413" t="s">
        <v>619</v>
      </c>
      <c r="X1428" s="414">
        <f t="shared" si="204"/>
        <v>120</v>
      </c>
      <c r="Y1428" s="440">
        <v>1.08</v>
      </c>
      <c r="Z1428" s="414" t="s">
        <v>1861</v>
      </c>
      <c r="AA1428" s="412" t="s">
        <v>1513</v>
      </c>
      <c r="AB1428" s="414">
        <f t="shared" si="203"/>
        <v>1998</v>
      </c>
      <c r="AC1428" s="414" t="s">
        <v>1861</v>
      </c>
      <c r="AD1428" s="414">
        <f t="shared" si="202"/>
        <v>2157.84</v>
      </c>
      <c r="AE1428" s="414">
        <f t="shared" si="199"/>
        <v>0</v>
      </c>
    </row>
    <row r="1429" spans="6:31" ht="24" customHeight="1">
      <c r="G1429" s="414" t="s">
        <v>1833</v>
      </c>
      <c r="H1429" s="412" t="s">
        <v>681</v>
      </c>
      <c r="M1429" s="440">
        <v>0.47099999999999997</v>
      </c>
      <c r="N1429" s="414" t="s">
        <v>184</v>
      </c>
      <c r="O1429" s="412" t="s">
        <v>1506</v>
      </c>
      <c r="P1429" s="414">
        <f t="shared" si="205"/>
        <v>306.89999999999998</v>
      </c>
      <c r="Q1429" s="414" t="s">
        <v>184</v>
      </c>
      <c r="R1429" s="414">
        <f t="shared" si="206"/>
        <v>144.55000000000001</v>
      </c>
      <c r="S1429" s="416">
        <v>4</v>
      </c>
      <c r="T1429" s="414" t="s">
        <v>619</v>
      </c>
      <c r="U1429" s="412" t="s">
        <v>1512</v>
      </c>
      <c r="V1429" s="414">
        <v>15</v>
      </c>
      <c r="W1429" s="413" t="s">
        <v>619</v>
      </c>
      <c r="X1429" s="414">
        <f t="shared" si="204"/>
        <v>60</v>
      </c>
      <c r="AA1429" s="412" t="s">
        <v>1514</v>
      </c>
      <c r="AC1429" s="413"/>
      <c r="AD1429" s="414">
        <v>0.96</v>
      </c>
      <c r="AE1429" s="414">
        <f t="shared" si="199"/>
        <v>0</v>
      </c>
    </row>
    <row r="1430" spans="6:31" ht="24" customHeight="1">
      <c r="H1430" s="412" t="s">
        <v>682</v>
      </c>
      <c r="M1430" s="440">
        <v>3.996</v>
      </c>
      <c r="N1430" s="414" t="s">
        <v>669</v>
      </c>
      <c r="O1430" s="412" t="s">
        <v>2598</v>
      </c>
      <c r="P1430" s="414">
        <f t="shared" si="205"/>
        <v>29.05</v>
      </c>
      <c r="Q1430" s="414" t="s">
        <v>669</v>
      </c>
      <c r="R1430" s="414">
        <f t="shared" si="206"/>
        <v>116.08</v>
      </c>
      <c r="S1430" s="416">
        <f>1.5*1.35</f>
        <v>2.0249999999999999</v>
      </c>
      <c r="T1430" s="414" t="s">
        <v>1861</v>
      </c>
      <c r="U1430" s="412" t="s">
        <v>1513</v>
      </c>
      <c r="V1430" s="414">
        <f>P1469</f>
        <v>1998</v>
      </c>
      <c r="W1430" s="413" t="s">
        <v>1861</v>
      </c>
      <c r="X1430" s="414">
        <f t="shared" si="204"/>
        <v>4045.95</v>
      </c>
      <c r="AA1430" s="419" t="s">
        <v>2141</v>
      </c>
      <c r="AD1430" s="417">
        <f>SUM(AD1417:AD1429)</f>
        <v>7568.74</v>
      </c>
      <c r="AE1430" s="414">
        <f t="shared" si="199"/>
        <v>0</v>
      </c>
    </row>
    <row r="1431" spans="6:31" ht="24" customHeight="1">
      <c r="H1431" s="412" t="s">
        <v>683</v>
      </c>
      <c r="M1431" s="440">
        <v>4</v>
      </c>
      <c r="N1431" s="414" t="s">
        <v>619</v>
      </c>
      <c r="O1431" s="412" t="s">
        <v>2596</v>
      </c>
      <c r="P1431" s="414">
        <f t="shared" si="205"/>
        <v>71.900000000000006</v>
      </c>
      <c r="Q1431" s="414" t="s">
        <v>619</v>
      </c>
      <c r="R1431" s="414">
        <f t="shared" si="206"/>
        <v>287.60000000000002</v>
      </c>
      <c r="U1431" s="412" t="s">
        <v>1514</v>
      </c>
      <c r="W1431" s="413"/>
      <c r="X1431" s="414">
        <v>0.31</v>
      </c>
      <c r="AE1431" s="414">
        <f t="shared" si="199"/>
        <v>0</v>
      </c>
    </row>
    <row r="1432" spans="6:31" ht="24" customHeight="1">
      <c r="H1432" s="418" t="s">
        <v>1288</v>
      </c>
      <c r="M1432" s="440">
        <v>2</v>
      </c>
      <c r="N1432" s="414" t="s">
        <v>619</v>
      </c>
      <c r="O1432" s="412" t="s">
        <v>2597</v>
      </c>
      <c r="P1432" s="414">
        <f t="shared" si="205"/>
        <v>57.65</v>
      </c>
      <c r="Q1432" s="414" t="s">
        <v>619</v>
      </c>
      <c r="R1432" s="414">
        <f t="shared" si="206"/>
        <v>115.3</v>
      </c>
      <c r="U1432" s="419" t="s">
        <v>2141</v>
      </c>
      <c r="W1432" s="413"/>
      <c r="X1432" s="417">
        <f>SUM(X1419:X1431)</f>
        <v>12919.95</v>
      </c>
      <c r="AE1432" s="414">
        <f t="shared" si="199"/>
        <v>0</v>
      </c>
    </row>
    <row r="1433" spans="6:31" ht="24" customHeight="1">
      <c r="F1433" s="414">
        <v>0.14000000000000001</v>
      </c>
      <c r="G1433" s="414" t="s">
        <v>702</v>
      </c>
      <c r="H1433" s="412" t="s">
        <v>1100</v>
      </c>
      <c r="I1433" s="414" t="e">
        <f>(K32)</f>
        <v>#REF!</v>
      </c>
      <c r="J1433" s="412" t="s">
        <v>702</v>
      </c>
      <c r="K1433" s="414" t="e">
        <f>(F1433*I1433)</f>
        <v>#REF!</v>
      </c>
      <c r="M1433" s="440">
        <v>2</v>
      </c>
      <c r="N1433" s="414" t="s">
        <v>619</v>
      </c>
      <c r="O1433" s="412" t="s">
        <v>1510</v>
      </c>
      <c r="P1433" s="414">
        <f t="shared" si="205"/>
        <v>30</v>
      </c>
      <c r="Q1433" s="414" t="s">
        <v>619</v>
      </c>
      <c r="R1433" s="414">
        <f t="shared" si="206"/>
        <v>60</v>
      </c>
      <c r="U1433" s="414">
        <f>2.025</f>
        <v>2.0299999999999998</v>
      </c>
      <c r="W1433" s="413"/>
      <c r="Y1433" s="416"/>
      <c r="AA1433" s="417" t="s">
        <v>2118</v>
      </c>
      <c r="AB1433" s="417" t="s">
        <v>1873</v>
      </c>
      <c r="AC1433" s="417"/>
      <c r="AD1433" s="417"/>
      <c r="AE1433" s="414">
        <f t="shared" si="199"/>
        <v>0</v>
      </c>
    </row>
    <row r="1434" spans="6:31" ht="24" customHeight="1">
      <c r="F1434" s="414">
        <v>1.1000000000000001</v>
      </c>
      <c r="G1434" s="414" t="s">
        <v>701</v>
      </c>
      <c r="H1434" s="412" t="s">
        <v>1637</v>
      </c>
      <c r="I1434" s="414">
        <f>(C10)</f>
        <v>999</v>
      </c>
      <c r="J1434" s="412" t="s">
        <v>701</v>
      </c>
      <c r="K1434" s="414">
        <f>(F1434*I1434)</f>
        <v>1098.9000000000001</v>
      </c>
      <c r="M1434" s="440">
        <v>2</v>
      </c>
      <c r="N1434" s="414" t="s">
        <v>619</v>
      </c>
      <c r="O1434" s="412" t="s">
        <v>1511</v>
      </c>
      <c r="P1434" s="414">
        <f t="shared" si="205"/>
        <v>20</v>
      </c>
      <c r="Q1434" s="414" t="s">
        <v>619</v>
      </c>
      <c r="R1434" s="414">
        <f t="shared" si="206"/>
        <v>40</v>
      </c>
      <c r="W1434" s="413"/>
      <c r="Y1434" s="416">
        <v>4.21</v>
      </c>
      <c r="Z1434" s="414" t="s">
        <v>734</v>
      </c>
      <c r="AA1434" s="412" t="s">
        <v>1505</v>
      </c>
      <c r="AB1434" s="414">
        <f>V1436</f>
        <v>325</v>
      </c>
      <c r="AC1434" s="414" t="s">
        <v>734</v>
      </c>
      <c r="AD1434" s="414">
        <f>AB1434*Y1434</f>
        <v>1368.25</v>
      </c>
      <c r="AE1434" s="414">
        <f t="shared" si="199"/>
        <v>0</v>
      </c>
    </row>
    <row r="1435" spans="6:31" ht="24" customHeight="1">
      <c r="F1435" s="414">
        <v>0.5</v>
      </c>
      <c r="G1435" s="414" t="s">
        <v>701</v>
      </c>
      <c r="H1435" s="412" t="s">
        <v>1550</v>
      </c>
      <c r="I1435" s="414">
        <f>(C12)</f>
        <v>651</v>
      </c>
      <c r="J1435" s="412" t="s">
        <v>701</v>
      </c>
      <c r="K1435" s="414">
        <f>(F1435*I1435)</f>
        <v>325.5</v>
      </c>
      <c r="M1435" s="440">
        <v>4</v>
      </c>
      <c r="N1435" s="414" t="s">
        <v>619</v>
      </c>
      <c r="O1435" s="412" t="s">
        <v>1512</v>
      </c>
      <c r="P1435" s="414">
        <f t="shared" si="205"/>
        <v>15</v>
      </c>
      <c r="Q1435" s="414" t="s">
        <v>619</v>
      </c>
      <c r="R1435" s="414">
        <f t="shared" si="206"/>
        <v>60</v>
      </c>
      <c r="U1435" s="417" t="s">
        <v>2263</v>
      </c>
      <c r="V1435" s="417" t="s">
        <v>1873</v>
      </c>
      <c r="W1435" s="420"/>
      <c r="X1435" s="417"/>
      <c r="Y1435" s="416">
        <v>0.40500000000000003</v>
      </c>
      <c r="Z1435" s="414" t="s">
        <v>184</v>
      </c>
      <c r="AA1435" s="412" t="s">
        <v>1506</v>
      </c>
      <c r="AB1435" s="414">
        <f>V1437</f>
        <v>306.89999999999998</v>
      </c>
      <c r="AC1435" s="414" t="s">
        <v>734</v>
      </c>
      <c r="AD1435" s="414">
        <f>AB1435*Y1435</f>
        <v>124.29</v>
      </c>
      <c r="AE1435" s="414">
        <f t="shared" si="199"/>
        <v>0</v>
      </c>
    </row>
    <row r="1436" spans="6:31" ht="24" customHeight="1">
      <c r="F1436" s="414">
        <v>1.1000000000000001</v>
      </c>
      <c r="G1436" s="414" t="s">
        <v>701</v>
      </c>
      <c r="H1436" s="412" t="s">
        <v>245</v>
      </c>
      <c r="I1436" s="414">
        <f>(C13)</f>
        <v>534</v>
      </c>
      <c r="J1436" s="412" t="s">
        <v>701</v>
      </c>
      <c r="K1436" s="414">
        <f>(F1436*I1436)</f>
        <v>587.4</v>
      </c>
      <c r="M1436" s="440">
        <v>0.60799999999999998</v>
      </c>
      <c r="N1436" s="414" t="s">
        <v>1861</v>
      </c>
      <c r="O1436" s="412" t="s">
        <v>1513</v>
      </c>
      <c r="P1436" s="414">
        <f t="shared" si="205"/>
        <v>1998</v>
      </c>
      <c r="Q1436" s="414" t="s">
        <v>1861</v>
      </c>
      <c r="R1436" s="414">
        <f t="shared" si="206"/>
        <v>1214.78</v>
      </c>
      <c r="S1436" s="416">
        <v>3.7389999999999999</v>
      </c>
      <c r="T1436" s="414" t="s">
        <v>734</v>
      </c>
      <c r="U1436" s="412" t="s">
        <v>1505</v>
      </c>
      <c r="V1436" s="414">
        <f>P1475</f>
        <v>325</v>
      </c>
      <c r="W1436" s="413" t="s">
        <v>734</v>
      </c>
      <c r="X1436" s="414">
        <f>V1436*S1436</f>
        <v>1215.18</v>
      </c>
      <c r="Y1436" s="416">
        <v>0.40500000000000003</v>
      </c>
      <c r="Z1436" s="414" t="s">
        <v>184</v>
      </c>
      <c r="AA1436" s="412" t="s">
        <v>1513</v>
      </c>
      <c r="AB1436" s="414">
        <f>V1438</f>
        <v>1998</v>
      </c>
      <c r="AC1436" s="414" t="s">
        <v>734</v>
      </c>
      <c r="AD1436" s="414">
        <f>AB1436*Y1436</f>
        <v>809.19</v>
      </c>
      <c r="AE1436" s="414">
        <f t="shared" si="199"/>
        <v>0</v>
      </c>
    </row>
    <row r="1437" spans="6:31" ht="24" customHeight="1">
      <c r="F1437" s="414">
        <v>2</v>
      </c>
      <c r="G1437" s="414" t="s">
        <v>1341</v>
      </c>
      <c r="H1437" s="412" t="s">
        <v>684</v>
      </c>
      <c r="I1437" s="414">
        <f>(C653)</f>
        <v>42.7</v>
      </c>
      <c r="J1437" s="412" t="s">
        <v>1341</v>
      </c>
      <c r="K1437" s="414">
        <f>(F1437*I1437)</f>
        <v>85.4</v>
      </c>
      <c r="O1437" s="412" t="s">
        <v>1514</v>
      </c>
      <c r="Q1437" s="413"/>
      <c r="R1437" s="414">
        <v>0.57999999999999996</v>
      </c>
      <c r="S1437" s="416">
        <v>0.36</v>
      </c>
      <c r="T1437" s="414" t="s">
        <v>184</v>
      </c>
      <c r="U1437" s="412" t="s">
        <v>1506</v>
      </c>
      <c r="V1437" s="414">
        <f>P1476</f>
        <v>306.89999999999998</v>
      </c>
      <c r="W1437" s="413" t="s">
        <v>734</v>
      </c>
      <c r="X1437" s="414">
        <f>V1437*S1437</f>
        <v>110.48</v>
      </c>
      <c r="Y1437" s="416"/>
      <c r="AA1437" s="412"/>
      <c r="AD1437" s="414">
        <f>SUM(AD1434:AD1436)</f>
        <v>2301.73</v>
      </c>
      <c r="AE1437" s="414">
        <f t="shared" si="199"/>
        <v>0</v>
      </c>
    </row>
    <row r="1438" spans="6:31" ht="24" customHeight="1">
      <c r="G1438" s="414" t="s">
        <v>358</v>
      </c>
      <c r="H1438" s="412" t="s">
        <v>359</v>
      </c>
      <c r="I1438" s="412" t="s">
        <v>790</v>
      </c>
      <c r="J1438" s="412" t="s">
        <v>358</v>
      </c>
      <c r="K1438" s="414">
        <v>5</v>
      </c>
      <c r="R1438" s="417">
        <f>SUM(R1425:R1437)</f>
        <v>4196.8900000000003</v>
      </c>
      <c r="S1438" s="416">
        <v>0.36</v>
      </c>
      <c r="T1438" s="414" t="s">
        <v>184</v>
      </c>
      <c r="U1438" s="412" t="s">
        <v>1513</v>
      </c>
      <c r="V1438" s="414">
        <f>P1477</f>
        <v>1998</v>
      </c>
      <c r="W1438" s="413" t="s">
        <v>734</v>
      </c>
      <c r="X1438" s="414">
        <f>V1438*S1438</f>
        <v>719.28</v>
      </c>
      <c r="Y1438" s="416"/>
      <c r="AA1438" s="419" t="s">
        <v>2140</v>
      </c>
      <c r="AD1438" s="417">
        <f>AD1437/Y1436</f>
        <v>5683.28</v>
      </c>
      <c r="AE1438" s="414">
        <f t="shared" si="199"/>
        <v>0</v>
      </c>
    </row>
    <row r="1439" spans="6:31" ht="24" customHeight="1">
      <c r="K1439" s="418" t="s">
        <v>1288</v>
      </c>
      <c r="O1439" s="412"/>
      <c r="Q1439" s="413"/>
      <c r="U1439" s="412"/>
      <c r="W1439" s="413"/>
      <c r="X1439" s="414">
        <f>SUM(X1436:X1438)</f>
        <v>2044.94</v>
      </c>
      <c r="AE1439" s="414">
        <f t="shared" si="199"/>
        <v>0</v>
      </c>
    </row>
    <row r="1440" spans="6:31" ht="24" customHeight="1">
      <c r="F1440" s="412" t="s">
        <v>790</v>
      </c>
      <c r="H1440" s="412" t="s">
        <v>351</v>
      </c>
      <c r="K1440" s="414" t="e">
        <f>SUM(K1433:K1438)</f>
        <v>#REF!</v>
      </c>
      <c r="O1440" s="417" t="s">
        <v>2101</v>
      </c>
      <c r="Q1440" s="412"/>
      <c r="U1440" s="419" t="s">
        <v>2140</v>
      </c>
      <c r="W1440" s="413"/>
      <c r="X1440" s="417">
        <f>X1439/S1438</f>
        <v>5680.39</v>
      </c>
      <c r="AE1440" s="414">
        <f t="shared" si="199"/>
        <v>0</v>
      </c>
    </row>
    <row r="1441" spans="6:31" ht="24" customHeight="1">
      <c r="H1441" s="417"/>
      <c r="I1441" s="417"/>
      <c r="J1441" s="415"/>
      <c r="K1441" s="436" t="s">
        <v>1288</v>
      </c>
      <c r="M1441" s="440">
        <v>5.35</v>
      </c>
      <c r="N1441" s="414" t="s">
        <v>734</v>
      </c>
      <c r="O1441" s="412" t="s">
        <v>2595</v>
      </c>
      <c r="P1441" s="414">
        <f>P1425</f>
        <v>325</v>
      </c>
      <c r="Q1441" s="414" t="s">
        <v>734</v>
      </c>
      <c r="R1441" s="414">
        <f>P1441*M1441</f>
        <v>1738.75</v>
      </c>
      <c r="W1441" s="413"/>
      <c r="AE1441" s="414">
        <f t="shared" si="199"/>
        <v>0</v>
      </c>
    </row>
    <row r="1442" spans="6:31" ht="24" customHeight="1">
      <c r="H1442" s="420" t="s">
        <v>447</v>
      </c>
      <c r="I1442" s="417"/>
      <c r="J1442" s="415"/>
      <c r="K1442" s="417" t="e">
        <f>(K1440/10)</f>
        <v>#REF!</v>
      </c>
      <c r="M1442" s="440">
        <v>7.58</v>
      </c>
      <c r="N1442" s="414" t="s">
        <v>734</v>
      </c>
      <c r="O1442" s="412" t="s">
        <v>1505</v>
      </c>
      <c r="P1442" s="414">
        <f t="shared" ref="P1442:P1452" si="207">P1426</f>
        <v>325</v>
      </c>
      <c r="Q1442" s="414" t="s">
        <v>734</v>
      </c>
      <c r="R1442" s="414">
        <f t="shared" ref="R1442:R1452" si="208">P1442*M1442</f>
        <v>2463.5</v>
      </c>
      <c r="U1442" s="417" t="s">
        <v>2264</v>
      </c>
      <c r="V1442" s="417" t="s">
        <v>1873</v>
      </c>
      <c r="W1442" s="413"/>
      <c r="AE1442" s="414">
        <f t="shared" si="199"/>
        <v>0</v>
      </c>
    </row>
    <row r="1443" spans="6:31" ht="24" customHeight="1">
      <c r="K1443" s="418" t="s">
        <v>1676</v>
      </c>
      <c r="M1443" s="440">
        <v>13.15</v>
      </c>
      <c r="N1443" s="414" t="s">
        <v>734</v>
      </c>
      <c r="O1443" s="412" t="s">
        <v>1505</v>
      </c>
      <c r="P1443" s="414">
        <f t="shared" si="207"/>
        <v>325</v>
      </c>
      <c r="Q1443" s="414" t="s">
        <v>734</v>
      </c>
      <c r="R1443" s="414">
        <f t="shared" si="208"/>
        <v>4273.75</v>
      </c>
      <c r="S1443" s="416">
        <v>4.21</v>
      </c>
      <c r="T1443" s="414" t="s">
        <v>734</v>
      </c>
      <c r="U1443" s="412" t="s">
        <v>1505</v>
      </c>
      <c r="V1443" s="414">
        <f>P1482</f>
        <v>325</v>
      </c>
      <c r="W1443" s="413" t="s">
        <v>734</v>
      </c>
      <c r="X1443" s="414">
        <f>V1443*S1443</f>
        <v>1368.25</v>
      </c>
      <c r="AE1443" s="414">
        <f t="shared" si="199"/>
        <v>0</v>
      </c>
    </row>
    <row r="1444" spans="6:31" ht="24" customHeight="1">
      <c r="H1444" s="412" t="s">
        <v>790</v>
      </c>
      <c r="M1444" s="440">
        <v>2.31</v>
      </c>
      <c r="N1444" s="414" t="s">
        <v>734</v>
      </c>
      <c r="O1444" s="412" t="s">
        <v>1505</v>
      </c>
      <c r="P1444" s="414">
        <f t="shared" si="207"/>
        <v>325</v>
      </c>
      <c r="Q1444" s="414" t="s">
        <v>734</v>
      </c>
      <c r="R1444" s="414">
        <f t="shared" si="208"/>
        <v>750.75</v>
      </c>
      <c r="S1444" s="416">
        <v>0.45</v>
      </c>
      <c r="T1444" s="414" t="s">
        <v>184</v>
      </c>
      <c r="U1444" s="412" t="s">
        <v>1506</v>
      </c>
      <c r="V1444" s="414">
        <f>P1483</f>
        <v>306.89999999999998</v>
      </c>
      <c r="W1444" s="413" t="s">
        <v>734</v>
      </c>
      <c r="X1444" s="414">
        <f>V1444*S1444</f>
        <v>138.11000000000001</v>
      </c>
      <c r="AE1444" s="414">
        <f t="shared" si="199"/>
        <v>0</v>
      </c>
    </row>
    <row r="1445" spans="6:31" ht="24" hidden="1" customHeight="1">
      <c r="M1445" s="440">
        <v>2.44</v>
      </c>
      <c r="N1445" s="414" t="s">
        <v>184</v>
      </c>
      <c r="O1445" s="412" t="s">
        <v>1506</v>
      </c>
      <c r="P1445" s="414">
        <f t="shared" si="207"/>
        <v>306.89999999999998</v>
      </c>
      <c r="Q1445" s="414" t="s">
        <v>184</v>
      </c>
      <c r="R1445" s="414">
        <f t="shared" si="208"/>
        <v>748.84</v>
      </c>
      <c r="S1445" s="416">
        <v>0.45</v>
      </c>
      <c r="T1445" s="414" t="s">
        <v>184</v>
      </c>
      <c r="U1445" s="412" t="s">
        <v>1513</v>
      </c>
      <c r="V1445" s="414">
        <f>P1484</f>
        <v>1998</v>
      </c>
      <c r="W1445" s="413" t="s">
        <v>734</v>
      </c>
      <c r="X1445" s="414">
        <f>V1445*S1445</f>
        <v>899.1</v>
      </c>
      <c r="AE1445" s="414">
        <f t="shared" si="199"/>
        <v>0</v>
      </c>
    </row>
    <row r="1446" spans="6:31" ht="24" customHeight="1">
      <c r="F1446" s="413" t="s">
        <v>685</v>
      </c>
      <c r="G1446" s="414" t="s">
        <v>1833</v>
      </c>
      <c r="H1446" s="412" t="s">
        <v>686</v>
      </c>
      <c r="M1446" s="440">
        <v>18.62</v>
      </c>
      <c r="N1446" s="414" t="s">
        <v>669</v>
      </c>
      <c r="O1446" s="412" t="s">
        <v>2598</v>
      </c>
      <c r="P1446" s="414">
        <f t="shared" si="207"/>
        <v>29.05</v>
      </c>
      <c r="Q1446" s="414" t="s">
        <v>669</v>
      </c>
      <c r="R1446" s="414">
        <f t="shared" si="208"/>
        <v>540.91</v>
      </c>
      <c r="S1446" s="416">
        <f>R1485-2967</f>
        <v>1178.9000000000001</v>
      </c>
      <c r="U1446" s="412"/>
      <c r="W1446" s="413"/>
      <c r="X1446" s="414">
        <f>SUM(X1443:X1445)</f>
        <v>2405.46</v>
      </c>
      <c r="AE1446" s="414">
        <f t="shared" si="199"/>
        <v>0</v>
      </c>
    </row>
    <row r="1447" spans="6:31" ht="24" customHeight="1">
      <c r="H1447" s="412" t="s">
        <v>1106</v>
      </c>
      <c r="M1447" s="440">
        <v>16</v>
      </c>
      <c r="N1447" s="414" t="s">
        <v>619</v>
      </c>
      <c r="O1447" s="412" t="s">
        <v>2596</v>
      </c>
      <c r="P1447" s="414">
        <f t="shared" si="207"/>
        <v>71.900000000000006</v>
      </c>
      <c r="Q1447" s="414" t="s">
        <v>619</v>
      </c>
      <c r="R1447" s="414">
        <f t="shared" si="208"/>
        <v>1150.4000000000001</v>
      </c>
      <c r="U1447" s="419" t="s">
        <v>2140</v>
      </c>
      <c r="W1447" s="413"/>
      <c r="X1447" s="417">
        <f>X1446/S1445</f>
        <v>5345.47</v>
      </c>
      <c r="Y1447" s="416"/>
      <c r="AA1447" s="417" t="s">
        <v>2088</v>
      </c>
      <c r="AC1447" s="412"/>
      <c r="AE1447" s="414">
        <f t="shared" si="199"/>
        <v>0</v>
      </c>
    </row>
    <row r="1448" spans="6:31" ht="24" customHeight="1">
      <c r="H1448" s="412" t="s">
        <v>1107</v>
      </c>
      <c r="M1448" s="440">
        <v>8</v>
      </c>
      <c r="N1448" s="414" t="s">
        <v>619</v>
      </c>
      <c r="O1448" s="412" t="s">
        <v>2597</v>
      </c>
      <c r="P1448" s="414">
        <f t="shared" si="207"/>
        <v>57.65</v>
      </c>
      <c r="Q1448" s="414" t="s">
        <v>619</v>
      </c>
      <c r="R1448" s="414">
        <f t="shared" si="208"/>
        <v>461.2</v>
      </c>
      <c r="W1448" s="413"/>
      <c r="Y1448" s="416">
        <v>3.26</v>
      </c>
      <c r="Z1448" s="414" t="s">
        <v>734</v>
      </c>
      <c r="AA1448" s="412" t="s">
        <v>1505</v>
      </c>
      <c r="AB1448" s="414">
        <f t="shared" ref="AB1448:AB1459" si="209">V1450</f>
        <v>325</v>
      </c>
      <c r="AC1448" s="414" t="s">
        <v>734</v>
      </c>
      <c r="AD1448" s="414">
        <f t="shared" ref="AD1448:AD1459" si="210">AB1448*Y1448</f>
        <v>1059.5</v>
      </c>
      <c r="AE1448" s="414">
        <f t="shared" si="199"/>
        <v>0</v>
      </c>
    </row>
    <row r="1449" spans="6:31" ht="24" customHeight="1">
      <c r="H1449" s="412" t="s">
        <v>557</v>
      </c>
      <c r="M1449" s="440">
        <v>8</v>
      </c>
      <c r="N1449" s="414" t="s">
        <v>619</v>
      </c>
      <c r="O1449" s="412" t="s">
        <v>1510</v>
      </c>
      <c r="P1449" s="414">
        <f t="shared" si="207"/>
        <v>30</v>
      </c>
      <c r="Q1449" s="414" t="s">
        <v>619</v>
      </c>
      <c r="R1449" s="414">
        <f t="shared" si="208"/>
        <v>240</v>
      </c>
      <c r="U1449" s="417" t="s">
        <v>2087</v>
      </c>
      <c r="W1449" s="413"/>
      <c r="Y1449" s="416">
        <v>0.84</v>
      </c>
      <c r="Z1449" s="414" t="s">
        <v>734</v>
      </c>
      <c r="AA1449" s="412" t="s">
        <v>1505</v>
      </c>
      <c r="AB1449" s="414">
        <f t="shared" si="209"/>
        <v>325</v>
      </c>
      <c r="AC1449" s="414" t="s">
        <v>734</v>
      </c>
      <c r="AD1449" s="414">
        <f t="shared" si="210"/>
        <v>273</v>
      </c>
      <c r="AE1449" s="414">
        <f t="shared" si="199"/>
        <v>0</v>
      </c>
    </row>
    <row r="1450" spans="6:31" ht="24" customHeight="1">
      <c r="H1450" s="418" t="s">
        <v>1288</v>
      </c>
      <c r="I1450" s="418" t="s">
        <v>1288</v>
      </c>
      <c r="M1450" s="440">
        <v>8</v>
      </c>
      <c r="N1450" s="414" t="s">
        <v>619</v>
      </c>
      <c r="O1450" s="412" t="s">
        <v>1511</v>
      </c>
      <c r="P1450" s="414">
        <f t="shared" si="207"/>
        <v>20</v>
      </c>
      <c r="Q1450" s="414" t="s">
        <v>619</v>
      </c>
      <c r="R1450" s="414">
        <f t="shared" si="208"/>
        <v>160</v>
      </c>
      <c r="S1450" s="416">
        <v>3.49</v>
      </c>
      <c r="T1450" s="414" t="s">
        <v>734</v>
      </c>
      <c r="U1450" s="412" t="s">
        <v>1505</v>
      </c>
      <c r="V1450" s="414">
        <f>P1489</f>
        <v>325</v>
      </c>
      <c r="W1450" s="413" t="s">
        <v>734</v>
      </c>
      <c r="X1450" s="414">
        <f>V1450*S1450</f>
        <v>1134.25</v>
      </c>
      <c r="Y1450" s="416">
        <v>3.65</v>
      </c>
      <c r="Z1450" s="414" t="s">
        <v>734</v>
      </c>
      <c r="AA1450" s="412" t="s">
        <v>1505</v>
      </c>
      <c r="AB1450" s="414">
        <f t="shared" si="209"/>
        <v>325</v>
      </c>
      <c r="AC1450" s="414" t="s">
        <v>734</v>
      </c>
      <c r="AD1450" s="414">
        <f t="shared" si="210"/>
        <v>1186.25</v>
      </c>
      <c r="AE1450" s="414">
        <f t="shared" si="199"/>
        <v>0</v>
      </c>
    </row>
    <row r="1451" spans="6:31" ht="24" customHeight="1">
      <c r="G1451" s="414" t="s">
        <v>1552</v>
      </c>
      <c r="H1451" s="412" t="s">
        <v>558</v>
      </c>
      <c r="M1451" s="440">
        <v>4</v>
      </c>
      <c r="N1451" s="414" t="s">
        <v>619</v>
      </c>
      <c r="O1451" s="412" t="s">
        <v>1512</v>
      </c>
      <c r="P1451" s="414">
        <f t="shared" si="207"/>
        <v>15</v>
      </c>
      <c r="Q1451" s="414" t="s">
        <v>619</v>
      </c>
      <c r="R1451" s="414">
        <f t="shared" si="208"/>
        <v>60</v>
      </c>
      <c r="S1451" s="416">
        <v>2.5299999999999998</v>
      </c>
      <c r="T1451" s="414" t="s">
        <v>734</v>
      </c>
      <c r="U1451" s="412" t="s">
        <v>1505</v>
      </c>
      <c r="V1451" s="414">
        <f t="shared" ref="V1451:V1461" si="211">P1490</f>
        <v>325</v>
      </c>
      <c r="W1451" s="413" t="s">
        <v>734</v>
      </c>
      <c r="X1451" s="414">
        <f t="shared" ref="X1451:X1461" si="212">V1451*S1451</f>
        <v>822.25</v>
      </c>
      <c r="Y1451" s="416">
        <v>0.64</v>
      </c>
      <c r="Z1451" s="414" t="s">
        <v>734</v>
      </c>
      <c r="AA1451" s="412" t="s">
        <v>1505</v>
      </c>
      <c r="AB1451" s="414">
        <f t="shared" si="209"/>
        <v>325</v>
      </c>
      <c r="AC1451" s="414" t="s">
        <v>734</v>
      </c>
      <c r="AD1451" s="414">
        <f t="shared" si="210"/>
        <v>208</v>
      </c>
      <c r="AE1451" s="414">
        <f t="shared" si="199"/>
        <v>0</v>
      </c>
    </row>
    <row r="1452" spans="6:31" ht="24" customHeight="1">
      <c r="G1452" s="414" t="s">
        <v>1288</v>
      </c>
      <c r="H1452" s="418" t="s">
        <v>1288</v>
      </c>
      <c r="M1452" s="440">
        <f>1.8*1.65</f>
        <v>2.97</v>
      </c>
      <c r="N1452" s="414" t="s">
        <v>1861</v>
      </c>
      <c r="O1452" s="412" t="s">
        <v>1513</v>
      </c>
      <c r="P1452" s="414">
        <f t="shared" si="207"/>
        <v>1998</v>
      </c>
      <c r="Q1452" s="414" t="s">
        <v>1861</v>
      </c>
      <c r="R1452" s="414">
        <f t="shared" si="208"/>
        <v>5934.06</v>
      </c>
      <c r="S1452" s="416">
        <v>5.7549999999999999</v>
      </c>
      <c r="T1452" s="414" t="s">
        <v>734</v>
      </c>
      <c r="U1452" s="412" t="s">
        <v>1505</v>
      </c>
      <c r="V1452" s="414">
        <f t="shared" si="211"/>
        <v>325</v>
      </c>
      <c r="W1452" s="413" t="s">
        <v>734</v>
      </c>
      <c r="X1452" s="414">
        <f t="shared" si="212"/>
        <v>1870.38</v>
      </c>
      <c r="Y1452" s="416">
        <v>0.84099999999999997</v>
      </c>
      <c r="Z1452" s="414" t="s">
        <v>184</v>
      </c>
      <c r="AA1452" s="412" t="s">
        <v>1506</v>
      </c>
      <c r="AB1452" s="414">
        <f t="shared" si="209"/>
        <v>306.89999999999998</v>
      </c>
      <c r="AC1452" s="414" t="s">
        <v>184</v>
      </c>
      <c r="AD1452" s="414">
        <f t="shared" si="210"/>
        <v>258.10000000000002</v>
      </c>
      <c r="AE1452" s="414">
        <f t="shared" si="199"/>
        <v>0</v>
      </c>
    </row>
    <row r="1453" spans="6:31" ht="24" customHeight="1">
      <c r="F1453" s="440">
        <v>1.4E-2</v>
      </c>
      <c r="G1453" s="414" t="s">
        <v>1749</v>
      </c>
      <c r="H1453" s="412" t="s">
        <v>559</v>
      </c>
      <c r="I1453" s="414" t="e">
        <f>K49</f>
        <v>#REF!</v>
      </c>
      <c r="J1453" s="412" t="s">
        <v>1749</v>
      </c>
      <c r="K1453" s="414" t="e">
        <f>(F1453*I1453)</f>
        <v>#REF!</v>
      </c>
      <c r="O1453" s="412" t="s">
        <v>1514</v>
      </c>
      <c r="Q1453" s="413"/>
      <c r="R1453" s="414">
        <v>0.78</v>
      </c>
      <c r="S1453" s="416">
        <v>1.0009999999999999</v>
      </c>
      <c r="T1453" s="414" t="s">
        <v>734</v>
      </c>
      <c r="U1453" s="412" t="s">
        <v>1505</v>
      </c>
      <c r="V1453" s="414">
        <f t="shared" si="211"/>
        <v>325</v>
      </c>
      <c r="W1453" s="413" t="s">
        <v>734</v>
      </c>
      <c r="X1453" s="414">
        <f t="shared" si="212"/>
        <v>325.33</v>
      </c>
      <c r="Y1453" s="416">
        <v>5.1959999999999997</v>
      </c>
      <c r="Z1453" s="414" t="s">
        <v>669</v>
      </c>
      <c r="AA1453" s="412" t="s">
        <v>1507</v>
      </c>
      <c r="AB1453" s="414">
        <f t="shared" si="209"/>
        <v>29.05</v>
      </c>
      <c r="AC1453" s="414" t="s">
        <v>669</v>
      </c>
      <c r="AD1453" s="414">
        <f t="shared" si="210"/>
        <v>150.94</v>
      </c>
      <c r="AE1453" s="414">
        <f t="shared" si="199"/>
        <v>0</v>
      </c>
    </row>
    <row r="1454" spans="6:31" ht="24" customHeight="1">
      <c r="F1454" s="414">
        <v>0.3</v>
      </c>
      <c r="G1454" s="414" t="s">
        <v>453</v>
      </c>
      <c r="H1454" s="412" t="s">
        <v>560</v>
      </c>
      <c r="I1454" s="414">
        <f>C10</f>
        <v>999</v>
      </c>
      <c r="J1454" s="412" t="s">
        <v>453</v>
      </c>
      <c r="K1454" s="414">
        <f>(F1454*I1454)</f>
        <v>299.7</v>
      </c>
      <c r="R1454" s="417">
        <f>SUM(R1441:R1453)</f>
        <v>18522.939999999999</v>
      </c>
      <c r="S1454" s="416">
        <f>1.012</f>
        <v>1.012</v>
      </c>
      <c r="T1454" s="414" t="s">
        <v>184</v>
      </c>
      <c r="U1454" s="412" t="s">
        <v>1506</v>
      </c>
      <c r="V1454" s="414">
        <f t="shared" si="211"/>
        <v>306.89999999999998</v>
      </c>
      <c r="W1454" s="413" t="s">
        <v>184</v>
      </c>
      <c r="X1454" s="414">
        <f t="shared" si="212"/>
        <v>310.58</v>
      </c>
      <c r="Y1454" s="416">
        <v>4</v>
      </c>
      <c r="Z1454" s="414" t="s">
        <v>619</v>
      </c>
      <c r="AA1454" s="412" t="s">
        <v>1508</v>
      </c>
      <c r="AB1454" s="414">
        <f t="shared" si="209"/>
        <v>71.900000000000006</v>
      </c>
      <c r="AC1454" s="414" t="s">
        <v>619</v>
      </c>
      <c r="AD1454" s="414">
        <f t="shared" si="210"/>
        <v>287.60000000000002</v>
      </c>
      <c r="AE1454" s="414">
        <f t="shared" si="199"/>
        <v>0</v>
      </c>
    </row>
    <row r="1455" spans="6:31" ht="24" customHeight="1">
      <c r="F1455" s="414">
        <v>0.3</v>
      </c>
      <c r="G1455" s="414" t="s">
        <v>453</v>
      </c>
      <c r="H1455" s="412" t="s">
        <v>667</v>
      </c>
      <c r="I1455" s="414">
        <f>C12</f>
        <v>651</v>
      </c>
      <c r="J1455" s="412" t="s">
        <v>453</v>
      </c>
      <c r="K1455" s="414">
        <f>(F1455*I1455)</f>
        <v>195.3</v>
      </c>
      <c r="R1455" s="414">
        <f>R1454/M1452</f>
        <v>6236.68</v>
      </c>
      <c r="S1455" s="416" t="s">
        <v>1861</v>
      </c>
      <c r="T1455" s="414" t="s">
        <v>669</v>
      </c>
      <c r="U1455" s="412" t="s">
        <v>1507</v>
      </c>
      <c r="V1455" s="414">
        <f t="shared" si="211"/>
        <v>29.05</v>
      </c>
      <c r="W1455" s="413" t="s">
        <v>669</v>
      </c>
      <c r="X1455" s="414">
        <f t="shared" si="212"/>
        <v>0</v>
      </c>
      <c r="Y1455" s="416">
        <v>2</v>
      </c>
      <c r="Z1455" s="414" t="s">
        <v>619</v>
      </c>
      <c r="AA1455" s="412" t="s">
        <v>1509</v>
      </c>
      <c r="AB1455" s="414">
        <f t="shared" si="209"/>
        <v>57.65</v>
      </c>
      <c r="AC1455" s="414" t="s">
        <v>619</v>
      </c>
      <c r="AD1455" s="414">
        <f t="shared" si="210"/>
        <v>115.3</v>
      </c>
      <c r="AE1455" s="414">
        <f t="shared" si="199"/>
        <v>0</v>
      </c>
    </row>
    <row r="1456" spans="6:31" ht="24" customHeight="1">
      <c r="G1456" s="414" t="s">
        <v>358</v>
      </c>
      <c r="H1456" s="412" t="s">
        <v>1850</v>
      </c>
      <c r="J1456" s="412" t="s">
        <v>358</v>
      </c>
      <c r="K1456" s="414">
        <v>0</v>
      </c>
      <c r="S1456" s="416">
        <v>8</v>
      </c>
      <c r="T1456" s="414" t="s">
        <v>619</v>
      </c>
      <c r="U1456" s="412" t="s">
        <v>1508</v>
      </c>
      <c r="V1456" s="414">
        <f t="shared" si="211"/>
        <v>71.900000000000006</v>
      </c>
      <c r="W1456" s="413" t="s">
        <v>619</v>
      </c>
      <c r="X1456" s="414">
        <f t="shared" si="212"/>
        <v>575.20000000000005</v>
      </c>
      <c r="Y1456" s="416">
        <v>2</v>
      </c>
      <c r="Z1456" s="414" t="s">
        <v>619</v>
      </c>
      <c r="AA1456" s="412" t="s">
        <v>1510</v>
      </c>
      <c r="AB1456" s="414">
        <f t="shared" si="209"/>
        <v>30</v>
      </c>
      <c r="AC1456" s="414" t="s">
        <v>619</v>
      </c>
      <c r="AD1456" s="414">
        <f t="shared" si="210"/>
        <v>60</v>
      </c>
      <c r="AE1456" s="414">
        <f t="shared" si="199"/>
        <v>0</v>
      </c>
    </row>
    <row r="1457" spans="6:31" ht="24" customHeight="1">
      <c r="K1457" s="418" t="s">
        <v>1288</v>
      </c>
      <c r="O1457" s="417" t="s">
        <v>1968</v>
      </c>
      <c r="Q1457" s="412"/>
      <c r="S1457" s="416">
        <v>4</v>
      </c>
      <c r="T1457" s="414" t="s">
        <v>619</v>
      </c>
      <c r="U1457" s="412" t="s">
        <v>1509</v>
      </c>
      <c r="V1457" s="414">
        <f t="shared" si="211"/>
        <v>57.65</v>
      </c>
      <c r="W1457" s="413" t="s">
        <v>619</v>
      </c>
      <c r="X1457" s="414">
        <f t="shared" si="212"/>
        <v>230.6</v>
      </c>
      <c r="Y1457" s="416">
        <v>2</v>
      </c>
      <c r="Z1457" s="414" t="s">
        <v>619</v>
      </c>
      <c r="AA1457" s="412" t="s">
        <v>1511</v>
      </c>
      <c r="AB1457" s="414">
        <f t="shared" si="209"/>
        <v>20</v>
      </c>
      <c r="AC1457" s="414" t="s">
        <v>619</v>
      </c>
      <c r="AD1457" s="414">
        <f t="shared" si="210"/>
        <v>40</v>
      </c>
      <c r="AE1457" s="414">
        <f t="shared" si="199"/>
        <v>0</v>
      </c>
    </row>
    <row r="1458" spans="6:31" ht="24" customHeight="1">
      <c r="H1458" s="413" t="s">
        <v>561</v>
      </c>
      <c r="K1458" s="414" t="e">
        <f>SUM(K1453:K1456)</f>
        <v>#REF!</v>
      </c>
      <c r="M1458" s="440">
        <v>10.75</v>
      </c>
      <c r="N1458" s="414" t="s">
        <v>734</v>
      </c>
      <c r="O1458" s="412" t="s">
        <v>2595</v>
      </c>
      <c r="P1458" s="414">
        <f>P1441</f>
        <v>325</v>
      </c>
      <c r="Q1458" s="414" t="s">
        <v>734</v>
      </c>
      <c r="R1458" s="414">
        <f>P1458*M1458</f>
        <v>3493.75</v>
      </c>
      <c r="S1458" s="416">
        <v>4</v>
      </c>
      <c r="T1458" s="414" t="s">
        <v>619</v>
      </c>
      <c r="U1458" s="412" t="s">
        <v>1510</v>
      </c>
      <c r="V1458" s="414">
        <f t="shared" si="211"/>
        <v>30</v>
      </c>
      <c r="W1458" s="413" t="s">
        <v>619</v>
      </c>
      <c r="X1458" s="414">
        <f t="shared" si="212"/>
        <v>120</v>
      </c>
      <c r="Y1458" s="416">
        <v>4</v>
      </c>
      <c r="Z1458" s="414" t="s">
        <v>619</v>
      </c>
      <c r="AA1458" s="412" t="s">
        <v>1512</v>
      </c>
      <c r="AB1458" s="414">
        <f t="shared" si="209"/>
        <v>15</v>
      </c>
      <c r="AC1458" s="414" t="s">
        <v>619</v>
      </c>
      <c r="AD1458" s="414">
        <f t="shared" si="210"/>
        <v>60</v>
      </c>
      <c r="AE1458" s="414">
        <f t="shared" si="199"/>
        <v>0</v>
      </c>
    </row>
    <row r="1459" spans="6:31" ht="24" customHeight="1">
      <c r="K1459" s="418" t="s">
        <v>1288</v>
      </c>
      <c r="M1459" s="440">
        <v>0.99199999999999999</v>
      </c>
      <c r="N1459" s="414" t="s">
        <v>734</v>
      </c>
      <c r="O1459" s="412" t="s">
        <v>1505</v>
      </c>
      <c r="P1459" s="414">
        <f t="shared" ref="P1459:P1469" si="213">P1442</f>
        <v>325</v>
      </c>
      <c r="Q1459" s="414" t="s">
        <v>734</v>
      </c>
      <c r="R1459" s="414">
        <f t="shared" ref="R1459:R1469" si="214">P1459*M1459</f>
        <v>322.39999999999998</v>
      </c>
      <c r="S1459" s="416">
        <v>4</v>
      </c>
      <c r="T1459" s="414" t="s">
        <v>619</v>
      </c>
      <c r="U1459" s="412" t="s">
        <v>1511</v>
      </c>
      <c r="V1459" s="414">
        <f t="shared" si="211"/>
        <v>20</v>
      </c>
      <c r="W1459" s="413" t="s">
        <v>619</v>
      </c>
      <c r="X1459" s="414">
        <f t="shared" si="212"/>
        <v>80</v>
      </c>
      <c r="Y1459" s="416">
        <v>1.01</v>
      </c>
      <c r="Z1459" s="414" t="s">
        <v>1861</v>
      </c>
      <c r="AA1459" s="412" t="s">
        <v>1513</v>
      </c>
      <c r="AB1459" s="414">
        <f t="shared" si="209"/>
        <v>1998</v>
      </c>
      <c r="AC1459" s="414" t="s">
        <v>1861</v>
      </c>
      <c r="AD1459" s="414">
        <f t="shared" si="210"/>
        <v>2017.98</v>
      </c>
      <c r="AE1459" s="414">
        <f t="shared" si="199"/>
        <v>0</v>
      </c>
    </row>
    <row r="1460" spans="6:31" ht="24" customHeight="1">
      <c r="H1460" s="420" t="s">
        <v>562</v>
      </c>
      <c r="I1460" s="417"/>
      <c r="J1460" s="415"/>
      <c r="K1460" s="417" t="e">
        <f>K1458/6.77</f>
        <v>#REF!</v>
      </c>
      <c r="M1460" s="440">
        <v>0</v>
      </c>
      <c r="N1460" s="414" t="s">
        <v>734</v>
      </c>
      <c r="O1460" s="412" t="s">
        <v>1505</v>
      </c>
      <c r="P1460" s="414">
        <f t="shared" si="213"/>
        <v>325</v>
      </c>
      <c r="Q1460" s="414" t="s">
        <v>734</v>
      </c>
      <c r="R1460" s="414">
        <f t="shared" si="214"/>
        <v>0</v>
      </c>
      <c r="S1460" s="416">
        <v>4</v>
      </c>
      <c r="T1460" s="414" t="s">
        <v>619</v>
      </c>
      <c r="U1460" s="412" t="s">
        <v>1512</v>
      </c>
      <c r="V1460" s="414">
        <f t="shared" si="211"/>
        <v>15</v>
      </c>
      <c r="W1460" s="413" t="s">
        <v>619</v>
      </c>
      <c r="X1460" s="414">
        <f t="shared" si="212"/>
        <v>60</v>
      </c>
      <c r="Y1460" s="416"/>
      <c r="AA1460" s="412" t="s">
        <v>1514</v>
      </c>
      <c r="AC1460" s="413"/>
      <c r="AD1460" s="414">
        <v>0.84</v>
      </c>
      <c r="AE1460" s="414">
        <f t="shared" si="199"/>
        <v>0</v>
      </c>
    </row>
    <row r="1461" spans="6:31" ht="24" hidden="1" customHeight="1">
      <c r="F1461" s="412" t="s">
        <v>790</v>
      </c>
      <c r="M1461" s="440">
        <v>0</v>
      </c>
      <c r="N1461" s="414" t="s">
        <v>734</v>
      </c>
      <c r="O1461" s="412" t="s">
        <v>1505</v>
      </c>
      <c r="P1461" s="414">
        <f t="shared" si="213"/>
        <v>325</v>
      </c>
      <c r="Q1461" s="414" t="s">
        <v>734</v>
      </c>
      <c r="R1461" s="414">
        <f t="shared" si="214"/>
        <v>0</v>
      </c>
      <c r="S1461" s="416">
        <v>1.26</v>
      </c>
      <c r="T1461" s="414" t="s">
        <v>1861</v>
      </c>
      <c r="U1461" s="412" t="s">
        <v>1513</v>
      </c>
      <c r="V1461" s="414">
        <f t="shared" si="211"/>
        <v>1998</v>
      </c>
      <c r="W1461" s="413" t="s">
        <v>1861</v>
      </c>
      <c r="X1461" s="414">
        <f t="shared" si="212"/>
        <v>2517.48</v>
      </c>
      <c r="Y1461" s="416"/>
      <c r="AA1461" s="419" t="s">
        <v>2141</v>
      </c>
      <c r="AD1461" s="417">
        <f>SUM(AD1448:AD1460)</f>
        <v>5717.51</v>
      </c>
      <c r="AE1461" s="414">
        <f t="shared" si="199"/>
        <v>0</v>
      </c>
    </row>
    <row r="1462" spans="6:31" ht="24" customHeight="1">
      <c r="K1462" s="418" t="s">
        <v>1676</v>
      </c>
      <c r="M1462" s="440">
        <v>1.89</v>
      </c>
      <c r="N1462" s="414" t="s">
        <v>184</v>
      </c>
      <c r="O1462" s="412" t="s">
        <v>1506</v>
      </c>
      <c r="P1462" s="414">
        <f t="shared" si="213"/>
        <v>306.89999999999998</v>
      </c>
      <c r="Q1462" s="414" t="s">
        <v>184</v>
      </c>
      <c r="R1462" s="414">
        <f t="shared" si="214"/>
        <v>580.04</v>
      </c>
      <c r="U1462" s="412" t="s">
        <v>1514</v>
      </c>
      <c r="W1462" s="413"/>
      <c r="X1462" s="414">
        <v>0.14000000000000001</v>
      </c>
      <c r="AE1462" s="414">
        <f t="shared" si="199"/>
        <v>0</v>
      </c>
    </row>
    <row r="1463" spans="6:31" ht="24" customHeight="1">
      <c r="G1463" s="414" t="s">
        <v>419</v>
      </c>
      <c r="H1463" s="412" t="s">
        <v>563</v>
      </c>
      <c r="M1463" s="440">
        <v>8</v>
      </c>
      <c r="N1463" s="414" t="s">
        <v>669</v>
      </c>
      <c r="O1463" s="412" t="s">
        <v>2598</v>
      </c>
      <c r="P1463" s="414">
        <f t="shared" si="213"/>
        <v>29.05</v>
      </c>
      <c r="Q1463" s="414" t="s">
        <v>669</v>
      </c>
      <c r="R1463" s="414">
        <f t="shared" si="214"/>
        <v>232.4</v>
      </c>
      <c r="U1463" s="419" t="s">
        <v>2141</v>
      </c>
      <c r="W1463" s="413"/>
      <c r="X1463" s="417">
        <f>SUM(X1450:X1462)</f>
        <v>8046.21</v>
      </c>
      <c r="AE1463" s="414">
        <f t="shared" si="199"/>
        <v>0</v>
      </c>
    </row>
    <row r="1464" spans="6:31" ht="24" customHeight="1">
      <c r="G1464" s="414" t="s">
        <v>1288</v>
      </c>
      <c r="H1464" s="418" t="s">
        <v>1288</v>
      </c>
      <c r="M1464" s="440">
        <v>0</v>
      </c>
      <c r="N1464" s="414" t="s">
        <v>619</v>
      </c>
      <c r="O1464" s="412" t="s">
        <v>2596</v>
      </c>
      <c r="P1464" s="414">
        <f t="shared" si="213"/>
        <v>71.900000000000006</v>
      </c>
      <c r="Q1464" s="414" t="s">
        <v>619</v>
      </c>
      <c r="R1464" s="414">
        <f t="shared" si="214"/>
        <v>0</v>
      </c>
      <c r="W1464" s="413"/>
      <c r="AE1464" s="414">
        <f t="shared" si="199"/>
        <v>0</v>
      </c>
    </row>
    <row r="1465" spans="6:31" ht="24" customHeight="1">
      <c r="F1465" s="440">
        <v>7.0000000000000001E-3</v>
      </c>
      <c r="G1465" s="414" t="s">
        <v>1749</v>
      </c>
      <c r="H1465" s="412" t="s">
        <v>559</v>
      </c>
      <c r="I1465" s="414" t="e">
        <f>K49</f>
        <v>#REF!</v>
      </c>
      <c r="J1465" s="412" t="s">
        <v>1749</v>
      </c>
      <c r="K1465" s="414" t="e">
        <f>(F1465*I1465)</f>
        <v>#REF!</v>
      </c>
      <c r="M1465" s="440">
        <v>0</v>
      </c>
      <c r="N1465" s="414" t="s">
        <v>619</v>
      </c>
      <c r="O1465" s="412" t="s">
        <v>2597</v>
      </c>
      <c r="P1465" s="414">
        <f t="shared" si="213"/>
        <v>57.65</v>
      </c>
      <c r="Q1465" s="414" t="s">
        <v>619</v>
      </c>
      <c r="R1465" s="414">
        <f t="shared" si="214"/>
        <v>0</v>
      </c>
      <c r="W1465" s="413"/>
      <c r="AE1465" s="414">
        <f t="shared" si="199"/>
        <v>0</v>
      </c>
    </row>
    <row r="1466" spans="6:31" ht="24" customHeight="1">
      <c r="F1466" s="414">
        <v>0.2</v>
      </c>
      <c r="G1466" s="414" t="s">
        <v>453</v>
      </c>
      <c r="H1466" s="412" t="s">
        <v>560</v>
      </c>
      <c r="I1466" s="414">
        <f>C10</f>
        <v>999</v>
      </c>
      <c r="J1466" s="412" t="s">
        <v>453</v>
      </c>
      <c r="K1466" s="414">
        <f>(F1466*I1466)</f>
        <v>199.8</v>
      </c>
      <c r="M1466" s="440">
        <v>0</v>
      </c>
      <c r="N1466" s="414" t="s">
        <v>619</v>
      </c>
      <c r="O1466" s="412" t="s">
        <v>1510</v>
      </c>
      <c r="P1466" s="414">
        <f t="shared" si="213"/>
        <v>30</v>
      </c>
      <c r="Q1466" s="414" t="s">
        <v>619</v>
      </c>
      <c r="R1466" s="414">
        <f t="shared" si="214"/>
        <v>0</v>
      </c>
      <c r="U1466" s="417" t="s">
        <v>1872</v>
      </c>
      <c r="V1466" s="417" t="s">
        <v>1873</v>
      </c>
      <c r="W1466" s="413"/>
      <c r="AE1466" s="414">
        <f t="shared" si="199"/>
        <v>0</v>
      </c>
    </row>
    <row r="1467" spans="6:31" ht="24" customHeight="1">
      <c r="F1467" s="414">
        <v>0.2</v>
      </c>
      <c r="G1467" s="414" t="s">
        <v>453</v>
      </c>
      <c r="H1467" s="412" t="s">
        <v>667</v>
      </c>
      <c r="I1467" s="414">
        <f>C12</f>
        <v>651</v>
      </c>
      <c r="J1467" s="412" t="s">
        <v>453</v>
      </c>
      <c r="K1467" s="414">
        <f>(F1467*I1467)</f>
        <v>130.19999999999999</v>
      </c>
      <c r="M1467" s="440">
        <v>0</v>
      </c>
      <c r="N1467" s="414" t="s">
        <v>619</v>
      </c>
      <c r="O1467" s="412" t="s">
        <v>1511</v>
      </c>
      <c r="P1467" s="414">
        <f t="shared" si="213"/>
        <v>20</v>
      </c>
      <c r="Q1467" s="414" t="s">
        <v>619</v>
      </c>
      <c r="R1467" s="414">
        <f t="shared" si="214"/>
        <v>0</v>
      </c>
      <c r="S1467" s="416">
        <v>6.81</v>
      </c>
      <c r="T1467" s="414" t="s">
        <v>734</v>
      </c>
      <c r="U1467" s="412" t="s">
        <v>1505</v>
      </c>
      <c r="V1467" s="414">
        <f>V1443</f>
        <v>325</v>
      </c>
      <c r="W1467" s="413" t="s">
        <v>734</v>
      </c>
      <c r="X1467" s="414">
        <f>V1467*S1467</f>
        <v>2213.25</v>
      </c>
      <c r="AE1467" s="414">
        <f t="shared" si="199"/>
        <v>0</v>
      </c>
    </row>
    <row r="1468" spans="6:31" ht="24" customHeight="1">
      <c r="H1468" s="412" t="s">
        <v>1850</v>
      </c>
      <c r="K1468" s="414">
        <v>0</v>
      </c>
      <c r="M1468" s="440">
        <v>0</v>
      </c>
      <c r="N1468" s="414" t="s">
        <v>619</v>
      </c>
      <c r="O1468" s="412" t="s">
        <v>1512</v>
      </c>
      <c r="P1468" s="414">
        <f t="shared" si="213"/>
        <v>15</v>
      </c>
      <c r="Q1468" s="414" t="s">
        <v>619</v>
      </c>
      <c r="R1468" s="414">
        <f t="shared" si="214"/>
        <v>0</v>
      </c>
      <c r="S1468" s="416">
        <v>0.77100000000000002</v>
      </c>
      <c r="T1468" s="414" t="s">
        <v>184</v>
      </c>
      <c r="U1468" s="412" t="s">
        <v>1506</v>
      </c>
      <c r="V1468" s="414">
        <f>V1444</f>
        <v>306.89999999999998</v>
      </c>
      <c r="W1468" s="413" t="s">
        <v>734</v>
      </c>
      <c r="X1468" s="414">
        <f>V1468*S1468</f>
        <v>236.62</v>
      </c>
      <c r="AE1468" s="414">
        <f t="shared" si="199"/>
        <v>0</v>
      </c>
    </row>
    <row r="1469" spans="6:31" ht="24" customHeight="1">
      <c r="K1469" s="418" t="s">
        <v>1288</v>
      </c>
      <c r="M1469" s="440">
        <v>1.89</v>
      </c>
      <c r="N1469" s="414" t="s">
        <v>1861</v>
      </c>
      <c r="O1469" s="412" t="s">
        <v>1513</v>
      </c>
      <c r="P1469" s="414">
        <f t="shared" si="213"/>
        <v>1998</v>
      </c>
      <c r="Q1469" s="414" t="s">
        <v>1861</v>
      </c>
      <c r="R1469" s="414">
        <f t="shared" si="214"/>
        <v>3776.22</v>
      </c>
      <c r="S1469" s="416">
        <v>0.77100000000000002</v>
      </c>
      <c r="T1469" s="414" t="s">
        <v>184</v>
      </c>
      <c r="U1469" s="412" t="s">
        <v>1513</v>
      </c>
      <c r="V1469" s="414">
        <f>V1445</f>
        <v>1998</v>
      </c>
      <c r="W1469" s="413" t="s">
        <v>734</v>
      </c>
      <c r="X1469" s="414">
        <f>V1469*S1469</f>
        <v>1540.46</v>
      </c>
      <c r="AE1469" s="414">
        <f t="shared" si="199"/>
        <v>0</v>
      </c>
    </row>
    <row r="1470" spans="6:31" ht="24" customHeight="1">
      <c r="H1470" s="413" t="s">
        <v>561</v>
      </c>
      <c r="K1470" s="414" t="e">
        <f>SUM(K1465:K1468)</f>
        <v>#REF!</v>
      </c>
      <c r="O1470" s="412" t="s">
        <v>1514</v>
      </c>
      <c r="Q1470" s="413"/>
      <c r="R1470" s="414">
        <v>0.28000000000000003</v>
      </c>
      <c r="U1470" s="412"/>
      <c r="W1470" s="413"/>
      <c r="X1470" s="414">
        <f>SUM(X1467:X1469)</f>
        <v>3990.33</v>
      </c>
      <c r="AE1470" s="414">
        <f t="shared" ref="AE1470:AE1533" si="215">AG1470</f>
        <v>0</v>
      </c>
    </row>
    <row r="1471" spans="6:31" ht="24" customHeight="1">
      <c r="K1471" s="418" t="s">
        <v>1288</v>
      </c>
      <c r="R1471" s="417">
        <f>SUM(R1458:R1470)</f>
        <v>8405.09</v>
      </c>
      <c r="U1471" s="419" t="s">
        <v>2140</v>
      </c>
      <c r="W1471" s="413"/>
      <c r="X1471" s="417">
        <f>X1470/S1469</f>
        <v>5175.53</v>
      </c>
      <c r="AE1471" s="414">
        <f t="shared" si="215"/>
        <v>0</v>
      </c>
    </row>
    <row r="1472" spans="6:31" ht="24" customHeight="1">
      <c r="H1472" s="420" t="s">
        <v>562</v>
      </c>
      <c r="I1472" s="417"/>
      <c r="J1472" s="415"/>
      <c r="K1472" s="417" t="e">
        <f>K1470/6.77</f>
        <v>#REF!</v>
      </c>
      <c r="W1472" s="413"/>
      <c r="AE1472" s="414">
        <f t="shared" si="215"/>
        <v>0</v>
      </c>
    </row>
    <row r="1473" spans="6:31" ht="24" customHeight="1">
      <c r="K1473" s="418" t="s">
        <v>1676</v>
      </c>
      <c r="W1473" s="413"/>
      <c r="AE1473" s="414">
        <f t="shared" si="215"/>
        <v>0</v>
      </c>
    </row>
    <row r="1474" spans="6:31" ht="24" customHeight="1">
      <c r="K1474" s="418"/>
      <c r="O1474" s="417" t="s">
        <v>1969</v>
      </c>
      <c r="P1474" s="1231" t="s">
        <v>1873</v>
      </c>
      <c r="Q1474" s="1231"/>
      <c r="R1474" s="1231"/>
      <c r="S1474" s="1231"/>
      <c r="T1474" s="1231"/>
      <c r="U1474" s="1231"/>
      <c r="V1474" s="420"/>
      <c r="W1474" s="420"/>
      <c r="AE1474" s="414">
        <f t="shared" si="215"/>
        <v>0</v>
      </c>
    </row>
    <row r="1475" spans="6:31" ht="24" hidden="1" customHeight="1">
      <c r="K1475" s="418"/>
      <c r="M1475" s="440">
        <v>4.67</v>
      </c>
      <c r="N1475" s="414" t="s">
        <v>734</v>
      </c>
      <c r="O1475" s="412" t="s">
        <v>2595</v>
      </c>
      <c r="P1475" s="414">
        <f>P1458</f>
        <v>325</v>
      </c>
      <c r="Q1475" s="414" t="s">
        <v>734</v>
      </c>
      <c r="R1475" s="414">
        <f>P1475*M1475</f>
        <v>1517.75</v>
      </c>
      <c r="S1475" s="440"/>
      <c r="U1475" s="412"/>
      <c r="W1475" s="413"/>
      <c r="AE1475" s="414">
        <f t="shared" si="215"/>
        <v>0</v>
      </c>
    </row>
    <row r="1476" spans="6:31" ht="24" customHeight="1">
      <c r="G1476" s="414" t="s">
        <v>242</v>
      </c>
      <c r="H1476" s="412" t="s">
        <v>758</v>
      </c>
      <c r="K1476" s="418"/>
      <c r="M1476" s="440">
        <v>0.54</v>
      </c>
      <c r="N1476" s="414" t="s">
        <v>184</v>
      </c>
      <c r="O1476" s="412" t="s">
        <v>1506</v>
      </c>
      <c r="P1476" s="414">
        <f>P1462</f>
        <v>306.89999999999998</v>
      </c>
      <c r="Q1476" s="414" t="s">
        <v>734</v>
      </c>
      <c r="R1476" s="414">
        <f>P1476*M1476</f>
        <v>165.73</v>
      </c>
      <c r="S1476" s="440"/>
      <c r="U1476" s="412"/>
      <c r="W1476" s="413"/>
      <c r="AE1476" s="414">
        <f t="shared" si="215"/>
        <v>0</v>
      </c>
    </row>
    <row r="1477" spans="6:31" ht="24" customHeight="1">
      <c r="G1477" s="414" t="s">
        <v>1288</v>
      </c>
      <c r="H1477" s="418" t="s">
        <v>1288</v>
      </c>
      <c r="K1477" s="418"/>
      <c r="M1477" s="440">
        <v>0.54</v>
      </c>
      <c r="N1477" s="414" t="s">
        <v>184</v>
      </c>
      <c r="O1477" s="412" t="s">
        <v>1513</v>
      </c>
      <c r="P1477" s="414">
        <f>P1469</f>
        <v>1998</v>
      </c>
      <c r="Q1477" s="414" t="s">
        <v>734</v>
      </c>
      <c r="R1477" s="414">
        <f>P1477*M1477</f>
        <v>1078.92</v>
      </c>
      <c r="S1477" s="440"/>
      <c r="U1477" s="412"/>
      <c r="W1477" s="413"/>
      <c r="AE1477" s="414">
        <f t="shared" si="215"/>
        <v>0</v>
      </c>
    </row>
    <row r="1478" spans="6:31" ht="24" customHeight="1">
      <c r="F1478" s="440">
        <v>4.7000000000000002E-3</v>
      </c>
      <c r="G1478" s="414" t="s">
        <v>1749</v>
      </c>
      <c r="H1478" s="412" t="s">
        <v>559</v>
      </c>
      <c r="I1478" s="414" t="e">
        <f>K49</f>
        <v>#REF!</v>
      </c>
      <c r="J1478" s="412" t="s">
        <v>1749</v>
      </c>
      <c r="K1478" s="414" t="e">
        <f>(F1478*I1478)</f>
        <v>#REF!</v>
      </c>
      <c r="M1478" s="440"/>
      <c r="O1478" s="412"/>
      <c r="R1478" s="414">
        <f>SUM(R1475:R1477)</f>
        <v>2762.4</v>
      </c>
      <c r="S1478" s="440"/>
      <c r="U1478" s="412"/>
      <c r="W1478" s="413"/>
      <c r="AE1478" s="414">
        <f t="shared" si="215"/>
        <v>0</v>
      </c>
    </row>
    <row r="1479" spans="6:31" ht="24" customHeight="1">
      <c r="F1479" s="414">
        <v>0.15</v>
      </c>
      <c r="G1479" s="414" t="s">
        <v>453</v>
      </c>
      <c r="H1479" s="412" t="s">
        <v>560</v>
      </c>
      <c r="I1479" s="414">
        <f>C10</f>
        <v>999</v>
      </c>
      <c r="J1479" s="412" t="s">
        <v>453</v>
      </c>
      <c r="K1479" s="414">
        <f>(F1479*I1479)</f>
        <v>149.85</v>
      </c>
      <c r="M1479" s="440"/>
      <c r="O1479" s="419" t="s">
        <v>2140</v>
      </c>
      <c r="R1479" s="417">
        <f>R1478/M1477</f>
        <v>5115.5600000000004</v>
      </c>
      <c r="S1479" s="440"/>
      <c r="U1479" s="412"/>
      <c r="W1479" s="413"/>
      <c r="X1479" s="417"/>
      <c r="AE1479" s="414">
        <f t="shared" si="215"/>
        <v>0</v>
      </c>
    </row>
    <row r="1480" spans="6:31" ht="24" customHeight="1">
      <c r="F1480" s="414">
        <v>0.15</v>
      </c>
      <c r="G1480" s="414" t="s">
        <v>453</v>
      </c>
      <c r="H1480" s="412" t="s">
        <v>667</v>
      </c>
      <c r="I1480" s="414">
        <f>C12</f>
        <v>651</v>
      </c>
      <c r="J1480" s="412" t="s">
        <v>453</v>
      </c>
      <c r="K1480" s="414">
        <f>(F1480*I1480)</f>
        <v>97.65</v>
      </c>
      <c r="M1480" s="440"/>
      <c r="O1480" s="412"/>
      <c r="W1480" s="413"/>
      <c r="AE1480" s="414">
        <f t="shared" si="215"/>
        <v>0</v>
      </c>
    </row>
    <row r="1481" spans="6:31" ht="24" customHeight="1">
      <c r="H1481" s="412" t="s">
        <v>1850</v>
      </c>
      <c r="K1481" s="414">
        <v>0</v>
      </c>
      <c r="O1481" s="417" t="s">
        <v>1970</v>
      </c>
      <c r="P1481" s="417" t="s">
        <v>1873</v>
      </c>
      <c r="Q1481" s="412"/>
      <c r="W1481" s="413"/>
      <c r="AE1481" s="414">
        <f t="shared" si="215"/>
        <v>0</v>
      </c>
    </row>
    <row r="1482" spans="6:31" ht="24" customHeight="1">
      <c r="K1482" s="418" t="s">
        <v>1288</v>
      </c>
      <c r="M1482" s="440">
        <v>7.01</v>
      </c>
      <c r="N1482" s="414" t="s">
        <v>734</v>
      </c>
      <c r="O1482" s="412" t="s">
        <v>2595</v>
      </c>
      <c r="P1482" s="414">
        <f>P1475</f>
        <v>325</v>
      </c>
      <c r="Q1482" s="414" t="s">
        <v>734</v>
      </c>
      <c r="R1482" s="414">
        <f>P1482*M1482</f>
        <v>2278.25</v>
      </c>
      <c r="S1482" s="416">
        <f>0.3028*0.3028</f>
        <v>9.1999999999999998E-2</v>
      </c>
      <c r="T1482" s="414">
        <f>60*S1482</f>
        <v>5.52</v>
      </c>
      <c r="U1482" s="414">
        <f>4.58/10</f>
        <v>0.46</v>
      </c>
      <c r="W1482" s="413"/>
      <c r="AE1482" s="414">
        <f t="shared" si="215"/>
        <v>0</v>
      </c>
    </row>
    <row r="1483" spans="6:31" ht="24" customHeight="1">
      <c r="H1483" s="413" t="s">
        <v>561</v>
      </c>
      <c r="K1483" s="414" t="e">
        <f>SUM(K1478:K1481)</f>
        <v>#REF!</v>
      </c>
      <c r="M1483" s="440">
        <v>0.81</v>
      </c>
      <c r="N1483" s="414" t="s">
        <v>184</v>
      </c>
      <c r="O1483" s="412" t="s">
        <v>1506</v>
      </c>
      <c r="P1483" s="414">
        <f>P1476</f>
        <v>306.89999999999998</v>
      </c>
      <c r="Q1483" s="414" t="s">
        <v>734</v>
      </c>
      <c r="R1483" s="414">
        <f>P1483*M1483</f>
        <v>248.59</v>
      </c>
      <c r="W1483" s="413"/>
      <c r="AE1483" s="414">
        <f t="shared" si="215"/>
        <v>0</v>
      </c>
    </row>
    <row r="1484" spans="6:31" ht="24" customHeight="1">
      <c r="K1484" s="418" t="s">
        <v>1288</v>
      </c>
      <c r="M1484" s="440">
        <v>0.81</v>
      </c>
      <c r="N1484" s="414" t="s">
        <v>184</v>
      </c>
      <c r="O1484" s="412" t="s">
        <v>1513</v>
      </c>
      <c r="P1484" s="414">
        <f>P1477</f>
        <v>1998</v>
      </c>
      <c r="Q1484" s="414" t="s">
        <v>734</v>
      </c>
      <c r="R1484" s="414">
        <f>P1484*M1484</f>
        <v>1618.38</v>
      </c>
      <c r="W1484" s="413"/>
      <c r="AE1484" s="414">
        <f t="shared" si="215"/>
        <v>0</v>
      </c>
    </row>
    <row r="1485" spans="6:31" ht="24" customHeight="1">
      <c r="H1485" s="420" t="s">
        <v>562</v>
      </c>
      <c r="I1485" s="417"/>
      <c r="J1485" s="415"/>
      <c r="K1485" s="417" t="e">
        <f>K1483/6.77</f>
        <v>#REF!</v>
      </c>
      <c r="M1485" s="440"/>
      <c r="O1485" s="412"/>
      <c r="R1485" s="414">
        <f>SUM(R1482:R1484)+0.68</f>
        <v>4145.8999999999996</v>
      </c>
      <c r="W1485" s="413"/>
      <c r="AE1485" s="414">
        <f t="shared" si="215"/>
        <v>0</v>
      </c>
    </row>
    <row r="1486" spans="6:31" ht="24" customHeight="1">
      <c r="K1486" s="418" t="s">
        <v>1676</v>
      </c>
      <c r="M1486" s="440"/>
      <c r="O1486" s="419" t="s">
        <v>2140</v>
      </c>
      <c r="R1486" s="417">
        <f>R1485/M1484</f>
        <v>5118.3999999999996</v>
      </c>
      <c r="W1486" s="413"/>
      <c r="AE1486" s="414">
        <f t="shared" si="215"/>
        <v>0</v>
      </c>
    </row>
    <row r="1487" spans="6:31" ht="24" customHeight="1">
      <c r="K1487" s="418"/>
      <c r="O1487" s="412"/>
      <c r="Q1487" s="413"/>
      <c r="W1487" s="413"/>
      <c r="AE1487" s="414">
        <f t="shared" si="215"/>
        <v>0</v>
      </c>
    </row>
    <row r="1488" spans="6:31" ht="24" customHeight="1">
      <c r="F1488" s="427">
        <v>37.1</v>
      </c>
      <c r="G1488" s="414" t="s">
        <v>1833</v>
      </c>
      <c r="H1488" s="412" t="s">
        <v>311</v>
      </c>
      <c r="O1488" s="417" t="s">
        <v>2097</v>
      </c>
      <c r="Q1488" s="412"/>
      <c r="W1488" s="413"/>
      <c r="AE1488" s="414">
        <f t="shared" si="215"/>
        <v>0</v>
      </c>
    </row>
    <row r="1489" spans="6:31" ht="24" customHeight="1">
      <c r="H1489" s="418" t="s">
        <v>1288</v>
      </c>
      <c r="M1489" s="440">
        <v>4.42</v>
      </c>
      <c r="N1489" s="414" t="s">
        <v>734</v>
      </c>
      <c r="O1489" s="412" t="s">
        <v>2595</v>
      </c>
      <c r="P1489" s="414">
        <f>P1458</f>
        <v>325</v>
      </c>
      <c r="Q1489" s="414" t="s">
        <v>734</v>
      </c>
      <c r="R1489" s="414">
        <f>P1489*M1489</f>
        <v>1436.5</v>
      </c>
      <c r="W1489" s="413"/>
      <c r="AE1489" s="414">
        <f t="shared" si="215"/>
        <v>0</v>
      </c>
    </row>
    <row r="1490" spans="6:31" ht="24" customHeight="1">
      <c r="F1490" s="414">
        <v>0.09</v>
      </c>
      <c r="G1490" s="414" t="s">
        <v>702</v>
      </c>
      <c r="H1490" s="412" t="s">
        <v>1632</v>
      </c>
      <c r="I1490" s="414">
        <f>(C84)</f>
        <v>1348</v>
      </c>
      <c r="J1490" s="412" t="s">
        <v>702</v>
      </c>
      <c r="K1490" s="414">
        <f>(F1490*I1490)</f>
        <v>121.32</v>
      </c>
      <c r="M1490" s="440">
        <v>4.72</v>
      </c>
      <c r="N1490" s="414" t="s">
        <v>734</v>
      </c>
      <c r="O1490" s="412" t="s">
        <v>2595</v>
      </c>
      <c r="P1490" s="414">
        <f t="shared" ref="P1490:P1500" si="216">P1459</f>
        <v>325</v>
      </c>
      <c r="Q1490" s="414" t="s">
        <v>734</v>
      </c>
      <c r="R1490" s="414">
        <f t="shared" ref="R1490:R1500" si="217">P1490*M1490</f>
        <v>1534</v>
      </c>
      <c r="W1490" s="413"/>
      <c r="AE1490" s="414">
        <f t="shared" si="215"/>
        <v>0</v>
      </c>
    </row>
    <row r="1491" spans="6:31" ht="24" customHeight="1">
      <c r="F1491" s="414">
        <v>2.2000000000000002</v>
      </c>
      <c r="G1491" s="414" t="s">
        <v>701</v>
      </c>
      <c r="H1491" s="412" t="s">
        <v>1392</v>
      </c>
      <c r="I1491" s="414">
        <f>(C11)</f>
        <v>932</v>
      </c>
      <c r="J1491" s="412" t="s">
        <v>701</v>
      </c>
      <c r="K1491" s="414">
        <f>(F1491*I1491)</f>
        <v>2050.4</v>
      </c>
      <c r="M1491" s="440">
        <v>9.06</v>
      </c>
      <c r="N1491" s="414" t="s">
        <v>734</v>
      </c>
      <c r="O1491" s="412" t="s">
        <v>1505</v>
      </c>
      <c r="P1491" s="414">
        <f t="shared" si="216"/>
        <v>325</v>
      </c>
      <c r="Q1491" s="414" t="s">
        <v>734</v>
      </c>
      <c r="R1491" s="414">
        <f t="shared" si="217"/>
        <v>2944.5</v>
      </c>
      <c r="W1491" s="413"/>
      <c r="AE1491" s="414">
        <f t="shared" si="215"/>
        <v>0</v>
      </c>
    </row>
    <row r="1492" spans="6:31" ht="24" customHeight="1">
      <c r="F1492" s="414">
        <v>0.5</v>
      </c>
      <c r="G1492" s="414" t="s">
        <v>701</v>
      </c>
      <c r="H1492" s="412" t="s">
        <v>1550</v>
      </c>
      <c r="I1492" s="414">
        <f>(C12)</f>
        <v>651</v>
      </c>
      <c r="J1492" s="412" t="s">
        <v>701</v>
      </c>
      <c r="K1492" s="414">
        <f>(F1492*I1492)</f>
        <v>325.5</v>
      </c>
      <c r="M1492" s="440">
        <v>1.58</v>
      </c>
      <c r="N1492" s="414" t="s">
        <v>734</v>
      </c>
      <c r="O1492" s="412" t="s">
        <v>1505</v>
      </c>
      <c r="P1492" s="414">
        <f t="shared" si="216"/>
        <v>325</v>
      </c>
      <c r="Q1492" s="414" t="s">
        <v>734</v>
      </c>
      <c r="R1492" s="414">
        <f t="shared" si="217"/>
        <v>513.5</v>
      </c>
      <c r="W1492" s="413"/>
      <c r="AE1492" s="414">
        <f t="shared" si="215"/>
        <v>0</v>
      </c>
    </row>
    <row r="1493" spans="6:31" ht="24" customHeight="1">
      <c r="F1493" s="414">
        <v>3.8</v>
      </c>
      <c r="G1493" s="414" t="s">
        <v>701</v>
      </c>
      <c r="H1493" s="412" t="s">
        <v>245</v>
      </c>
      <c r="I1493" s="414">
        <f>(C13)</f>
        <v>534</v>
      </c>
      <c r="J1493" s="412" t="s">
        <v>701</v>
      </c>
      <c r="K1493" s="414">
        <f>(F1493*I1493)</f>
        <v>2029.2</v>
      </c>
      <c r="M1493" s="440">
        <v>1.65</v>
      </c>
      <c r="N1493" s="414" t="s">
        <v>184</v>
      </c>
      <c r="O1493" s="412" t="s">
        <v>1506</v>
      </c>
      <c r="P1493" s="414">
        <f t="shared" si="216"/>
        <v>306.89999999999998</v>
      </c>
      <c r="Q1493" s="414" t="s">
        <v>184</v>
      </c>
      <c r="R1493" s="414">
        <f t="shared" si="217"/>
        <v>506.39</v>
      </c>
      <c r="W1493" s="413"/>
      <c r="AE1493" s="414">
        <f t="shared" si="215"/>
        <v>0</v>
      </c>
    </row>
    <row r="1494" spans="6:31" ht="24" customHeight="1">
      <c r="G1494" s="414" t="s">
        <v>358</v>
      </c>
      <c r="H1494" s="412" t="s">
        <v>404</v>
      </c>
      <c r="I1494" s="412" t="s">
        <v>790</v>
      </c>
      <c r="J1494" s="412" t="s">
        <v>358</v>
      </c>
      <c r="K1494" s="414">
        <v>1.5</v>
      </c>
      <c r="M1494" s="440">
        <v>12.74</v>
      </c>
      <c r="N1494" s="414" t="s">
        <v>669</v>
      </c>
      <c r="O1494" s="412" t="str">
        <f>O1463</f>
        <v>rubber beeding P-41/64</v>
      </c>
      <c r="P1494" s="414">
        <f t="shared" si="216"/>
        <v>29.05</v>
      </c>
      <c r="Q1494" s="414" t="s">
        <v>669</v>
      </c>
      <c r="R1494" s="414">
        <f t="shared" si="217"/>
        <v>370.1</v>
      </c>
      <c r="W1494" s="413"/>
      <c r="AE1494" s="414">
        <f t="shared" si="215"/>
        <v>0</v>
      </c>
    </row>
    <row r="1495" spans="6:31" ht="24" customHeight="1">
      <c r="K1495" s="418" t="s">
        <v>1288</v>
      </c>
      <c r="M1495" s="440">
        <v>12</v>
      </c>
      <c r="N1495" s="414" t="s">
        <v>619</v>
      </c>
      <c r="O1495" s="412" t="str">
        <f>O1464</f>
        <v>hinges 75mm x 30 mm P-41/77 b</v>
      </c>
      <c r="P1495" s="414">
        <f t="shared" si="216"/>
        <v>71.900000000000006</v>
      </c>
      <c r="Q1495" s="414" t="s">
        <v>619</v>
      </c>
      <c r="R1495" s="414">
        <f t="shared" si="217"/>
        <v>862.8</v>
      </c>
      <c r="W1495" s="413"/>
      <c r="AE1495" s="414">
        <f t="shared" si="215"/>
        <v>0</v>
      </c>
    </row>
    <row r="1496" spans="6:31" ht="24" customHeight="1">
      <c r="H1496" s="412" t="s">
        <v>1493</v>
      </c>
      <c r="K1496" s="414">
        <f>SUM(K1489:K1494)</f>
        <v>4527.92</v>
      </c>
      <c r="M1496" s="440">
        <v>6</v>
      </c>
      <c r="N1496" s="414" t="s">
        <v>619</v>
      </c>
      <c r="O1496" s="412" t="str">
        <f>O1465</f>
        <v>handle 150 mm long p-42 /80b</v>
      </c>
      <c r="P1496" s="414">
        <f t="shared" si="216"/>
        <v>57.65</v>
      </c>
      <c r="Q1496" s="414" t="s">
        <v>619</v>
      </c>
      <c r="R1496" s="414">
        <f t="shared" si="217"/>
        <v>345.9</v>
      </c>
      <c r="W1496" s="413"/>
      <c r="AE1496" s="414">
        <f t="shared" si="215"/>
        <v>0</v>
      </c>
    </row>
    <row r="1497" spans="6:31" ht="24" customHeight="1">
      <c r="K1497" s="418" t="s">
        <v>1288</v>
      </c>
      <c r="M1497" s="440">
        <v>6</v>
      </c>
      <c r="N1497" s="414" t="s">
        <v>619</v>
      </c>
      <c r="O1497" s="412" t="s">
        <v>1510</v>
      </c>
      <c r="P1497" s="414">
        <f t="shared" si="216"/>
        <v>30</v>
      </c>
      <c r="Q1497" s="414" t="s">
        <v>619</v>
      </c>
      <c r="R1497" s="414">
        <f t="shared" si="217"/>
        <v>180</v>
      </c>
      <c r="W1497" s="413"/>
      <c r="AE1497" s="414">
        <f t="shared" si="215"/>
        <v>0</v>
      </c>
    </row>
    <row r="1498" spans="6:31" ht="24" customHeight="1">
      <c r="H1498" s="420" t="s">
        <v>447</v>
      </c>
      <c r="I1498" s="417"/>
      <c r="J1498" s="415"/>
      <c r="K1498" s="417">
        <f>(K1496/100)</f>
        <v>45.28</v>
      </c>
      <c r="M1498" s="440">
        <v>6</v>
      </c>
      <c r="N1498" s="414" t="s">
        <v>619</v>
      </c>
      <c r="O1498" s="412" t="s">
        <v>1511</v>
      </c>
      <c r="P1498" s="414">
        <f t="shared" si="216"/>
        <v>20</v>
      </c>
      <c r="Q1498" s="414" t="s">
        <v>619</v>
      </c>
      <c r="R1498" s="414">
        <f t="shared" si="217"/>
        <v>120</v>
      </c>
      <c r="W1498" s="413"/>
      <c r="AE1498" s="414">
        <f t="shared" si="215"/>
        <v>0</v>
      </c>
    </row>
    <row r="1499" spans="6:31" ht="24" customHeight="1">
      <c r="K1499" s="418" t="s">
        <v>1676</v>
      </c>
      <c r="M1499" s="440">
        <v>4</v>
      </c>
      <c r="N1499" s="414" t="s">
        <v>619</v>
      </c>
      <c r="O1499" s="412" t="s">
        <v>1512</v>
      </c>
      <c r="P1499" s="414">
        <f t="shared" si="216"/>
        <v>15</v>
      </c>
      <c r="Q1499" s="414" t="s">
        <v>619</v>
      </c>
      <c r="R1499" s="414">
        <f t="shared" si="217"/>
        <v>60</v>
      </c>
      <c r="W1499" s="413"/>
      <c r="AE1499" s="414">
        <f t="shared" si="215"/>
        <v>0</v>
      </c>
    </row>
    <row r="1500" spans="6:31" ht="24" customHeight="1">
      <c r="F1500" s="413" t="s">
        <v>687</v>
      </c>
      <c r="G1500" s="414" t="s">
        <v>1833</v>
      </c>
      <c r="H1500" s="412" t="s">
        <v>809</v>
      </c>
      <c r="M1500" s="440">
        <f>1.5*1.35</f>
        <v>2.0249999999999999</v>
      </c>
      <c r="N1500" s="414" t="s">
        <v>1861</v>
      </c>
      <c r="O1500" s="412" t="s">
        <v>1513</v>
      </c>
      <c r="P1500" s="414">
        <f t="shared" si="216"/>
        <v>1998</v>
      </c>
      <c r="Q1500" s="414" t="s">
        <v>1861</v>
      </c>
      <c r="R1500" s="414">
        <f t="shared" si="217"/>
        <v>4045.95</v>
      </c>
      <c r="W1500" s="413"/>
      <c r="AE1500" s="414">
        <f t="shared" si="215"/>
        <v>0</v>
      </c>
    </row>
    <row r="1501" spans="6:31" ht="24" customHeight="1">
      <c r="H1501" s="412" t="s">
        <v>810</v>
      </c>
      <c r="O1501" s="412" t="s">
        <v>1514</v>
      </c>
      <c r="Q1501" s="413"/>
      <c r="R1501" s="414">
        <v>0.31</v>
      </c>
      <c r="W1501" s="413"/>
      <c r="AE1501" s="414">
        <f t="shared" si="215"/>
        <v>0</v>
      </c>
    </row>
    <row r="1502" spans="6:31" ht="24" customHeight="1">
      <c r="H1502" s="412" t="s">
        <v>811</v>
      </c>
      <c r="R1502" s="417">
        <f>SUM(R1489:R1501)</f>
        <v>12919.95</v>
      </c>
      <c r="W1502" s="413"/>
      <c r="AE1502" s="414">
        <f t="shared" si="215"/>
        <v>0</v>
      </c>
    </row>
    <row r="1503" spans="6:31" ht="24" customHeight="1">
      <c r="H1503" s="412" t="s">
        <v>22</v>
      </c>
      <c r="W1503" s="413"/>
      <c r="AE1503" s="414">
        <f t="shared" si="215"/>
        <v>0</v>
      </c>
    </row>
    <row r="1504" spans="6:31" ht="24" customHeight="1">
      <c r="H1504" s="418" t="s">
        <v>1288</v>
      </c>
      <c r="W1504" s="413"/>
      <c r="AE1504" s="414">
        <f t="shared" si="215"/>
        <v>0</v>
      </c>
    </row>
    <row r="1505" spans="6:31" ht="24" customHeight="1">
      <c r="F1505" s="414">
        <v>4.8</v>
      </c>
      <c r="G1505" s="414" t="s">
        <v>1341</v>
      </c>
      <c r="H1505" s="412" t="s">
        <v>350</v>
      </c>
      <c r="I1505" s="414">
        <f>(C271)</f>
        <v>49.85</v>
      </c>
      <c r="J1505" s="412" t="s">
        <v>1341</v>
      </c>
      <c r="K1505" s="414">
        <f>(F1505*I1505)</f>
        <v>239.28</v>
      </c>
      <c r="W1505" s="413"/>
      <c r="AE1505" s="414">
        <f t="shared" si="215"/>
        <v>0</v>
      </c>
    </row>
    <row r="1506" spans="6:31" ht="24" customHeight="1">
      <c r="F1506" s="414">
        <v>0.75</v>
      </c>
      <c r="G1506" s="414" t="s">
        <v>701</v>
      </c>
      <c r="H1506" s="412" t="s">
        <v>23</v>
      </c>
      <c r="I1506" s="414">
        <f>(C14)</f>
        <v>797</v>
      </c>
      <c r="J1506" s="412" t="s">
        <v>701</v>
      </c>
      <c r="K1506" s="414">
        <f>(F1506*I1506)</f>
        <v>597.75</v>
      </c>
      <c r="W1506" s="413"/>
      <c r="AE1506" s="414">
        <f t="shared" si="215"/>
        <v>0</v>
      </c>
    </row>
    <row r="1507" spans="6:31" ht="24" customHeight="1">
      <c r="F1507" s="414">
        <v>0.75</v>
      </c>
      <c r="G1507" s="414" t="s">
        <v>701</v>
      </c>
      <c r="H1507" s="412" t="s">
        <v>754</v>
      </c>
      <c r="I1507" s="414">
        <f>(C12)</f>
        <v>651</v>
      </c>
      <c r="J1507" s="412" t="s">
        <v>701</v>
      </c>
      <c r="K1507" s="414">
        <f>(F1507*I1507)</f>
        <v>488.25</v>
      </c>
      <c r="W1507" s="413"/>
      <c r="AE1507" s="414">
        <f t="shared" si="215"/>
        <v>0</v>
      </c>
    </row>
    <row r="1508" spans="6:31" ht="24" customHeight="1">
      <c r="F1508" s="414">
        <v>1.2</v>
      </c>
      <c r="G1508" s="414" t="s">
        <v>701</v>
      </c>
      <c r="H1508" s="412" t="s">
        <v>245</v>
      </c>
      <c r="I1508" s="414">
        <f>(C13)</f>
        <v>534</v>
      </c>
      <c r="J1508" s="412" t="s">
        <v>701</v>
      </c>
      <c r="K1508" s="414">
        <f>(F1508*I1508)</f>
        <v>640.79999999999995</v>
      </c>
      <c r="W1508" s="413"/>
      <c r="AE1508" s="414">
        <f t="shared" si="215"/>
        <v>0</v>
      </c>
    </row>
    <row r="1509" spans="6:31" ht="24" customHeight="1">
      <c r="G1509" s="414" t="s">
        <v>358</v>
      </c>
      <c r="H1509" s="412" t="s">
        <v>1491</v>
      </c>
      <c r="I1509" s="412" t="s">
        <v>790</v>
      </c>
      <c r="J1509" s="412" t="s">
        <v>358</v>
      </c>
      <c r="K1509" s="414">
        <v>1.5</v>
      </c>
      <c r="W1509" s="413"/>
      <c r="AE1509" s="414">
        <f t="shared" si="215"/>
        <v>0</v>
      </c>
    </row>
    <row r="1510" spans="6:31" ht="24" customHeight="1">
      <c r="K1510" s="418" t="s">
        <v>1288</v>
      </c>
      <c r="W1510" s="413"/>
      <c r="AE1510" s="414">
        <f t="shared" si="215"/>
        <v>0</v>
      </c>
    </row>
    <row r="1511" spans="6:31" ht="24" customHeight="1">
      <c r="H1511" s="412" t="s">
        <v>351</v>
      </c>
      <c r="K1511" s="414">
        <f>SUM(K1505:K1509)</f>
        <v>1967.58</v>
      </c>
      <c r="W1511" s="413"/>
      <c r="AE1511" s="414">
        <f t="shared" si="215"/>
        <v>0</v>
      </c>
    </row>
    <row r="1512" spans="6:31" ht="24" customHeight="1">
      <c r="K1512" s="418" t="s">
        <v>1288</v>
      </c>
      <c r="W1512" s="413"/>
      <c r="AE1512" s="414">
        <f t="shared" si="215"/>
        <v>0</v>
      </c>
    </row>
    <row r="1513" spans="6:31" ht="24" customHeight="1">
      <c r="H1513" s="420" t="s">
        <v>447</v>
      </c>
      <c r="I1513" s="417"/>
      <c r="J1513" s="415"/>
      <c r="K1513" s="417">
        <f>(K1511/10)</f>
        <v>196.76</v>
      </c>
      <c r="W1513" s="413"/>
      <c r="AE1513" s="414">
        <f t="shared" si="215"/>
        <v>0</v>
      </c>
    </row>
    <row r="1514" spans="6:31" ht="24" customHeight="1">
      <c r="K1514" s="418" t="s">
        <v>1676</v>
      </c>
      <c r="W1514" s="413"/>
      <c r="AE1514" s="414">
        <f t="shared" si="215"/>
        <v>0</v>
      </c>
    </row>
    <row r="1515" spans="6:31" ht="24" customHeight="1">
      <c r="F1515" s="413" t="s">
        <v>24</v>
      </c>
      <c r="G1515" s="414" t="s">
        <v>1833</v>
      </c>
      <c r="H1515" s="413" t="s">
        <v>1603</v>
      </c>
      <c r="W1515" s="413"/>
      <c r="AE1515" s="414">
        <f t="shared" si="215"/>
        <v>0</v>
      </c>
    </row>
    <row r="1516" spans="6:31" ht="24" customHeight="1">
      <c r="H1516" s="413" t="s">
        <v>26</v>
      </c>
      <c r="M1516" s="413"/>
      <c r="N1516" s="414" t="s">
        <v>1833</v>
      </c>
      <c r="O1516" s="412" t="s">
        <v>1618</v>
      </c>
      <c r="Q1516" s="412"/>
      <c r="W1516" s="413"/>
      <c r="AE1516" s="414">
        <f t="shared" si="215"/>
        <v>0</v>
      </c>
    </row>
    <row r="1517" spans="6:31" ht="24" customHeight="1">
      <c r="F1517" s="414">
        <v>3.08</v>
      </c>
      <c r="G1517" s="414" t="s">
        <v>1113</v>
      </c>
      <c r="H1517" s="412" t="s">
        <v>25</v>
      </c>
      <c r="I1517" s="414">
        <f>E271</f>
        <v>158</v>
      </c>
      <c r="J1517" s="412" t="s">
        <v>1113</v>
      </c>
      <c r="K1517" s="414">
        <f>(F1517*I1517)</f>
        <v>486.64</v>
      </c>
      <c r="O1517" s="412" t="s">
        <v>810</v>
      </c>
      <c r="Q1517" s="412"/>
      <c r="W1517" s="413"/>
      <c r="AE1517" s="414">
        <f t="shared" si="215"/>
        <v>0</v>
      </c>
    </row>
    <row r="1518" spans="6:31" ht="24" customHeight="1">
      <c r="F1518" s="414">
        <v>0.5</v>
      </c>
      <c r="G1518" s="414" t="s">
        <v>453</v>
      </c>
      <c r="H1518" s="412" t="s">
        <v>1114</v>
      </c>
      <c r="I1518" s="414">
        <f>C14</f>
        <v>797</v>
      </c>
      <c r="J1518" s="412" t="s">
        <v>453</v>
      </c>
      <c r="K1518" s="414">
        <f>(F1518*I1518)</f>
        <v>398.5</v>
      </c>
      <c r="O1518" s="412" t="s">
        <v>811</v>
      </c>
      <c r="Q1518" s="412"/>
      <c r="W1518" s="413"/>
      <c r="AE1518" s="414">
        <f t="shared" si="215"/>
        <v>0</v>
      </c>
    </row>
    <row r="1519" spans="6:31" ht="24" customHeight="1">
      <c r="F1519" s="414">
        <v>0.5</v>
      </c>
      <c r="G1519" s="414" t="s">
        <v>453</v>
      </c>
      <c r="H1519" s="412" t="s">
        <v>667</v>
      </c>
      <c r="I1519" s="414">
        <f>C12</f>
        <v>651</v>
      </c>
      <c r="J1519" s="412" t="s">
        <v>453</v>
      </c>
      <c r="K1519" s="414">
        <f>(F1519*I1519)</f>
        <v>325.5</v>
      </c>
      <c r="O1519" s="412" t="s">
        <v>22</v>
      </c>
      <c r="Q1519" s="412"/>
      <c r="W1519" s="413"/>
      <c r="AE1519" s="414">
        <f t="shared" si="215"/>
        <v>0</v>
      </c>
    </row>
    <row r="1520" spans="6:31" ht="24" customHeight="1">
      <c r="F1520" s="414">
        <v>0.8</v>
      </c>
      <c r="G1520" s="414" t="s">
        <v>453</v>
      </c>
      <c r="H1520" s="412" t="s">
        <v>1115</v>
      </c>
      <c r="I1520" s="414">
        <f>C13</f>
        <v>534</v>
      </c>
      <c r="J1520" s="412" t="s">
        <v>453</v>
      </c>
      <c r="K1520" s="414">
        <f>(F1520*I1520)</f>
        <v>427.2</v>
      </c>
      <c r="O1520" s="418" t="s">
        <v>1288</v>
      </c>
      <c r="Q1520" s="412"/>
      <c r="W1520" s="413"/>
      <c r="AE1520" s="414">
        <f t="shared" si="215"/>
        <v>0</v>
      </c>
    </row>
    <row r="1521" spans="6:31" ht="24" customHeight="1">
      <c r="G1521" s="414" t="s">
        <v>358</v>
      </c>
      <c r="H1521" s="412" t="s">
        <v>1491</v>
      </c>
      <c r="J1521" s="412" t="s">
        <v>358</v>
      </c>
      <c r="K1521" s="414">
        <v>1.5</v>
      </c>
      <c r="M1521" s="414">
        <v>2.1800000000000002</v>
      </c>
      <c r="N1521" s="414" t="s">
        <v>1341</v>
      </c>
      <c r="O1521" s="412" t="s">
        <v>1619</v>
      </c>
      <c r="P1521" s="414">
        <v>70</v>
      </c>
      <c r="Q1521" s="412" t="s">
        <v>1341</v>
      </c>
      <c r="R1521" s="414">
        <f>M1521*P1521</f>
        <v>152.6</v>
      </c>
      <c r="W1521" s="413"/>
      <c r="AE1521" s="414">
        <f t="shared" si="215"/>
        <v>0</v>
      </c>
    </row>
    <row r="1522" spans="6:31" ht="24" customHeight="1">
      <c r="M1522" s="414">
        <v>0.75</v>
      </c>
      <c r="N1522" s="414" t="s">
        <v>701</v>
      </c>
      <c r="O1522" s="412" t="s">
        <v>23</v>
      </c>
      <c r="P1522" s="414">
        <f>C14</f>
        <v>797</v>
      </c>
      <c r="Q1522" s="412" t="s">
        <v>701</v>
      </c>
      <c r="R1522" s="414">
        <f>M1522*P1522</f>
        <v>597.75</v>
      </c>
      <c r="W1522" s="413"/>
      <c r="AE1522" s="414">
        <f t="shared" si="215"/>
        <v>0</v>
      </c>
    </row>
    <row r="1523" spans="6:31" ht="24" customHeight="1">
      <c r="K1523" s="418" t="s">
        <v>1288</v>
      </c>
      <c r="M1523" s="414">
        <v>0.75</v>
      </c>
      <c r="N1523" s="414" t="s">
        <v>701</v>
      </c>
      <c r="O1523" s="412" t="s">
        <v>754</v>
      </c>
      <c r="P1523" s="414">
        <f>C12</f>
        <v>651</v>
      </c>
      <c r="Q1523" s="412" t="s">
        <v>701</v>
      </c>
      <c r="R1523" s="414">
        <f>M1523*P1523</f>
        <v>488.25</v>
      </c>
      <c r="W1523" s="413"/>
      <c r="AE1523" s="414">
        <f t="shared" si="215"/>
        <v>0</v>
      </c>
    </row>
    <row r="1524" spans="6:31" ht="24" customHeight="1">
      <c r="H1524" s="413" t="s">
        <v>1116</v>
      </c>
      <c r="K1524" s="414">
        <f>SUM(K1517:K1521)</f>
        <v>1639.34</v>
      </c>
      <c r="M1524" s="414">
        <v>1.2</v>
      </c>
      <c r="N1524" s="414" t="s">
        <v>701</v>
      </c>
      <c r="O1524" s="412" t="s">
        <v>245</v>
      </c>
      <c r="P1524" s="414">
        <f>C13</f>
        <v>534</v>
      </c>
      <c r="Q1524" s="412" t="s">
        <v>701</v>
      </c>
      <c r="R1524" s="414">
        <f>M1524*P1524</f>
        <v>640.79999999999995</v>
      </c>
      <c r="W1524" s="413"/>
      <c r="AE1524" s="414">
        <f t="shared" si="215"/>
        <v>0</v>
      </c>
    </row>
    <row r="1525" spans="6:31" ht="24" customHeight="1">
      <c r="K1525" s="418" t="s">
        <v>1288</v>
      </c>
      <c r="N1525" s="414" t="s">
        <v>358</v>
      </c>
      <c r="O1525" s="412" t="s">
        <v>1491</v>
      </c>
      <c r="P1525" s="412" t="s">
        <v>790</v>
      </c>
      <c r="Q1525" s="412" t="s">
        <v>358</v>
      </c>
      <c r="R1525" s="414">
        <v>1.5</v>
      </c>
      <c r="W1525" s="413"/>
      <c r="AE1525" s="414">
        <f t="shared" si="215"/>
        <v>0</v>
      </c>
    </row>
    <row r="1526" spans="6:31" ht="24" customHeight="1">
      <c r="F1526" s="412" t="s">
        <v>790</v>
      </c>
      <c r="G1526" s="414" t="s">
        <v>790</v>
      </c>
      <c r="H1526" s="420" t="s">
        <v>1382</v>
      </c>
      <c r="I1526" s="415" t="s">
        <v>790</v>
      </c>
      <c r="J1526" s="415" t="s">
        <v>790</v>
      </c>
      <c r="K1526" s="417">
        <f>K1524/10</f>
        <v>163.93</v>
      </c>
      <c r="Q1526" s="412"/>
      <c r="R1526" s="418" t="s">
        <v>1288</v>
      </c>
      <c r="W1526" s="413"/>
      <c r="AE1526" s="414">
        <f t="shared" si="215"/>
        <v>0</v>
      </c>
    </row>
    <row r="1527" spans="6:31" ht="24" customHeight="1">
      <c r="K1527" s="418" t="s">
        <v>1676</v>
      </c>
      <c r="O1527" s="412" t="s">
        <v>351</v>
      </c>
      <c r="Q1527" s="412"/>
      <c r="R1527" s="414">
        <f>SUM(R1521:R1525)</f>
        <v>1880.9</v>
      </c>
      <c r="W1527" s="413"/>
      <c r="AE1527" s="414">
        <f t="shared" si="215"/>
        <v>0</v>
      </c>
    </row>
    <row r="1528" spans="6:31" ht="24" customHeight="1">
      <c r="F1528" s="413" t="s">
        <v>1117</v>
      </c>
      <c r="G1528" s="414" t="s">
        <v>1833</v>
      </c>
      <c r="H1528" s="412" t="s">
        <v>393</v>
      </c>
      <c r="Q1528" s="412"/>
      <c r="R1528" s="418" t="s">
        <v>1288</v>
      </c>
      <c r="W1528" s="413"/>
      <c r="AE1528" s="414">
        <f t="shared" si="215"/>
        <v>0</v>
      </c>
    </row>
    <row r="1529" spans="6:31" ht="24" customHeight="1">
      <c r="H1529" s="412" t="s">
        <v>1119</v>
      </c>
      <c r="O1529" s="412" t="s">
        <v>447</v>
      </c>
      <c r="Q1529" s="412"/>
      <c r="R1529" s="414">
        <f>(R1527/10)</f>
        <v>188.09</v>
      </c>
      <c r="W1529" s="413"/>
      <c r="AE1529" s="414">
        <f t="shared" si="215"/>
        <v>0</v>
      </c>
    </row>
    <row r="1530" spans="6:31" ht="24" customHeight="1">
      <c r="H1530" s="412" t="s">
        <v>1604</v>
      </c>
      <c r="Q1530" s="412"/>
      <c r="R1530" s="418" t="s">
        <v>1676</v>
      </c>
      <c r="W1530" s="413"/>
      <c r="AE1530" s="414">
        <f t="shared" si="215"/>
        <v>0</v>
      </c>
    </row>
    <row r="1531" spans="6:31" ht="24" customHeight="1">
      <c r="H1531" s="418" t="s">
        <v>1288</v>
      </c>
      <c r="L1531" s="455"/>
      <c r="N1531" s="1231" t="s">
        <v>2659</v>
      </c>
      <c r="O1531" s="1231"/>
      <c r="P1531" s="1231"/>
      <c r="Q1531" s="1231"/>
      <c r="R1531" s="1231"/>
      <c r="W1531" s="413"/>
      <c r="AE1531" s="414">
        <f t="shared" si="215"/>
        <v>0</v>
      </c>
    </row>
    <row r="1532" spans="6:31" ht="24" customHeight="1">
      <c r="F1532" s="414">
        <v>1.44</v>
      </c>
      <c r="G1532" s="414" t="s">
        <v>1008</v>
      </c>
      <c r="H1532" s="412" t="s">
        <v>959</v>
      </c>
      <c r="I1532" s="414">
        <f>(C196)</f>
        <v>147.5</v>
      </c>
      <c r="J1532" s="412" t="s">
        <v>1008</v>
      </c>
      <c r="K1532" s="414">
        <f>(F1532*I1532)</f>
        <v>212.4</v>
      </c>
      <c r="L1532" s="456"/>
      <c r="M1532" s="440"/>
      <c r="O1532" s="420" t="s">
        <v>2660</v>
      </c>
      <c r="W1532" s="413"/>
      <c r="AE1532" s="414">
        <f t="shared" si="215"/>
        <v>0</v>
      </c>
    </row>
    <row r="1533" spans="6:31" ht="24" customHeight="1">
      <c r="F1533" s="414">
        <v>0.7</v>
      </c>
      <c r="G1533" s="414" t="s">
        <v>619</v>
      </c>
      <c r="H1533" s="412" t="s">
        <v>960</v>
      </c>
      <c r="I1533" s="414">
        <f>(C14)</f>
        <v>797</v>
      </c>
      <c r="J1533" s="412" t="s">
        <v>619</v>
      </c>
      <c r="K1533" s="414">
        <f>(F1533*I1533)</f>
        <v>557.9</v>
      </c>
      <c r="L1533" s="456"/>
      <c r="M1533" s="440"/>
      <c r="O1533" s="412"/>
      <c r="W1533" s="413"/>
      <c r="AE1533" s="414">
        <f t="shared" si="215"/>
        <v>0</v>
      </c>
    </row>
    <row r="1534" spans="6:31" ht="24" customHeight="1">
      <c r="F1534" s="414">
        <v>2.5499999999999998</v>
      </c>
      <c r="G1534" s="414" t="s">
        <v>1008</v>
      </c>
      <c r="H1534" s="412" t="s">
        <v>961</v>
      </c>
      <c r="I1534" s="414">
        <f>(C195)</f>
        <v>238.9</v>
      </c>
      <c r="J1534" s="412" t="s">
        <v>1008</v>
      </c>
      <c r="K1534" s="414">
        <f>(F1534*I1534)</f>
        <v>609.20000000000005</v>
      </c>
      <c r="L1534" s="456"/>
      <c r="M1534" s="440"/>
      <c r="O1534" s="412"/>
      <c r="W1534" s="413"/>
      <c r="AE1534" s="414">
        <f t="shared" ref="AE1534:AE1597" si="218">AG1534</f>
        <v>0</v>
      </c>
    </row>
    <row r="1535" spans="6:31" ht="24" customHeight="1">
      <c r="F1535" s="414">
        <v>1.2</v>
      </c>
      <c r="G1535" s="414" t="s">
        <v>619</v>
      </c>
      <c r="H1535" s="412" t="s">
        <v>960</v>
      </c>
      <c r="I1535" s="414">
        <f>(C14)</f>
        <v>797</v>
      </c>
      <c r="J1535" s="412" t="s">
        <v>619</v>
      </c>
      <c r="K1535" s="414">
        <f>(F1535*I1535)</f>
        <v>956.4</v>
      </c>
      <c r="L1535" s="456"/>
      <c r="M1535" s="440">
        <v>19.13</v>
      </c>
      <c r="N1535" s="414" t="s">
        <v>734</v>
      </c>
      <c r="O1535" s="412" t="s">
        <v>2375</v>
      </c>
      <c r="P1535" s="414">
        <f>P1489</f>
        <v>325</v>
      </c>
      <c r="Q1535" s="414" t="s">
        <v>734</v>
      </c>
      <c r="R1535" s="414">
        <f>P1535*M1535</f>
        <v>6217.25</v>
      </c>
      <c r="W1535" s="413"/>
      <c r="AE1535" s="414">
        <f t="shared" si="218"/>
        <v>0</v>
      </c>
    </row>
    <row r="1536" spans="6:31" ht="24" customHeight="1">
      <c r="G1536" s="414" t="s">
        <v>358</v>
      </c>
      <c r="H1536" s="412" t="s">
        <v>962</v>
      </c>
      <c r="I1536" s="412" t="s">
        <v>790</v>
      </c>
      <c r="J1536" s="412" t="s">
        <v>358</v>
      </c>
      <c r="K1536" s="414">
        <v>1.5</v>
      </c>
      <c r="L1536" s="456"/>
      <c r="M1536" s="440">
        <v>2.97</v>
      </c>
      <c r="N1536" s="414" t="s">
        <v>184</v>
      </c>
      <c r="O1536" s="412" t="s">
        <v>2359</v>
      </c>
      <c r="P1536" s="414">
        <f>P1493</f>
        <v>306.89999999999998</v>
      </c>
      <c r="Q1536" s="414" t="s">
        <v>184</v>
      </c>
      <c r="R1536" s="414">
        <f t="shared" ref="R1536:R1541" si="219">P1536*M1536</f>
        <v>911.49</v>
      </c>
      <c r="W1536" s="413"/>
      <c r="AE1536" s="414">
        <f t="shared" si="218"/>
        <v>0</v>
      </c>
    </row>
    <row r="1537" spans="6:31" ht="24" customHeight="1">
      <c r="K1537" s="418" t="s">
        <v>1288</v>
      </c>
      <c r="L1537" s="456"/>
      <c r="M1537" s="440">
        <v>15.3</v>
      </c>
      <c r="N1537" s="414" t="s">
        <v>669</v>
      </c>
      <c r="O1537" s="412" t="s">
        <v>2358</v>
      </c>
      <c r="P1537" s="414">
        <f>P1494</f>
        <v>29.05</v>
      </c>
      <c r="Q1537" s="414" t="s">
        <v>669</v>
      </c>
      <c r="R1537" s="414">
        <f t="shared" si="219"/>
        <v>444.47</v>
      </c>
      <c r="W1537" s="413"/>
      <c r="AE1537" s="414">
        <f t="shared" si="218"/>
        <v>0</v>
      </c>
    </row>
    <row r="1538" spans="6:31" ht="24" customHeight="1">
      <c r="H1538" s="412" t="s">
        <v>351</v>
      </c>
      <c r="K1538" s="414">
        <f>SUM(K1532:K1536)</f>
        <v>2337.4</v>
      </c>
      <c r="L1538" s="456"/>
      <c r="M1538" s="440">
        <v>3</v>
      </c>
      <c r="N1538" s="414" t="s">
        <v>2367</v>
      </c>
      <c r="O1538" s="412" t="s">
        <v>2381</v>
      </c>
      <c r="P1538" s="414">
        <f>I4009</f>
        <v>350</v>
      </c>
      <c r="Q1538" s="414" t="s">
        <v>619</v>
      </c>
      <c r="R1538" s="414">
        <f t="shared" si="219"/>
        <v>1050</v>
      </c>
      <c r="W1538" s="413"/>
      <c r="AE1538" s="414">
        <f t="shared" si="218"/>
        <v>0</v>
      </c>
    </row>
    <row r="1539" spans="6:31" ht="24" customHeight="1">
      <c r="K1539" s="418" t="s">
        <v>1288</v>
      </c>
      <c r="L1539" s="456"/>
      <c r="M1539" s="440">
        <v>3</v>
      </c>
      <c r="N1539" s="414" t="s">
        <v>619</v>
      </c>
      <c r="O1539" s="412" t="s">
        <v>2360</v>
      </c>
      <c r="P1539" s="414">
        <f>I4010</f>
        <v>57.65</v>
      </c>
      <c r="Q1539" s="414" t="s">
        <v>619</v>
      </c>
      <c r="R1539" s="414">
        <f t="shared" si="219"/>
        <v>172.95</v>
      </c>
      <c r="W1539" s="413"/>
      <c r="AE1539" s="414">
        <f t="shared" si="218"/>
        <v>0</v>
      </c>
    </row>
    <row r="1540" spans="6:31" ht="24" customHeight="1">
      <c r="H1540" s="420" t="s">
        <v>447</v>
      </c>
      <c r="I1540" s="417"/>
      <c r="J1540" s="415"/>
      <c r="K1540" s="417">
        <f>(K1538/10)</f>
        <v>233.74</v>
      </c>
      <c r="L1540" s="456"/>
      <c r="M1540" s="440">
        <v>6</v>
      </c>
      <c r="N1540" s="414" t="s">
        <v>619</v>
      </c>
      <c r="O1540" s="412" t="s">
        <v>2362</v>
      </c>
      <c r="P1540" s="414">
        <f>I3995</f>
        <v>15</v>
      </c>
      <c r="Q1540" s="414" t="s">
        <v>619</v>
      </c>
      <c r="R1540" s="414">
        <f t="shared" si="219"/>
        <v>90</v>
      </c>
      <c r="W1540" s="413"/>
      <c r="AE1540" s="414">
        <f t="shared" si="218"/>
        <v>0</v>
      </c>
    </row>
    <row r="1541" spans="6:31" ht="24" hidden="1" customHeight="1">
      <c r="F1541" s="412" t="s">
        <v>790</v>
      </c>
      <c r="L1541" s="456"/>
      <c r="M1541" s="440">
        <v>2.97</v>
      </c>
      <c r="N1541" s="414" t="s">
        <v>1861</v>
      </c>
      <c r="O1541" s="412" t="s">
        <v>2363</v>
      </c>
      <c r="P1541" s="414">
        <f>R1552</f>
        <v>1998</v>
      </c>
      <c r="Q1541" s="414" t="s">
        <v>1861</v>
      </c>
      <c r="R1541" s="414">
        <f t="shared" si="219"/>
        <v>5934.06</v>
      </c>
      <c r="W1541" s="413"/>
      <c r="AE1541" s="414">
        <f t="shared" si="218"/>
        <v>0</v>
      </c>
    </row>
    <row r="1542" spans="6:31" ht="24" customHeight="1">
      <c r="K1542" s="418" t="s">
        <v>1676</v>
      </c>
      <c r="L1542" s="456"/>
      <c r="M1542" s="440"/>
      <c r="O1542" s="412" t="s">
        <v>1850</v>
      </c>
      <c r="Q1542" s="413"/>
      <c r="R1542" s="414">
        <v>3.5</v>
      </c>
      <c r="W1542" s="413"/>
      <c r="AE1542" s="414">
        <f t="shared" si="218"/>
        <v>0</v>
      </c>
    </row>
    <row r="1543" spans="6:31" ht="24" customHeight="1">
      <c r="F1543" s="425">
        <v>41</v>
      </c>
      <c r="G1543" s="414" t="s">
        <v>1833</v>
      </c>
      <c r="H1543" s="412" t="s">
        <v>1118</v>
      </c>
      <c r="L1543" s="456"/>
      <c r="O1543" s="412" t="s">
        <v>2661</v>
      </c>
      <c r="R1543" s="417">
        <f>SUM(R1535:R1542)</f>
        <v>14823.72</v>
      </c>
      <c r="W1543" s="413"/>
      <c r="AE1543" s="414">
        <f t="shared" si="218"/>
        <v>0</v>
      </c>
    </row>
    <row r="1544" spans="6:31" ht="24" customHeight="1">
      <c r="H1544" s="412" t="s">
        <v>851</v>
      </c>
      <c r="L1544" s="457"/>
      <c r="W1544" s="413"/>
      <c r="AE1544" s="414">
        <f t="shared" si="218"/>
        <v>0</v>
      </c>
    </row>
    <row r="1545" spans="6:31" ht="24" customHeight="1">
      <c r="H1545" s="412" t="s">
        <v>1007</v>
      </c>
      <c r="L1545" s="455"/>
      <c r="O1545" s="412" t="s">
        <v>447</v>
      </c>
      <c r="R1545" s="417">
        <f>R1543/2.97</f>
        <v>4991.1499999999996</v>
      </c>
      <c r="S1545" s="416">
        <f>R1545-3740</f>
        <v>1251.1500000000001</v>
      </c>
      <c r="W1545" s="413"/>
      <c r="AE1545" s="414">
        <f t="shared" si="218"/>
        <v>0</v>
      </c>
    </row>
    <row r="1546" spans="6:31" ht="24" customHeight="1">
      <c r="H1546" s="418" t="s">
        <v>1288</v>
      </c>
      <c r="L1546" s="456"/>
      <c r="O1546" s="423"/>
      <c r="W1546" s="413"/>
      <c r="AE1546" s="414">
        <f t="shared" si="218"/>
        <v>0</v>
      </c>
    </row>
    <row r="1547" spans="6:31" ht="24" customHeight="1">
      <c r="F1547" s="414">
        <v>2.2200000000000002</v>
      </c>
      <c r="G1547" s="414" t="s">
        <v>1008</v>
      </c>
      <c r="H1547" s="412" t="s">
        <v>961</v>
      </c>
      <c r="I1547" s="414">
        <f>(C207)</f>
        <v>227.6</v>
      </c>
      <c r="J1547" s="412" t="s">
        <v>1008</v>
      </c>
      <c r="K1547" s="414">
        <f>(F1547*I1547)</f>
        <v>505.27</v>
      </c>
      <c r="L1547" s="456"/>
      <c r="M1547" s="414">
        <v>1</v>
      </c>
      <c r="N1547" s="414" t="s">
        <v>701</v>
      </c>
      <c r="O1547" s="412" t="s">
        <v>4337</v>
      </c>
      <c r="P1547" s="414">
        <f>AE17</f>
        <v>881</v>
      </c>
      <c r="Q1547" s="412" t="s">
        <v>701</v>
      </c>
      <c r="R1547" s="414">
        <f>P1547*M1547</f>
        <v>881</v>
      </c>
      <c r="W1547" s="413"/>
      <c r="AE1547" s="414">
        <f t="shared" si="218"/>
        <v>0</v>
      </c>
    </row>
    <row r="1548" spans="6:31" ht="24" customHeight="1">
      <c r="F1548" s="414">
        <v>1.1000000000000001</v>
      </c>
      <c r="G1548" s="414" t="s">
        <v>619</v>
      </c>
      <c r="H1548" s="412" t="s">
        <v>960</v>
      </c>
      <c r="I1548" s="414">
        <f>(C14)</f>
        <v>797</v>
      </c>
      <c r="J1548" s="412" t="s">
        <v>619</v>
      </c>
      <c r="K1548" s="414">
        <f>(F1548*I1548)</f>
        <v>876.7</v>
      </c>
      <c r="L1548" s="456"/>
      <c r="M1548" s="414">
        <v>1</v>
      </c>
      <c r="N1548" s="414" t="s">
        <v>701</v>
      </c>
      <c r="O1548" s="412" t="s">
        <v>4338</v>
      </c>
      <c r="P1548" s="414">
        <f>AE11</f>
        <v>651</v>
      </c>
      <c r="Q1548" s="412" t="s">
        <v>701</v>
      </c>
      <c r="R1548" s="414">
        <f>P1548*M1548</f>
        <v>651</v>
      </c>
      <c r="W1548" s="413"/>
      <c r="AE1548" s="414">
        <f t="shared" si="218"/>
        <v>0</v>
      </c>
    </row>
    <row r="1549" spans="6:31" ht="24" customHeight="1">
      <c r="G1549" s="414" t="s">
        <v>358</v>
      </c>
      <c r="H1549" s="412" t="s">
        <v>962</v>
      </c>
      <c r="I1549" s="412" t="s">
        <v>790</v>
      </c>
      <c r="J1549" s="412" t="s">
        <v>358</v>
      </c>
      <c r="K1549" s="414">
        <v>1.5</v>
      </c>
      <c r="L1549" s="456"/>
      <c r="M1549" s="414">
        <v>0.5</v>
      </c>
      <c r="N1549" s="414" t="s">
        <v>701</v>
      </c>
      <c r="O1549" s="412" t="s">
        <v>4339</v>
      </c>
      <c r="P1549" s="414">
        <f>AE20</f>
        <v>932</v>
      </c>
      <c r="Q1549" s="412" t="s">
        <v>701</v>
      </c>
      <c r="R1549" s="414">
        <f>P1549*M1549</f>
        <v>466</v>
      </c>
      <c r="W1549" s="413"/>
      <c r="AE1549" s="414">
        <f t="shared" si="218"/>
        <v>0</v>
      </c>
    </row>
    <row r="1550" spans="6:31" ht="24" customHeight="1">
      <c r="K1550" s="418" t="s">
        <v>1288</v>
      </c>
      <c r="L1550" s="456"/>
      <c r="Q1550" s="412"/>
      <c r="W1550" s="413"/>
      <c r="AE1550" s="414">
        <f t="shared" si="218"/>
        <v>0</v>
      </c>
    </row>
    <row r="1551" spans="6:31" ht="24" customHeight="1">
      <c r="H1551" s="412" t="s">
        <v>351</v>
      </c>
      <c r="K1551" s="414">
        <f>SUM(K1547:K1549)</f>
        <v>1383.47</v>
      </c>
      <c r="L1551" s="456"/>
      <c r="O1551" s="412" t="s">
        <v>2372</v>
      </c>
      <c r="Q1551" s="412"/>
      <c r="R1551" s="418" t="s">
        <v>1288</v>
      </c>
      <c r="W1551" s="413"/>
      <c r="AE1551" s="414">
        <f t="shared" si="218"/>
        <v>0</v>
      </c>
    </row>
    <row r="1552" spans="6:31" ht="24" customHeight="1">
      <c r="K1552" s="418" t="s">
        <v>1288</v>
      </c>
      <c r="L1552" s="456"/>
      <c r="Q1552" s="412"/>
      <c r="R1552" s="417">
        <f>SUM(R1547:R1551)</f>
        <v>1998</v>
      </c>
      <c r="W1552" s="413"/>
      <c r="AE1552" s="414">
        <f t="shared" si="218"/>
        <v>0</v>
      </c>
    </row>
    <row r="1553" spans="6:31" ht="24" customHeight="1">
      <c r="H1553" s="420" t="s">
        <v>447</v>
      </c>
      <c r="I1553" s="417"/>
      <c r="J1553" s="415"/>
      <c r="K1553" s="417">
        <f>(K1551/10)</f>
        <v>138.35</v>
      </c>
      <c r="L1553" s="456"/>
      <c r="W1553" s="413"/>
      <c r="AE1553" s="414">
        <f t="shared" si="218"/>
        <v>0</v>
      </c>
    </row>
    <row r="1554" spans="6:31" ht="24" customHeight="1">
      <c r="H1554" s="412"/>
      <c r="L1554" s="456"/>
      <c r="W1554" s="413"/>
      <c r="AE1554" s="414">
        <f t="shared" si="218"/>
        <v>0</v>
      </c>
    </row>
    <row r="1555" spans="6:31" ht="24" hidden="1" customHeight="1">
      <c r="H1555" s="412"/>
      <c r="L1555" s="456"/>
      <c r="W1555" s="413"/>
      <c r="AE1555" s="414">
        <f t="shared" si="218"/>
        <v>0</v>
      </c>
    </row>
    <row r="1556" spans="6:31" ht="24" customHeight="1">
      <c r="F1556" s="458">
        <v>238</v>
      </c>
      <c r="G1556" s="459" t="s">
        <v>1833</v>
      </c>
      <c r="H1556" s="460" t="s">
        <v>476</v>
      </c>
      <c r="I1556" s="459"/>
      <c r="J1556" s="460"/>
      <c r="K1556" s="459"/>
      <c r="L1556" s="456"/>
      <c r="W1556" s="413"/>
      <c r="AE1556" s="414">
        <f t="shared" si="218"/>
        <v>0</v>
      </c>
    </row>
    <row r="1557" spans="6:31" ht="24" customHeight="1">
      <c r="F1557" s="461"/>
      <c r="H1557" s="412" t="s">
        <v>1605</v>
      </c>
      <c r="L1557" s="457"/>
      <c r="W1557" s="413"/>
      <c r="AE1557" s="414">
        <f t="shared" si="218"/>
        <v>0</v>
      </c>
    </row>
    <row r="1558" spans="6:31" ht="24" customHeight="1">
      <c r="F1558" s="461"/>
      <c r="H1558" s="418" t="s">
        <v>1288</v>
      </c>
      <c r="W1558" s="413"/>
      <c r="AE1558" s="414">
        <f t="shared" si="218"/>
        <v>0</v>
      </c>
    </row>
    <row r="1559" spans="6:31" ht="24" customHeight="1">
      <c r="F1559" s="461">
        <v>20</v>
      </c>
      <c r="G1559" s="414" t="s">
        <v>1008</v>
      </c>
      <c r="H1559" s="412" t="s">
        <v>3475</v>
      </c>
      <c r="I1559" s="414">
        <f>D40</f>
        <v>116.2</v>
      </c>
      <c r="J1559" s="412" t="s">
        <v>1008</v>
      </c>
      <c r="K1559" s="414">
        <f>(F1559*I1559)</f>
        <v>2324</v>
      </c>
      <c r="W1559" s="413"/>
      <c r="AE1559" s="414">
        <f t="shared" si="218"/>
        <v>0</v>
      </c>
    </row>
    <row r="1560" spans="6:31" ht="24" customHeight="1">
      <c r="F1560" s="461"/>
      <c r="H1560" s="412" t="s">
        <v>477</v>
      </c>
      <c r="K1560" s="412" t="s">
        <v>790</v>
      </c>
      <c r="W1560" s="413"/>
      <c r="AE1560" s="414">
        <f t="shared" si="218"/>
        <v>0</v>
      </c>
    </row>
    <row r="1561" spans="6:31" ht="24" customHeight="1">
      <c r="F1561" s="461">
        <v>50</v>
      </c>
      <c r="G1561" s="414" t="s">
        <v>1341</v>
      </c>
      <c r="H1561" s="412" t="s">
        <v>695</v>
      </c>
      <c r="I1561" s="414" t="e">
        <f>C67/1000</f>
        <v>#REF!</v>
      </c>
      <c r="J1561" s="412" t="s">
        <v>1341</v>
      </c>
      <c r="K1561" s="414" t="e">
        <f>(F1561*I1561)</f>
        <v>#REF!</v>
      </c>
      <c r="W1561" s="413"/>
      <c r="AE1561" s="414">
        <f t="shared" si="218"/>
        <v>0</v>
      </c>
    </row>
    <row r="1562" spans="6:31" ht="24" customHeight="1">
      <c r="F1562" s="461">
        <v>1</v>
      </c>
      <c r="G1562" s="414" t="s">
        <v>358</v>
      </c>
      <c r="H1562" s="412" t="s">
        <v>478</v>
      </c>
      <c r="I1562" s="414">
        <v>75</v>
      </c>
      <c r="J1562" s="412" t="s">
        <v>358</v>
      </c>
      <c r="K1562" s="414">
        <f>(F1562*I1562)</f>
        <v>75</v>
      </c>
      <c r="W1562" s="413"/>
      <c r="AE1562" s="414">
        <f t="shared" si="218"/>
        <v>0</v>
      </c>
    </row>
    <row r="1563" spans="6:31" ht="24" customHeight="1">
      <c r="F1563" s="461">
        <v>1</v>
      </c>
      <c r="G1563" s="414" t="s">
        <v>358</v>
      </c>
      <c r="H1563" s="412" t="s">
        <v>479</v>
      </c>
      <c r="I1563" s="414">
        <f>C38</f>
        <v>40</v>
      </c>
      <c r="J1563" s="412" t="s">
        <v>358</v>
      </c>
      <c r="K1563" s="414">
        <f>(F1563*I1563)</f>
        <v>40</v>
      </c>
      <c r="W1563" s="413"/>
      <c r="AE1563" s="414">
        <f t="shared" si="218"/>
        <v>0</v>
      </c>
    </row>
    <row r="1564" spans="6:31" ht="24" customHeight="1">
      <c r="F1564" s="461">
        <v>2.5</v>
      </c>
      <c r="G1564" s="414" t="s">
        <v>358</v>
      </c>
      <c r="H1564" s="412" t="s">
        <v>480</v>
      </c>
      <c r="I1564" s="414">
        <f>D14</f>
        <v>772</v>
      </c>
      <c r="J1564" s="412" t="s">
        <v>358</v>
      </c>
      <c r="K1564" s="414">
        <f>(F1564*I1564)</f>
        <v>1930</v>
      </c>
      <c r="W1564" s="413"/>
      <c r="AE1564" s="414">
        <f t="shared" si="218"/>
        <v>0</v>
      </c>
    </row>
    <row r="1565" spans="6:31" ht="24" customHeight="1">
      <c r="F1565" s="461"/>
      <c r="G1565" s="414" t="s">
        <v>358</v>
      </c>
      <c r="H1565" s="412" t="s">
        <v>405</v>
      </c>
      <c r="J1565" s="412" t="s">
        <v>358</v>
      </c>
      <c r="K1565" s="423">
        <v>1.5</v>
      </c>
      <c r="W1565" s="413"/>
      <c r="AE1565" s="414">
        <f t="shared" si="218"/>
        <v>0</v>
      </c>
    </row>
    <row r="1566" spans="6:31" ht="24" customHeight="1">
      <c r="F1566" s="461"/>
      <c r="K1566" s="418" t="s">
        <v>1288</v>
      </c>
      <c r="W1566" s="413"/>
      <c r="AE1566" s="414">
        <f t="shared" si="218"/>
        <v>0</v>
      </c>
    </row>
    <row r="1567" spans="6:31" ht="24" customHeight="1">
      <c r="F1567" s="461"/>
      <c r="H1567" s="420" t="s">
        <v>481</v>
      </c>
      <c r="I1567" s="417"/>
      <c r="J1567" s="415"/>
      <c r="K1567" s="417" t="e">
        <f>SUM(K1559:K1565)</f>
        <v>#REF!</v>
      </c>
      <c r="W1567" s="413"/>
      <c r="AE1567" s="414">
        <f t="shared" si="218"/>
        <v>0</v>
      </c>
    </row>
    <row r="1568" spans="6:31" ht="24" customHeight="1">
      <c r="F1568" s="461"/>
      <c r="H1568" s="412"/>
      <c r="K1568" s="418" t="s">
        <v>1288</v>
      </c>
      <c r="W1568" s="413"/>
      <c r="AE1568" s="414">
        <f t="shared" si="218"/>
        <v>0</v>
      </c>
    </row>
    <row r="1569" spans="6:31" ht="24" customHeight="1">
      <c r="F1569" s="462"/>
      <c r="G1569" s="463"/>
      <c r="H1569" s="463"/>
      <c r="I1569" s="463"/>
      <c r="J1569" s="464"/>
      <c r="K1569" s="465"/>
      <c r="W1569" s="413"/>
      <c r="AE1569" s="414">
        <f t="shared" si="218"/>
        <v>0</v>
      </c>
    </row>
    <row r="1570" spans="6:31" ht="24" customHeight="1">
      <c r="F1570" s="466" t="s">
        <v>852</v>
      </c>
      <c r="G1570" s="459" t="s">
        <v>1833</v>
      </c>
      <c r="H1570" s="460" t="s">
        <v>446</v>
      </c>
      <c r="I1570" s="459"/>
      <c r="J1570" s="460"/>
      <c r="K1570" s="459"/>
      <c r="W1570" s="413"/>
      <c r="AE1570" s="414">
        <f t="shared" si="218"/>
        <v>0</v>
      </c>
    </row>
    <row r="1571" spans="6:31" ht="24" customHeight="1">
      <c r="F1571" s="461"/>
      <c r="H1571" s="412" t="s">
        <v>1737</v>
      </c>
      <c r="W1571" s="413"/>
      <c r="AE1571" s="414">
        <f t="shared" si="218"/>
        <v>0</v>
      </c>
    </row>
    <row r="1572" spans="6:31" ht="24" customHeight="1">
      <c r="F1572" s="461"/>
      <c r="H1572" s="418" t="s">
        <v>1288</v>
      </c>
      <c r="W1572" s="413"/>
      <c r="AE1572" s="414">
        <f t="shared" si="218"/>
        <v>0</v>
      </c>
    </row>
    <row r="1573" spans="6:31" ht="24" customHeight="1">
      <c r="F1573" s="461">
        <v>1</v>
      </c>
      <c r="G1573" s="414" t="s">
        <v>425</v>
      </c>
      <c r="H1573" s="412" t="s">
        <v>426</v>
      </c>
      <c r="I1573" s="414" t="e">
        <f>(C139)</f>
        <v>#REF!</v>
      </c>
      <c r="J1573" s="412" t="s">
        <v>427</v>
      </c>
      <c r="K1573" s="414" t="e">
        <f>(F1573*I1573)/10</f>
        <v>#REF!</v>
      </c>
      <c r="W1573" s="413"/>
      <c r="AE1573" s="414">
        <f t="shared" si="218"/>
        <v>0</v>
      </c>
    </row>
    <row r="1574" spans="6:31" ht="24" customHeight="1">
      <c r="F1574" s="467">
        <v>0.01</v>
      </c>
      <c r="G1574" s="414" t="s">
        <v>425</v>
      </c>
      <c r="H1574" s="412" t="s">
        <v>156</v>
      </c>
      <c r="I1574" s="414">
        <f>(C143)</f>
        <v>56350</v>
      </c>
      <c r="J1574" s="412" t="s">
        <v>427</v>
      </c>
      <c r="K1574" s="414">
        <f>(F1574*I1574)/10</f>
        <v>56.35</v>
      </c>
      <c r="W1574" s="413"/>
      <c r="AE1574" s="414">
        <f t="shared" si="218"/>
        <v>0</v>
      </c>
    </row>
    <row r="1575" spans="6:31" ht="24" customHeight="1">
      <c r="F1575" s="467">
        <v>3.5</v>
      </c>
      <c r="G1575" s="414" t="s">
        <v>619</v>
      </c>
      <c r="H1575" s="412" t="s">
        <v>428</v>
      </c>
      <c r="I1575" s="414">
        <f>AE38</f>
        <v>866</v>
      </c>
      <c r="J1575" s="412" t="s">
        <v>1134</v>
      </c>
      <c r="K1575" s="414">
        <f>(F1575*I1575)</f>
        <v>3031</v>
      </c>
      <c r="W1575" s="413"/>
      <c r="AE1575" s="414">
        <f t="shared" si="218"/>
        <v>0</v>
      </c>
    </row>
    <row r="1576" spans="6:31" ht="24" customHeight="1">
      <c r="F1576" s="461">
        <v>1.3</v>
      </c>
      <c r="G1576" s="414" t="s">
        <v>1341</v>
      </c>
      <c r="H1576" s="412" t="s">
        <v>429</v>
      </c>
      <c r="I1576" s="414" t="e">
        <f>C67/1000</f>
        <v>#REF!</v>
      </c>
      <c r="J1576" s="412" t="s">
        <v>1341</v>
      </c>
      <c r="K1576" s="414" t="e">
        <f>(F1576*I1576)</f>
        <v>#REF!</v>
      </c>
      <c r="W1576" s="413"/>
      <c r="AE1576" s="414">
        <f t="shared" si="218"/>
        <v>0</v>
      </c>
    </row>
    <row r="1577" spans="6:31" ht="24" customHeight="1">
      <c r="F1577" s="461">
        <v>0.25</v>
      </c>
      <c r="G1577" s="414" t="s">
        <v>619</v>
      </c>
      <c r="H1577" s="412" t="s">
        <v>430</v>
      </c>
      <c r="I1577" s="414">
        <f>D14</f>
        <v>772</v>
      </c>
      <c r="J1577" s="412" t="s">
        <v>1134</v>
      </c>
      <c r="K1577" s="414">
        <f>(F1577*I1577)</f>
        <v>193</v>
      </c>
      <c r="W1577" s="413"/>
      <c r="AE1577" s="414">
        <f t="shared" si="218"/>
        <v>0</v>
      </c>
    </row>
    <row r="1578" spans="6:31" ht="24" customHeight="1">
      <c r="F1578" s="467"/>
      <c r="G1578" s="414" t="s">
        <v>358</v>
      </c>
      <c r="H1578" s="412" t="s">
        <v>359</v>
      </c>
      <c r="J1578" s="412" t="s">
        <v>358</v>
      </c>
      <c r="K1578" s="414">
        <f>(F1578*I1578)</f>
        <v>0</v>
      </c>
      <c r="W1578" s="413"/>
      <c r="AE1578" s="414">
        <f t="shared" si="218"/>
        <v>0</v>
      </c>
    </row>
    <row r="1579" spans="6:31" ht="24" customHeight="1">
      <c r="F1579" s="467"/>
      <c r="K1579" s="418" t="s">
        <v>1288</v>
      </c>
      <c r="W1579" s="413"/>
      <c r="AE1579" s="414">
        <f t="shared" si="218"/>
        <v>0</v>
      </c>
    </row>
    <row r="1580" spans="6:31" ht="24" customHeight="1">
      <c r="F1580" s="467"/>
      <c r="H1580" s="412" t="s">
        <v>431</v>
      </c>
      <c r="K1580" s="414" t="e">
        <f>SUM(K1573:K1578)</f>
        <v>#REF!</v>
      </c>
      <c r="W1580" s="413"/>
      <c r="AE1580" s="414">
        <f t="shared" si="218"/>
        <v>0</v>
      </c>
    </row>
    <row r="1581" spans="6:31" ht="24" customHeight="1">
      <c r="F1581" s="467"/>
      <c r="K1581" s="418" t="s">
        <v>1288</v>
      </c>
      <c r="W1581" s="413"/>
      <c r="AE1581" s="414">
        <f t="shared" si="218"/>
        <v>0</v>
      </c>
    </row>
    <row r="1582" spans="6:31" ht="24" customHeight="1">
      <c r="F1582" s="468"/>
      <c r="G1582" s="463"/>
      <c r="H1582" s="469" t="s">
        <v>432</v>
      </c>
      <c r="I1582" s="470"/>
      <c r="J1582" s="471"/>
      <c r="K1582" s="470" t="e">
        <f>(K1580*10)</f>
        <v>#REF!</v>
      </c>
      <c r="W1582" s="413"/>
      <c r="AE1582" s="414">
        <f t="shared" si="218"/>
        <v>0</v>
      </c>
    </row>
    <row r="1583" spans="6:31" ht="24" customHeight="1">
      <c r="F1583" s="416"/>
      <c r="K1583" s="418"/>
      <c r="W1583" s="413"/>
      <c r="AE1583" s="414">
        <f t="shared" si="218"/>
        <v>0</v>
      </c>
    </row>
    <row r="1584" spans="6:31" ht="24" hidden="1" customHeight="1">
      <c r="F1584" s="416"/>
      <c r="K1584" s="418"/>
      <c r="W1584" s="413"/>
      <c r="AE1584" s="414">
        <f t="shared" si="218"/>
        <v>0</v>
      </c>
    </row>
    <row r="1585" spans="6:31" ht="24" customHeight="1">
      <c r="F1585" s="416"/>
      <c r="H1585" s="417" t="s">
        <v>433</v>
      </c>
      <c r="K1585" s="418"/>
      <c r="W1585" s="413"/>
      <c r="AE1585" s="414">
        <f t="shared" si="218"/>
        <v>0</v>
      </c>
    </row>
    <row r="1586" spans="6:31" ht="24" customHeight="1">
      <c r="F1586" s="414">
        <v>1</v>
      </c>
      <c r="G1586" s="414" t="s">
        <v>425</v>
      </c>
      <c r="H1586" s="412" t="s">
        <v>434</v>
      </c>
      <c r="I1586" s="414" t="e">
        <f>C138</f>
        <v>#REF!</v>
      </c>
      <c r="J1586" s="412" t="s">
        <v>427</v>
      </c>
      <c r="K1586" s="414" t="e">
        <f>(F1586*I1586)/10</f>
        <v>#REF!</v>
      </c>
      <c r="W1586" s="413"/>
      <c r="AE1586" s="414">
        <f t="shared" si="218"/>
        <v>0</v>
      </c>
    </row>
    <row r="1587" spans="6:31" ht="24" customHeight="1">
      <c r="F1587" s="416">
        <v>0.01</v>
      </c>
      <c r="G1587" s="414" t="s">
        <v>425</v>
      </c>
      <c r="H1587" s="412" t="s">
        <v>156</v>
      </c>
      <c r="I1587" s="414">
        <f>C143</f>
        <v>56350</v>
      </c>
      <c r="J1587" s="412" t="s">
        <v>427</v>
      </c>
      <c r="K1587" s="414">
        <f>(F1587*I1587)/10</f>
        <v>56.35</v>
      </c>
      <c r="W1587" s="413"/>
      <c r="AE1587" s="414">
        <f t="shared" si="218"/>
        <v>0</v>
      </c>
    </row>
    <row r="1588" spans="6:31" ht="24" customHeight="1">
      <c r="F1588" s="416">
        <v>3.5</v>
      </c>
      <c r="G1588" s="414" t="s">
        <v>619</v>
      </c>
      <c r="H1588" s="412" t="s">
        <v>428</v>
      </c>
      <c r="I1588" s="414">
        <f>I1575</f>
        <v>866</v>
      </c>
      <c r="J1588" s="412" t="s">
        <v>1134</v>
      </c>
      <c r="K1588" s="414">
        <f>(F1588*I1588)</f>
        <v>3031</v>
      </c>
      <c r="W1588" s="413"/>
      <c r="AE1588" s="414">
        <f t="shared" si="218"/>
        <v>0</v>
      </c>
    </row>
    <row r="1589" spans="6:31" ht="24" customHeight="1">
      <c r="F1589" s="414">
        <v>1.3</v>
      </c>
      <c r="G1589" s="414" t="s">
        <v>1341</v>
      </c>
      <c r="H1589" s="412" t="s">
        <v>429</v>
      </c>
      <c r="I1589" s="414" t="e">
        <f>C67/1000</f>
        <v>#REF!</v>
      </c>
      <c r="J1589" s="412" t="s">
        <v>1341</v>
      </c>
      <c r="K1589" s="414" t="e">
        <f>(F1589*I1589)</f>
        <v>#REF!</v>
      </c>
      <c r="W1589" s="413"/>
      <c r="AE1589" s="414">
        <f t="shared" si="218"/>
        <v>0</v>
      </c>
    </row>
    <row r="1590" spans="6:31" ht="24" customHeight="1">
      <c r="F1590" s="414">
        <v>0.25</v>
      </c>
      <c r="G1590" s="414" t="s">
        <v>619</v>
      </c>
      <c r="H1590" s="412" t="s">
        <v>430</v>
      </c>
      <c r="I1590" s="414">
        <f>D14</f>
        <v>772</v>
      </c>
      <c r="J1590" s="412" t="s">
        <v>1134</v>
      </c>
      <c r="K1590" s="414">
        <f>(F1590*I1590)</f>
        <v>193</v>
      </c>
      <c r="W1590" s="413"/>
      <c r="AE1590" s="414">
        <f t="shared" si="218"/>
        <v>0</v>
      </c>
    </row>
    <row r="1591" spans="6:31" ht="24" customHeight="1">
      <c r="F1591" s="416"/>
      <c r="G1591" s="414" t="s">
        <v>358</v>
      </c>
      <c r="H1591" s="412" t="s">
        <v>359</v>
      </c>
      <c r="J1591" s="412" t="s">
        <v>358</v>
      </c>
      <c r="K1591" s="414">
        <f>(F1591*I1591)</f>
        <v>0</v>
      </c>
      <c r="W1591" s="413"/>
      <c r="AE1591" s="414">
        <f t="shared" si="218"/>
        <v>0</v>
      </c>
    </row>
    <row r="1592" spans="6:31" ht="24" customHeight="1">
      <c r="F1592" s="416"/>
      <c r="K1592" s="418" t="s">
        <v>1288</v>
      </c>
      <c r="W1592" s="413"/>
      <c r="AE1592" s="414">
        <f t="shared" si="218"/>
        <v>0</v>
      </c>
    </row>
    <row r="1593" spans="6:31" ht="24" customHeight="1">
      <c r="F1593" s="416"/>
      <c r="H1593" s="412" t="s">
        <v>431</v>
      </c>
      <c r="K1593" s="414" t="e">
        <f>SUM(K1586:K1591)</f>
        <v>#REF!</v>
      </c>
      <c r="W1593" s="413"/>
      <c r="AE1593" s="414">
        <f t="shared" si="218"/>
        <v>0</v>
      </c>
    </row>
    <row r="1594" spans="6:31" ht="24" customHeight="1">
      <c r="F1594" s="416"/>
      <c r="K1594" s="418" t="s">
        <v>1288</v>
      </c>
      <c r="W1594" s="413"/>
      <c r="AE1594" s="414">
        <f t="shared" si="218"/>
        <v>0</v>
      </c>
    </row>
    <row r="1595" spans="6:31" ht="24" customHeight="1">
      <c r="F1595" s="416" t="s">
        <v>790</v>
      </c>
      <c r="H1595" s="420" t="s">
        <v>432</v>
      </c>
      <c r="I1595" s="417"/>
      <c r="J1595" s="415"/>
      <c r="K1595" s="417" t="e">
        <f>(K1593*10)</f>
        <v>#REF!</v>
      </c>
      <c r="W1595" s="413"/>
      <c r="AE1595" s="414">
        <f t="shared" si="218"/>
        <v>0</v>
      </c>
    </row>
    <row r="1596" spans="6:31" ht="24" customHeight="1">
      <c r="F1596" s="416"/>
      <c r="K1596" s="418" t="s">
        <v>1676</v>
      </c>
      <c r="W1596" s="413"/>
      <c r="AE1596" s="414">
        <f t="shared" si="218"/>
        <v>0</v>
      </c>
    </row>
    <row r="1597" spans="6:31" ht="24" customHeight="1">
      <c r="F1597" s="416"/>
      <c r="H1597" s="412" t="s">
        <v>790</v>
      </c>
      <c r="K1597" s="412" t="s">
        <v>790</v>
      </c>
      <c r="W1597" s="413"/>
      <c r="AE1597" s="414">
        <f t="shared" si="218"/>
        <v>0</v>
      </c>
    </row>
    <row r="1598" spans="6:31" ht="24" customHeight="1">
      <c r="F1598" s="432" t="s">
        <v>435</v>
      </c>
      <c r="G1598" s="414" t="s">
        <v>1552</v>
      </c>
      <c r="H1598" s="412" t="s">
        <v>446</v>
      </c>
      <c r="O1598" s="417" t="s">
        <v>2341</v>
      </c>
      <c r="W1598" s="413"/>
      <c r="AE1598" s="414">
        <f t="shared" ref="AE1598:AE1661" si="220">AG1598</f>
        <v>0</v>
      </c>
    </row>
    <row r="1599" spans="6:31" ht="24" customHeight="1">
      <c r="F1599" s="416"/>
      <c r="H1599" s="412" t="s">
        <v>436</v>
      </c>
      <c r="M1599" s="432" t="s">
        <v>435</v>
      </c>
      <c r="N1599" s="414" t="s">
        <v>1552</v>
      </c>
      <c r="O1599" s="412" t="s">
        <v>446</v>
      </c>
      <c r="Q1599" s="412"/>
      <c r="W1599" s="413"/>
      <c r="AE1599" s="414">
        <f t="shared" si="220"/>
        <v>0</v>
      </c>
    </row>
    <row r="1600" spans="6:31" ht="24" customHeight="1">
      <c r="F1600" s="416"/>
      <c r="H1600" s="418" t="s">
        <v>1288</v>
      </c>
      <c r="M1600" s="416"/>
      <c r="O1600" s="412" t="s">
        <v>436</v>
      </c>
      <c r="Q1600" s="412"/>
      <c r="W1600" s="413"/>
      <c r="AE1600" s="414">
        <f t="shared" si="220"/>
        <v>0</v>
      </c>
    </row>
    <row r="1601" spans="6:31" ht="24" customHeight="1">
      <c r="F1601" s="414">
        <v>1</v>
      </c>
      <c r="G1601" s="414" t="s">
        <v>425</v>
      </c>
      <c r="H1601" s="412" t="s">
        <v>426</v>
      </c>
      <c r="I1601" s="414" t="e">
        <f>(C139)</f>
        <v>#REF!</v>
      </c>
      <c r="J1601" s="412" t="s">
        <v>427</v>
      </c>
      <c r="K1601" s="414" t="e">
        <f>(F1601*I1601)/10</f>
        <v>#REF!</v>
      </c>
      <c r="L1601" s="414">
        <f>K1626+K1630</f>
        <v>393.72</v>
      </c>
      <c r="M1601" s="416"/>
      <c r="O1601" s="418" t="s">
        <v>1288</v>
      </c>
      <c r="Q1601" s="412"/>
      <c r="W1601" s="413"/>
      <c r="AE1601" s="414">
        <f t="shared" si="220"/>
        <v>0</v>
      </c>
    </row>
    <row r="1602" spans="6:31" ht="24" customHeight="1">
      <c r="F1602" s="416">
        <v>0.01</v>
      </c>
      <c r="G1602" s="414" t="s">
        <v>425</v>
      </c>
      <c r="H1602" s="412" t="s">
        <v>156</v>
      </c>
      <c r="I1602" s="414">
        <f>I1587</f>
        <v>56350</v>
      </c>
      <c r="J1602" s="412" t="s">
        <v>427</v>
      </c>
      <c r="K1602" s="414">
        <f>(F1602*I1602)/10</f>
        <v>56.35</v>
      </c>
      <c r="L1602" s="414">
        <f>L1601/3</f>
        <v>131.24</v>
      </c>
      <c r="M1602" s="414">
        <v>1</v>
      </c>
      <c r="N1602" s="414" t="s">
        <v>425</v>
      </c>
      <c r="O1602" s="412" t="s">
        <v>426</v>
      </c>
      <c r="P1602" s="414" t="e">
        <f>I1601</f>
        <v>#REF!</v>
      </c>
      <c r="Q1602" s="412" t="s">
        <v>427</v>
      </c>
      <c r="R1602" s="414" t="e">
        <f>(M1602*P1602)/10</f>
        <v>#REF!</v>
      </c>
      <c r="W1602" s="413"/>
      <c r="AE1602" s="414">
        <f t="shared" si="220"/>
        <v>0</v>
      </c>
    </row>
    <row r="1603" spans="6:31" ht="24" customHeight="1">
      <c r="F1603" s="416">
        <v>3.5</v>
      </c>
      <c r="G1603" s="414" t="s">
        <v>619</v>
      </c>
      <c r="H1603" s="412" t="s">
        <v>428</v>
      </c>
      <c r="I1603" s="414">
        <f>AE38</f>
        <v>866</v>
      </c>
      <c r="J1603" s="412" t="s">
        <v>619</v>
      </c>
      <c r="K1603" s="414">
        <f>(F1603*I1603)</f>
        <v>3031</v>
      </c>
      <c r="M1603" s="416">
        <v>0.01</v>
      </c>
      <c r="N1603" s="414" t="s">
        <v>425</v>
      </c>
      <c r="O1603" s="415" t="s">
        <v>2439</v>
      </c>
      <c r="P1603" s="417">
        <f>80000/112*100</f>
        <v>71428.570000000007</v>
      </c>
      <c r="Q1603" s="412" t="s">
        <v>427</v>
      </c>
      <c r="R1603" s="414">
        <f>(M1603*P1603)/10</f>
        <v>71.430000000000007</v>
      </c>
      <c r="W1603" s="413"/>
      <c r="AE1603" s="414">
        <f t="shared" si="220"/>
        <v>0</v>
      </c>
    </row>
    <row r="1604" spans="6:31" ht="24" customHeight="1">
      <c r="F1604" s="416"/>
      <c r="G1604" s="414" t="s">
        <v>358</v>
      </c>
      <c r="H1604" s="412" t="s">
        <v>359</v>
      </c>
      <c r="J1604" s="412" t="s">
        <v>358</v>
      </c>
      <c r="K1604" s="414">
        <v>0</v>
      </c>
      <c r="M1604" s="416">
        <v>3.5</v>
      </c>
      <c r="N1604" s="414" t="s">
        <v>619</v>
      </c>
      <c r="O1604" s="412" t="s">
        <v>428</v>
      </c>
      <c r="P1604" s="414">
        <f>I1603</f>
        <v>866</v>
      </c>
      <c r="Q1604" s="412" t="s">
        <v>619</v>
      </c>
      <c r="R1604" s="414">
        <f>(M1604*P1604)</f>
        <v>3031</v>
      </c>
      <c r="W1604" s="413"/>
      <c r="AE1604" s="414">
        <f t="shared" si="220"/>
        <v>0</v>
      </c>
    </row>
    <row r="1605" spans="6:31" ht="24" customHeight="1">
      <c r="K1605" s="418" t="s">
        <v>1288</v>
      </c>
      <c r="M1605" s="416"/>
      <c r="N1605" s="414" t="s">
        <v>358</v>
      </c>
      <c r="O1605" s="412" t="s">
        <v>359</v>
      </c>
      <c r="Q1605" s="412" t="s">
        <v>358</v>
      </c>
      <c r="R1605" s="414">
        <v>0</v>
      </c>
      <c r="W1605" s="413"/>
      <c r="AE1605" s="414">
        <f t="shared" si="220"/>
        <v>0</v>
      </c>
    </row>
    <row r="1606" spans="6:31" ht="24" customHeight="1">
      <c r="H1606" s="412" t="s">
        <v>431</v>
      </c>
      <c r="K1606" s="414" t="e">
        <f>SUM(K1601:K1604)</f>
        <v>#REF!</v>
      </c>
      <c r="Q1606" s="412"/>
      <c r="R1606" s="418" t="s">
        <v>1288</v>
      </c>
      <c r="W1606" s="413"/>
      <c r="AE1606" s="414">
        <f t="shared" si="220"/>
        <v>0</v>
      </c>
    </row>
    <row r="1607" spans="6:31" ht="24" customHeight="1">
      <c r="K1607" s="418" t="s">
        <v>1288</v>
      </c>
      <c r="O1607" s="412" t="s">
        <v>431</v>
      </c>
      <c r="Q1607" s="412"/>
      <c r="R1607" s="414" t="e">
        <f>SUM(R1602:R1605)</f>
        <v>#REF!</v>
      </c>
      <c r="W1607" s="413"/>
      <c r="AE1607" s="414">
        <f t="shared" si="220"/>
        <v>0</v>
      </c>
    </row>
    <row r="1608" spans="6:31" ht="24" customHeight="1">
      <c r="H1608" s="420" t="s">
        <v>432</v>
      </c>
      <c r="I1608" s="417"/>
      <c r="J1608" s="415"/>
      <c r="K1608" s="417" t="e">
        <f>(K1606*10)</f>
        <v>#REF!</v>
      </c>
      <c r="Q1608" s="412"/>
      <c r="R1608" s="418" t="s">
        <v>1288</v>
      </c>
      <c r="W1608" s="413"/>
      <c r="AE1608" s="414">
        <f t="shared" si="220"/>
        <v>0</v>
      </c>
    </row>
    <row r="1609" spans="6:31" ht="24" customHeight="1">
      <c r="H1609" s="412" t="s">
        <v>790</v>
      </c>
      <c r="K1609" s="412" t="s">
        <v>790</v>
      </c>
      <c r="O1609" s="420" t="s">
        <v>432</v>
      </c>
      <c r="P1609" s="417"/>
      <c r="Q1609" s="415"/>
      <c r="R1609" s="417" t="e">
        <f>(R1607*10)</f>
        <v>#REF!</v>
      </c>
      <c r="W1609" s="413"/>
      <c r="AE1609" s="414">
        <f t="shared" si="220"/>
        <v>0</v>
      </c>
    </row>
    <row r="1610" spans="6:31" ht="24" customHeight="1">
      <c r="G1610" s="414" t="s">
        <v>419</v>
      </c>
      <c r="H1610" s="412" t="s">
        <v>446</v>
      </c>
      <c r="K1610" s="412"/>
      <c r="W1610" s="413"/>
      <c r="AE1610" s="414">
        <f t="shared" si="220"/>
        <v>0</v>
      </c>
    </row>
    <row r="1611" spans="6:31" ht="24" customHeight="1">
      <c r="H1611" s="412" t="s">
        <v>1297</v>
      </c>
      <c r="K1611" s="412"/>
      <c r="N1611" s="414" t="s">
        <v>419</v>
      </c>
      <c r="O1611" s="412" t="s">
        <v>446</v>
      </c>
      <c r="Q1611" s="412"/>
      <c r="R1611" s="412"/>
      <c r="W1611" s="413"/>
      <c r="AE1611" s="414">
        <f t="shared" si="220"/>
        <v>0</v>
      </c>
    </row>
    <row r="1612" spans="6:31" ht="24" customHeight="1">
      <c r="F1612" s="416"/>
      <c r="H1612" s="418" t="s">
        <v>1288</v>
      </c>
      <c r="K1612" s="412"/>
      <c r="O1612" s="412" t="s">
        <v>1297</v>
      </c>
      <c r="Q1612" s="412"/>
      <c r="R1612" s="412"/>
      <c r="W1612" s="413"/>
      <c r="AE1612" s="414">
        <f t="shared" si="220"/>
        <v>0</v>
      </c>
    </row>
    <row r="1613" spans="6:31" ht="24" customHeight="1">
      <c r="F1613" s="414">
        <v>1</v>
      </c>
      <c r="G1613" s="414" t="s">
        <v>425</v>
      </c>
      <c r="H1613" s="412" t="s">
        <v>434</v>
      </c>
      <c r="I1613" s="414" t="e">
        <f>C138</f>
        <v>#REF!</v>
      </c>
      <c r="J1613" s="412" t="s">
        <v>427</v>
      </c>
      <c r="K1613" s="414" t="e">
        <f>(F1613*I1613)/10</f>
        <v>#REF!</v>
      </c>
      <c r="M1613" s="416"/>
      <c r="O1613" s="418" t="s">
        <v>1288</v>
      </c>
      <c r="Q1613" s="412"/>
      <c r="R1613" s="412"/>
      <c r="W1613" s="413"/>
      <c r="AE1613" s="414">
        <f t="shared" si="220"/>
        <v>0</v>
      </c>
    </row>
    <row r="1614" spans="6:31" ht="24" customHeight="1">
      <c r="F1614" s="416">
        <v>0.01</v>
      </c>
      <c r="G1614" s="414" t="s">
        <v>425</v>
      </c>
      <c r="H1614" s="412" t="s">
        <v>156</v>
      </c>
      <c r="I1614" s="414">
        <f>C143</f>
        <v>56350</v>
      </c>
      <c r="J1614" s="412" t="s">
        <v>427</v>
      </c>
      <c r="K1614" s="414">
        <f>(F1614*I1614)/10</f>
        <v>56.35</v>
      </c>
      <c r="M1614" s="414">
        <v>1</v>
      </c>
      <c r="N1614" s="414" t="s">
        <v>425</v>
      </c>
      <c r="O1614" s="412" t="s">
        <v>434</v>
      </c>
      <c r="P1614" s="414" t="e">
        <f>I1613</f>
        <v>#REF!</v>
      </c>
      <c r="Q1614" s="412" t="s">
        <v>427</v>
      </c>
      <c r="R1614" s="414" t="e">
        <f>(M1614*P1614)/10</f>
        <v>#REF!</v>
      </c>
      <c r="W1614" s="413"/>
      <c r="AE1614" s="414">
        <f t="shared" si="220"/>
        <v>0</v>
      </c>
    </row>
    <row r="1615" spans="6:31" ht="24" customHeight="1">
      <c r="F1615" s="416">
        <v>3.5</v>
      </c>
      <c r="G1615" s="414" t="s">
        <v>619</v>
      </c>
      <c r="H1615" s="412" t="s">
        <v>428</v>
      </c>
      <c r="I1615" s="414">
        <f>I1603</f>
        <v>866</v>
      </c>
      <c r="J1615" s="412" t="s">
        <v>619</v>
      </c>
      <c r="K1615" s="414">
        <f>(F1615*I1615)</f>
        <v>3031</v>
      </c>
      <c r="M1615" s="416">
        <v>0.01</v>
      </c>
      <c r="N1615" s="414" t="s">
        <v>425</v>
      </c>
      <c r="O1615" s="415" t="str">
        <f>O1603</f>
        <v>BINDING WIRE insulated with PVC as per circular</v>
      </c>
      <c r="P1615" s="414">
        <f>P1603</f>
        <v>71428.570000000007</v>
      </c>
      <c r="Q1615" s="412" t="s">
        <v>427</v>
      </c>
      <c r="R1615" s="414">
        <f>(M1615*P1615)/10</f>
        <v>71.430000000000007</v>
      </c>
      <c r="W1615" s="413"/>
      <c r="AE1615" s="414">
        <f t="shared" si="220"/>
        <v>0</v>
      </c>
    </row>
    <row r="1616" spans="6:31" ht="24" customHeight="1">
      <c r="F1616" s="416"/>
      <c r="G1616" s="414" t="s">
        <v>358</v>
      </c>
      <c r="H1616" s="412" t="s">
        <v>359</v>
      </c>
      <c r="J1616" s="412" t="s">
        <v>358</v>
      </c>
      <c r="K1616" s="414">
        <v>0</v>
      </c>
      <c r="M1616" s="416">
        <v>3.5</v>
      </c>
      <c r="N1616" s="414" t="s">
        <v>425</v>
      </c>
      <c r="O1616" s="412" t="s">
        <v>428</v>
      </c>
      <c r="P1616" s="414">
        <f>I1615</f>
        <v>866</v>
      </c>
      <c r="Q1616" s="412" t="s">
        <v>619</v>
      </c>
      <c r="R1616" s="414">
        <f>(M1616*P1616)</f>
        <v>3031</v>
      </c>
      <c r="W1616" s="413"/>
      <c r="AE1616" s="414">
        <f t="shared" si="220"/>
        <v>0</v>
      </c>
    </row>
    <row r="1617" spans="6:31" ht="24" customHeight="1">
      <c r="K1617" s="418" t="s">
        <v>1288</v>
      </c>
      <c r="M1617" s="416"/>
      <c r="N1617" s="414" t="s">
        <v>425</v>
      </c>
      <c r="O1617" s="412" t="s">
        <v>359</v>
      </c>
      <c r="Q1617" s="412" t="s">
        <v>358</v>
      </c>
      <c r="R1617" s="414">
        <v>0</v>
      </c>
      <c r="W1617" s="413"/>
      <c r="AE1617" s="414">
        <f t="shared" si="220"/>
        <v>0</v>
      </c>
    </row>
    <row r="1618" spans="6:31" ht="24" customHeight="1">
      <c r="H1618" s="412" t="s">
        <v>431</v>
      </c>
      <c r="K1618" s="414" t="e">
        <f>SUM(K1613:K1616)</f>
        <v>#REF!</v>
      </c>
      <c r="Q1618" s="412"/>
      <c r="R1618" s="418" t="s">
        <v>1288</v>
      </c>
      <c r="W1618" s="413"/>
      <c r="AE1618" s="414">
        <f t="shared" si="220"/>
        <v>0</v>
      </c>
    </row>
    <row r="1619" spans="6:31" ht="24" customHeight="1">
      <c r="K1619" s="418" t="s">
        <v>1288</v>
      </c>
      <c r="O1619" s="412" t="s">
        <v>431</v>
      </c>
      <c r="Q1619" s="412"/>
      <c r="R1619" s="414" t="e">
        <f>SUM(R1614:R1617)</f>
        <v>#REF!</v>
      </c>
      <c r="W1619" s="413"/>
      <c r="AE1619" s="414">
        <f t="shared" si="220"/>
        <v>0</v>
      </c>
    </row>
    <row r="1620" spans="6:31" ht="24" customHeight="1">
      <c r="H1620" s="420" t="s">
        <v>432</v>
      </c>
      <c r="I1620" s="417"/>
      <c r="J1620" s="415"/>
      <c r="K1620" s="417" t="e">
        <f>(K1618*10)</f>
        <v>#REF!</v>
      </c>
      <c r="Q1620" s="412"/>
      <c r="R1620" s="418" t="s">
        <v>1288</v>
      </c>
      <c r="W1620" s="413"/>
      <c r="AE1620" s="414">
        <f t="shared" si="220"/>
        <v>0</v>
      </c>
    </row>
    <row r="1621" spans="6:31" ht="24" customHeight="1">
      <c r="H1621" s="412" t="s">
        <v>790</v>
      </c>
      <c r="O1621" s="420" t="s">
        <v>432</v>
      </c>
      <c r="P1621" s="417"/>
      <c r="Q1621" s="415"/>
      <c r="R1621" s="417" t="e">
        <f>(R1619*10)</f>
        <v>#REF!</v>
      </c>
      <c r="W1621" s="413"/>
      <c r="AE1621" s="414">
        <f t="shared" si="220"/>
        <v>0</v>
      </c>
    </row>
    <row r="1622" spans="6:31" ht="24" customHeight="1">
      <c r="F1622" s="427">
        <v>44.1</v>
      </c>
      <c r="G1622" s="414" t="s">
        <v>1833</v>
      </c>
      <c r="H1622" s="412" t="s">
        <v>1298</v>
      </c>
      <c r="W1622" s="413"/>
      <c r="AE1622" s="414">
        <f t="shared" si="220"/>
        <v>0</v>
      </c>
    </row>
    <row r="1623" spans="6:31" ht="24" customHeight="1">
      <c r="H1623" s="412" t="s">
        <v>1299</v>
      </c>
      <c r="R1623" s="414" t="s">
        <v>193</v>
      </c>
      <c r="W1623" s="413"/>
      <c r="AE1623" s="414">
        <f t="shared" si="220"/>
        <v>0</v>
      </c>
    </row>
    <row r="1624" spans="6:31" ht="24" customHeight="1">
      <c r="H1624" s="412" t="s">
        <v>4340</v>
      </c>
      <c r="M1624" s="427">
        <v>44.1</v>
      </c>
      <c r="N1624" s="414" t="s">
        <v>1833</v>
      </c>
      <c r="O1624" s="412" t="s">
        <v>1298</v>
      </c>
      <c r="W1624" s="413"/>
      <c r="AE1624" s="414">
        <f t="shared" si="220"/>
        <v>0</v>
      </c>
    </row>
    <row r="1625" spans="6:31" ht="24" customHeight="1">
      <c r="H1625" s="418" t="s">
        <v>1288</v>
      </c>
      <c r="O1625" s="412" t="s">
        <v>1299</v>
      </c>
      <c r="W1625" s="413"/>
      <c r="AE1625" s="414">
        <f t="shared" si="220"/>
        <v>0</v>
      </c>
    </row>
    <row r="1626" spans="6:31" ht="24" customHeight="1">
      <c r="F1626" s="414">
        <v>3</v>
      </c>
      <c r="G1626" s="414" t="s">
        <v>1443</v>
      </c>
      <c r="H1626" s="412" t="s">
        <v>1670</v>
      </c>
      <c r="I1626" s="414">
        <f>D620</f>
        <v>120.54</v>
      </c>
      <c r="J1626" s="412" t="s">
        <v>1443</v>
      </c>
      <c r="K1626" s="414">
        <f t="shared" ref="K1626:K1631" si="221">(F1626*I1626)</f>
        <v>361.62</v>
      </c>
      <c r="O1626" s="412" t="s">
        <v>4340</v>
      </c>
      <c r="W1626" s="413"/>
      <c r="AE1626" s="414">
        <f t="shared" si="220"/>
        <v>0</v>
      </c>
    </row>
    <row r="1627" spans="6:31" ht="24" customHeight="1">
      <c r="F1627" s="414">
        <v>1</v>
      </c>
      <c r="G1627" s="414" t="s">
        <v>701</v>
      </c>
      <c r="H1627" s="412" t="s">
        <v>1707</v>
      </c>
      <c r="I1627" s="414">
        <f>(C623)</f>
        <v>76</v>
      </c>
      <c r="J1627" s="412" t="s">
        <v>701</v>
      </c>
      <c r="K1627" s="414">
        <f t="shared" si="221"/>
        <v>76</v>
      </c>
      <c r="O1627" s="418" t="s">
        <v>1288</v>
      </c>
      <c r="W1627" s="413"/>
      <c r="AE1627" s="414">
        <f t="shared" si="220"/>
        <v>0</v>
      </c>
    </row>
    <row r="1628" spans="6:31" ht="24" customHeight="1">
      <c r="F1628" s="414">
        <v>1</v>
      </c>
      <c r="G1628" s="414" t="s">
        <v>701</v>
      </c>
      <c r="H1628" s="412" t="s">
        <v>1708</v>
      </c>
      <c r="I1628" s="414">
        <f>(C626)</f>
        <v>83.4</v>
      </c>
      <c r="J1628" s="412" t="s">
        <v>701</v>
      </c>
      <c r="K1628" s="414">
        <f t="shared" si="221"/>
        <v>83.4</v>
      </c>
      <c r="M1628" s="414">
        <v>3</v>
      </c>
      <c r="N1628" s="414" t="s">
        <v>1443</v>
      </c>
      <c r="O1628" s="412" t="s">
        <v>1670</v>
      </c>
      <c r="P1628" s="414">
        <f>I1626</f>
        <v>120.54</v>
      </c>
      <c r="Q1628" s="414" t="str">
        <f>J1628</f>
        <v>NO.</v>
      </c>
      <c r="R1628" s="414">
        <f t="shared" ref="R1628:R1633" si="222">P1628*M1628</f>
        <v>361.62</v>
      </c>
      <c r="W1628" s="413"/>
      <c r="AE1628" s="414">
        <f t="shared" si="220"/>
        <v>0</v>
      </c>
    </row>
    <row r="1629" spans="6:31" ht="24" customHeight="1">
      <c r="F1629" s="414">
        <v>2</v>
      </c>
      <c r="G1629" s="414" t="s">
        <v>701</v>
      </c>
      <c r="H1629" s="412" t="s">
        <v>1709</v>
      </c>
      <c r="I1629" s="414">
        <f>C597</f>
        <v>21.6</v>
      </c>
      <c r="J1629" s="412" t="s">
        <v>701</v>
      </c>
      <c r="K1629" s="414">
        <f t="shared" si="221"/>
        <v>43.2</v>
      </c>
      <c r="M1629" s="414">
        <v>1</v>
      </c>
      <c r="N1629" s="414" t="s">
        <v>701</v>
      </c>
      <c r="O1629" s="412" t="s">
        <v>1707</v>
      </c>
      <c r="P1629" s="414">
        <v>76.78</v>
      </c>
      <c r="Q1629" s="414" t="str">
        <f>J1629</f>
        <v>NO.</v>
      </c>
      <c r="R1629" s="414">
        <f t="shared" si="222"/>
        <v>76.78</v>
      </c>
      <c r="W1629" s="413"/>
      <c r="AE1629" s="414">
        <f t="shared" si="220"/>
        <v>0</v>
      </c>
    </row>
    <row r="1630" spans="6:31" ht="24" customHeight="1">
      <c r="F1630" s="414">
        <v>1</v>
      </c>
      <c r="G1630" s="414" t="s">
        <v>701</v>
      </c>
      <c r="H1630" s="412" t="s">
        <v>1710</v>
      </c>
      <c r="I1630" s="414">
        <f>(C696)</f>
        <v>32.1</v>
      </c>
      <c r="J1630" s="412" t="s">
        <v>701</v>
      </c>
      <c r="K1630" s="414">
        <f t="shared" si="221"/>
        <v>32.1</v>
      </c>
      <c r="M1630" s="414">
        <v>1</v>
      </c>
      <c r="N1630" s="414" t="s">
        <v>701</v>
      </c>
      <c r="O1630" s="412" t="s">
        <v>1708</v>
      </c>
      <c r="P1630" s="414">
        <f>I1628</f>
        <v>83.4</v>
      </c>
      <c r="Q1630" s="414" t="str">
        <f>J1630</f>
        <v>NO.</v>
      </c>
      <c r="R1630" s="414">
        <f t="shared" si="222"/>
        <v>83.4</v>
      </c>
      <c r="W1630" s="413"/>
      <c r="AE1630" s="414">
        <f t="shared" si="220"/>
        <v>0</v>
      </c>
    </row>
    <row r="1631" spans="6:31" ht="24" customHeight="1">
      <c r="F1631" s="414">
        <v>0.5</v>
      </c>
      <c r="G1631" s="414" t="s">
        <v>701</v>
      </c>
      <c r="H1631" s="412" t="s">
        <v>1711</v>
      </c>
      <c r="I1631" s="414">
        <f>(C15)</f>
        <v>866</v>
      </c>
      <c r="J1631" s="412" t="s">
        <v>701</v>
      </c>
      <c r="K1631" s="414">
        <f t="shared" si="221"/>
        <v>433</v>
      </c>
      <c r="M1631" s="417">
        <v>2</v>
      </c>
      <c r="N1631" s="417" t="s">
        <v>838</v>
      </c>
      <c r="O1631" s="415" t="s">
        <v>2566</v>
      </c>
      <c r="P1631" s="414">
        <v>12</v>
      </c>
      <c r="Q1631" s="414" t="str">
        <f>J1631</f>
        <v>NO.</v>
      </c>
      <c r="R1631" s="414">
        <f t="shared" si="222"/>
        <v>24</v>
      </c>
      <c r="W1631" s="413"/>
      <c r="AE1631" s="414">
        <f t="shared" si="220"/>
        <v>0</v>
      </c>
    </row>
    <row r="1632" spans="6:31" ht="24" customHeight="1">
      <c r="G1632" s="414" t="s">
        <v>358</v>
      </c>
      <c r="H1632" s="412" t="s">
        <v>486</v>
      </c>
      <c r="J1632" s="412" t="s">
        <v>358</v>
      </c>
      <c r="M1632" s="414">
        <v>1</v>
      </c>
      <c r="N1632" s="414" t="s">
        <v>838</v>
      </c>
      <c r="O1632" s="412" t="s">
        <v>1710</v>
      </c>
      <c r="P1632" s="414">
        <f>I1630</f>
        <v>32.1</v>
      </c>
      <c r="Q1632" s="414" t="str">
        <f>J1632</f>
        <v>L.S</v>
      </c>
      <c r="R1632" s="414">
        <f t="shared" si="222"/>
        <v>32.1</v>
      </c>
      <c r="W1632" s="413"/>
      <c r="AE1632" s="414">
        <f t="shared" si="220"/>
        <v>0</v>
      </c>
    </row>
    <row r="1633" spans="6:31" ht="24" customHeight="1">
      <c r="H1633" s="412" t="s">
        <v>15</v>
      </c>
      <c r="M1633" s="414">
        <v>0.5</v>
      </c>
      <c r="N1633" s="414" t="s">
        <v>838</v>
      </c>
      <c r="O1633" s="412" t="s">
        <v>1711</v>
      </c>
      <c r="P1633" s="414">
        <f>I1631</f>
        <v>866</v>
      </c>
      <c r="R1633" s="414">
        <f t="shared" si="222"/>
        <v>433</v>
      </c>
      <c r="W1633" s="413"/>
      <c r="AE1633" s="414">
        <f t="shared" si="220"/>
        <v>0</v>
      </c>
    </row>
    <row r="1634" spans="6:31" ht="24" customHeight="1">
      <c r="K1634" s="418" t="s">
        <v>1288</v>
      </c>
      <c r="N1634" s="414" t="s">
        <v>838</v>
      </c>
      <c r="O1634" s="412" t="s">
        <v>486</v>
      </c>
      <c r="P1634" s="414">
        <f>I1634</f>
        <v>0</v>
      </c>
      <c r="W1634" s="413"/>
      <c r="AE1634" s="414">
        <f t="shared" si="220"/>
        <v>0</v>
      </c>
    </row>
    <row r="1635" spans="6:31" ht="24" customHeight="1">
      <c r="H1635" s="412" t="s">
        <v>1072</v>
      </c>
      <c r="K1635" s="414">
        <f>SUM(K1626:K1632)</f>
        <v>1029.32</v>
      </c>
      <c r="O1635" s="412" t="s">
        <v>15</v>
      </c>
      <c r="R1635" s="414">
        <f>26.98+4.7</f>
        <v>31.68</v>
      </c>
      <c r="W1635" s="413"/>
      <c r="AE1635" s="414">
        <f t="shared" si="220"/>
        <v>0</v>
      </c>
    </row>
    <row r="1636" spans="6:31" ht="24" hidden="1" customHeight="1">
      <c r="F1636" s="412" t="s">
        <v>790</v>
      </c>
      <c r="W1636" s="413"/>
      <c r="AE1636" s="414">
        <f t="shared" si="220"/>
        <v>0</v>
      </c>
    </row>
    <row r="1637" spans="6:31" ht="24" customHeight="1">
      <c r="K1637" s="418" t="s">
        <v>1288</v>
      </c>
      <c r="O1637" s="412" t="s">
        <v>1072</v>
      </c>
      <c r="R1637" s="417">
        <f>SUM(R1628:R1636)</f>
        <v>1042.58</v>
      </c>
      <c r="W1637" s="413"/>
      <c r="AE1637" s="414">
        <f t="shared" si="220"/>
        <v>0</v>
      </c>
    </row>
    <row r="1638" spans="6:31" ht="24" customHeight="1">
      <c r="H1638" s="420" t="s">
        <v>1253</v>
      </c>
      <c r="I1638" s="417"/>
      <c r="J1638" s="415"/>
      <c r="K1638" s="417">
        <f>(K1635/3)</f>
        <v>343.11</v>
      </c>
      <c r="W1638" s="413"/>
      <c r="AE1638" s="414">
        <f t="shared" si="220"/>
        <v>0</v>
      </c>
    </row>
    <row r="1639" spans="6:31" ht="24" customHeight="1">
      <c r="H1639" s="412"/>
      <c r="K1639" s="418" t="s">
        <v>1676</v>
      </c>
      <c r="Q1639" s="412"/>
      <c r="R1639" s="418" t="s">
        <v>1288</v>
      </c>
      <c r="W1639" s="413"/>
      <c r="AE1639" s="414">
        <f t="shared" si="220"/>
        <v>0</v>
      </c>
    </row>
    <row r="1640" spans="6:31" ht="24" customHeight="1">
      <c r="F1640" s="413" t="s">
        <v>1073</v>
      </c>
      <c r="H1640" s="412" t="s">
        <v>11</v>
      </c>
      <c r="O1640" s="420" t="s">
        <v>1253</v>
      </c>
      <c r="P1640" s="417"/>
      <c r="Q1640" s="415"/>
      <c r="R1640" s="417">
        <f>(R1637/3)</f>
        <v>347.53</v>
      </c>
      <c r="S1640" s="416">
        <f>310*3</f>
        <v>930</v>
      </c>
      <c r="T1640" s="414">
        <f>S1640-R1637</f>
        <v>-112.58</v>
      </c>
      <c r="W1640" s="413"/>
      <c r="AE1640" s="414">
        <f t="shared" si="220"/>
        <v>0</v>
      </c>
    </row>
    <row r="1641" spans="6:31" ht="24" customHeight="1">
      <c r="H1641" s="412" t="s">
        <v>12</v>
      </c>
      <c r="O1641" s="412"/>
      <c r="Q1641" s="412"/>
      <c r="R1641" s="418" t="s">
        <v>1676</v>
      </c>
      <c r="W1641" s="413"/>
      <c r="AE1641" s="414">
        <f t="shared" si="220"/>
        <v>0</v>
      </c>
    </row>
    <row r="1642" spans="6:31" ht="24" customHeight="1">
      <c r="H1642" s="412" t="s">
        <v>1661</v>
      </c>
      <c r="W1642" s="413"/>
      <c r="AE1642" s="414">
        <f t="shared" si="220"/>
        <v>0</v>
      </c>
    </row>
    <row r="1643" spans="6:31" ht="24" customHeight="1">
      <c r="H1643" s="418" t="s">
        <v>1288</v>
      </c>
      <c r="W1643" s="413"/>
      <c r="AE1643" s="414">
        <f t="shared" si="220"/>
        <v>0</v>
      </c>
    </row>
    <row r="1644" spans="6:31" ht="24" customHeight="1">
      <c r="F1644" s="414">
        <v>0.15</v>
      </c>
      <c r="G1644" s="414" t="s">
        <v>702</v>
      </c>
      <c r="H1644" s="412" t="s">
        <v>1662</v>
      </c>
      <c r="I1644" s="414" t="e">
        <f>(C70)</f>
        <v>#REF!</v>
      </c>
      <c r="J1644" s="412" t="s">
        <v>702</v>
      </c>
      <c r="K1644" s="414" t="e">
        <f>(F1644*I1644)</f>
        <v>#REF!</v>
      </c>
      <c r="W1644" s="413"/>
      <c r="AE1644" s="414">
        <f t="shared" si="220"/>
        <v>0</v>
      </c>
    </row>
    <row r="1645" spans="6:31" ht="24" customHeight="1">
      <c r="F1645" s="440">
        <v>8.6499999999999994E-2</v>
      </c>
      <c r="G1645" s="414" t="s">
        <v>694</v>
      </c>
      <c r="H1645" s="412" t="s">
        <v>695</v>
      </c>
      <c r="I1645" s="414" t="e">
        <f>(C67)</f>
        <v>#REF!</v>
      </c>
      <c r="J1645" s="412" t="s">
        <v>694</v>
      </c>
      <c r="K1645" s="414" t="e">
        <f>(F1645*I1645)</f>
        <v>#REF!</v>
      </c>
      <c r="W1645" s="413"/>
      <c r="AE1645" s="414">
        <f t="shared" si="220"/>
        <v>0</v>
      </c>
    </row>
    <row r="1646" spans="6:31" ht="24" customHeight="1">
      <c r="F1646" s="414">
        <v>1.6</v>
      </c>
      <c r="G1646" s="414" t="s">
        <v>619</v>
      </c>
      <c r="H1646" s="412" t="s">
        <v>1637</v>
      </c>
      <c r="I1646" s="414">
        <f>(C10)</f>
        <v>999</v>
      </c>
      <c r="J1646" s="412" t="s">
        <v>619</v>
      </c>
      <c r="K1646" s="414">
        <f>(F1646*I1646)</f>
        <v>1598.4</v>
      </c>
      <c r="W1646" s="413"/>
      <c r="AE1646" s="414">
        <f t="shared" si="220"/>
        <v>0</v>
      </c>
    </row>
    <row r="1647" spans="6:31" ht="24" customHeight="1">
      <c r="F1647" s="414">
        <v>0.5</v>
      </c>
      <c r="G1647" s="414" t="s">
        <v>619</v>
      </c>
      <c r="H1647" s="412" t="s">
        <v>1550</v>
      </c>
      <c r="I1647" s="414">
        <f>(C12)</f>
        <v>651</v>
      </c>
      <c r="J1647" s="412" t="s">
        <v>619</v>
      </c>
      <c r="K1647" s="414">
        <f>(F1647*I1647)</f>
        <v>325.5</v>
      </c>
      <c r="W1647" s="413"/>
      <c r="AE1647" s="414">
        <f t="shared" si="220"/>
        <v>0</v>
      </c>
    </row>
    <row r="1648" spans="6:31" ht="24" customHeight="1">
      <c r="F1648" s="414">
        <v>1.1000000000000001</v>
      </c>
      <c r="G1648" s="414" t="s">
        <v>619</v>
      </c>
      <c r="H1648" s="412" t="s">
        <v>245</v>
      </c>
      <c r="I1648" s="414">
        <f>(C13)</f>
        <v>534</v>
      </c>
      <c r="J1648" s="412" t="s">
        <v>619</v>
      </c>
      <c r="K1648" s="414">
        <f>(F1648*I1648)</f>
        <v>587.4</v>
      </c>
      <c r="W1648" s="413"/>
      <c r="AE1648" s="414">
        <f t="shared" si="220"/>
        <v>0</v>
      </c>
    </row>
    <row r="1649" spans="6:31" ht="24" customHeight="1">
      <c r="G1649" s="414" t="s">
        <v>358</v>
      </c>
      <c r="H1649" s="412" t="s">
        <v>359</v>
      </c>
      <c r="I1649" s="412" t="s">
        <v>790</v>
      </c>
      <c r="J1649" s="412" t="s">
        <v>358</v>
      </c>
      <c r="K1649" s="414">
        <v>0</v>
      </c>
      <c r="W1649" s="413"/>
      <c r="AE1649" s="414">
        <f t="shared" si="220"/>
        <v>0</v>
      </c>
    </row>
    <row r="1650" spans="6:31" ht="24" customHeight="1">
      <c r="K1650" s="418" t="s">
        <v>1288</v>
      </c>
      <c r="W1650" s="413"/>
      <c r="AE1650" s="414">
        <f t="shared" si="220"/>
        <v>0</v>
      </c>
    </row>
    <row r="1651" spans="6:31" ht="24" customHeight="1">
      <c r="H1651" s="412" t="s">
        <v>351</v>
      </c>
      <c r="K1651" s="414" t="e">
        <f>SUM(K1644:K1649)</f>
        <v>#REF!</v>
      </c>
      <c r="W1651" s="413"/>
      <c r="AE1651" s="414">
        <f t="shared" si="220"/>
        <v>0</v>
      </c>
    </row>
    <row r="1652" spans="6:31" ht="24" customHeight="1">
      <c r="K1652" s="418" t="s">
        <v>1288</v>
      </c>
      <c r="W1652" s="413"/>
      <c r="AE1652" s="414">
        <f t="shared" si="220"/>
        <v>0</v>
      </c>
    </row>
    <row r="1653" spans="6:31" ht="24" customHeight="1">
      <c r="H1653" s="420" t="s">
        <v>447</v>
      </c>
      <c r="I1653" s="417"/>
      <c r="J1653" s="415"/>
      <c r="K1653" s="417" t="e">
        <f>(K1651/10)</f>
        <v>#REF!</v>
      </c>
      <c r="W1653" s="413"/>
      <c r="AE1653" s="414">
        <f t="shared" si="220"/>
        <v>0</v>
      </c>
    </row>
    <row r="1654" spans="6:31" ht="24" customHeight="1">
      <c r="K1654" s="418" t="s">
        <v>1676</v>
      </c>
      <c r="W1654" s="413"/>
      <c r="AE1654" s="414">
        <f t="shared" si="220"/>
        <v>0</v>
      </c>
    </row>
    <row r="1655" spans="6:31" ht="24" customHeight="1">
      <c r="F1655" s="413" t="s">
        <v>1663</v>
      </c>
      <c r="G1655" s="414" t="s">
        <v>1833</v>
      </c>
      <c r="H1655" s="412" t="s">
        <v>1664</v>
      </c>
      <c r="W1655" s="413"/>
      <c r="AE1655" s="414">
        <f t="shared" si="220"/>
        <v>0</v>
      </c>
    </row>
    <row r="1656" spans="6:31" ht="24" customHeight="1">
      <c r="H1656" s="412" t="s">
        <v>984</v>
      </c>
      <c r="W1656" s="413"/>
      <c r="AE1656" s="414">
        <f t="shared" si="220"/>
        <v>0</v>
      </c>
    </row>
    <row r="1657" spans="6:31" ht="24" customHeight="1">
      <c r="H1657" s="412" t="s">
        <v>985</v>
      </c>
      <c r="J1657" s="412" t="s">
        <v>790</v>
      </c>
      <c r="W1657" s="413"/>
      <c r="AE1657" s="414">
        <f t="shared" si="220"/>
        <v>0</v>
      </c>
    </row>
    <row r="1658" spans="6:31" ht="24" customHeight="1">
      <c r="H1658" s="412" t="s">
        <v>897</v>
      </c>
      <c r="W1658" s="413"/>
      <c r="AE1658" s="414">
        <f t="shared" si="220"/>
        <v>0</v>
      </c>
    </row>
    <row r="1659" spans="6:31" ht="24" customHeight="1">
      <c r="H1659" s="412" t="s">
        <v>834</v>
      </c>
      <c r="W1659" s="413"/>
      <c r="AE1659" s="414">
        <f t="shared" si="220"/>
        <v>0</v>
      </c>
    </row>
    <row r="1660" spans="6:31" ht="24" customHeight="1">
      <c r="H1660" s="412" t="s">
        <v>1469</v>
      </c>
      <c r="W1660" s="413"/>
      <c r="AE1660" s="414">
        <f t="shared" si="220"/>
        <v>0</v>
      </c>
    </row>
    <row r="1661" spans="6:31" ht="24" customHeight="1">
      <c r="H1661" s="412" t="s">
        <v>218</v>
      </c>
      <c r="W1661" s="413"/>
      <c r="AE1661" s="414">
        <f t="shared" si="220"/>
        <v>0</v>
      </c>
    </row>
    <row r="1662" spans="6:31" ht="24" customHeight="1">
      <c r="H1662" s="412" t="s">
        <v>219</v>
      </c>
      <c r="W1662" s="413"/>
      <c r="AE1662" s="414">
        <f t="shared" ref="AE1662:AE1695" si="223">AG1662</f>
        <v>0</v>
      </c>
    </row>
    <row r="1663" spans="6:31" ht="24" customHeight="1">
      <c r="H1663" s="412" t="s">
        <v>220</v>
      </c>
      <c r="W1663" s="413"/>
      <c r="AE1663" s="414">
        <f t="shared" si="223"/>
        <v>0</v>
      </c>
    </row>
    <row r="1664" spans="6:31" ht="24" customHeight="1">
      <c r="H1664" s="418" t="s">
        <v>1676</v>
      </c>
      <c r="W1664" s="413"/>
      <c r="AE1664" s="414">
        <f t="shared" si="223"/>
        <v>0</v>
      </c>
    </row>
    <row r="1665" spans="6:31" ht="24" customHeight="1">
      <c r="W1665" s="413"/>
      <c r="AE1665" s="414">
        <f t="shared" si="223"/>
        <v>0</v>
      </c>
    </row>
    <row r="1666" spans="6:31" ht="24" customHeight="1">
      <c r="F1666" s="414">
        <v>1</v>
      </c>
      <c r="G1666" s="414" t="s">
        <v>669</v>
      </c>
      <c r="H1666" s="412" t="s">
        <v>2122</v>
      </c>
      <c r="I1666" s="414">
        <v>45.72</v>
      </c>
      <c r="J1666" s="412" t="s">
        <v>669</v>
      </c>
      <c r="K1666" s="414">
        <f>(F1666*I1666)</f>
        <v>45.72</v>
      </c>
      <c r="W1666" s="413"/>
      <c r="AE1666" s="414">
        <f t="shared" si="223"/>
        <v>0</v>
      </c>
    </row>
    <row r="1667" spans="6:31" ht="24" customHeight="1">
      <c r="F1667" s="414">
        <v>1</v>
      </c>
      <c r="G1667" s="414" t="s">
        <v>221</v>
      </c>
      <c r="H1667" s="412" t="s">
        <v>942</v>
      </c>
      <c r="I1667" s="414">
        <v>5</v>
      </c>
      <c r="J1667" s="412" t="s">
        <v>221</v>
      </c>
      <c r="K1667" s="414">
        <f>(F1667*I1667)</f>
        <v>5</v>
      </c>
      <c r="W1667" s="413"/>
      <c r="AE1667" s="414">
        <f t="shared" si="223"/>
        <v>0</v>
      </c>
    </row>
    <row r="1668" spans="6:31" ht="24" customHeight="1">
      <c r="G1668" s="414" t="s">
        <v>358</v>
      </c>
      <c r="H1668" s="412" t="s">
        <v>406</v>
      </c>
      <c r="J1668" s="412" t="s">
        <v>358</v>
      </c>
      <c r="K1668" s="414">
        <v>7.28</v>
      </c>
      <c r="W1668" s="413"/>
      <c r="AE1668" s="414">
        <f t="shared" si="223"/>
        <v>0</v>
      </c>
    </row>
    <row r="1669" spans="6:31" ht="24" customHeight="1">
      <c r="K1669" s="418" t="s">
        <v>1288</v>
      </c>
      <c r="W1669" s="413"/>
      <c r="AE1669" s="414">
        <f t="shared" si="223"/>
        <v>0</v>
      </c>
    </row>
    <row r="1670" spans="6:31" ht="24" customHeight="1">
      <c r="H1670" s="413" t="s">
        <v>1335</v>
      </c>
      <c r="K1670" s="414">
        <f>SUM(K1666:K1668)</f>
        <v>58</v>
      </c>
      <c r="W1670" s="413"/>
      <c r="AE1670" s="414">
        <f t="shared" si="223"/>
        <v>0</v>
      </c>
    </row>
    <row r="1671" spans="6:31" ht="24" customHeight="1">
      <c r="K1671" s="418" t="s">
        <v>1676</v>
      </c>
      <c r="W1671" s="413"/>
      <c r="AE1671" s="414">
        <f t="shared" si="223"/>
        <v>0</v>
      </c>
    </row>
    <row r="1672" spans="6:31" ht="24" customHeight="1">
      <c r="F1672" s="413" t="s">
        <v>1336</v>
      </c>
      <c r="G1672" s="414" t="s">
        <v>1833</v>
      </c>
      <c r="H1672" s="412" t="s">
        <v>4341</v>
      </c>
      <c r="W1672" s="413"/>
      <c r="AE1672" s="414">
        <f t="shared" si="223"/>
        <v>0</v>
      </c>
    </row>
    <row r="1673" spans="6:31" ht="24" customHeight="1">
      <c r="H1673" s="412" t="s">
        <v>317</v>
      </c>
      <c r="W1673" s="413"/>
      <c r="AE1673" s="414">
        <f t="shared" si="223"/>
        <v>0</v>
      </c>
    </row>
    <row r="1674" spans="6:31" ht="24" customHeight="1">
      <c r="H1674" s="412" t="s">
        <v>318</v>
      </c>
      <c r="W1674" s="413"/>
      <c r="AE1674" s="414">
        <f t="shared" si="223"/>
        <v>0</v>
      </c>
    </row>
    <row r="1675" spans="6:31" ht="24" customHeight="1">
      <c r="H1675" s="412" t="s">
        <v>315</v>
      </c>
      <c r="W1675" s="413"/>
      <c r="AE1675" s="414">
        <f t="shared" si="223"/>
        <v>0</v>
      </c>
    </row>
    <row r="1676" spans="6:31" ht="24" customHeight="1">
      <c r="H1676" s="412" t="s">
        <v>1434</v>
      </c>
      <c r="W1676" s="413"/>
      <c r="AE1676" s="414">
        <f t="shared" si="223"/>
        <v>0</v>
      </c>
    </row>
    <row r="1677" spans="6:31" ht="24" customHeight="1">
      <c r="H1677" s="418" t="s">
        <v>1288</v>
      </c>
      <c r="I1677" s="418" t="s">
        <v>1288</v>
      </c>
      <c r="W1677" s="413"/>
      <c r="AE1677" s="414">
        <f t="shared" si="223"/>
        <v>0</v>
      </c>
    </row>
    <row r="1678" spans="6:31" ht="24" customHeight="1">
      <c r="F1678" s="414">
        <v>1</v>
      </c>
      <c r="G1678" s="414" t="s">
        <v>1435</v>
      </c>
      <c r="H1678" s="412" t="s">
        <v>1259</v>
      </c>
      <c r="I1678" s="414">
        <v>85</v>
      </c>
      <c r="J1678" s="412" t="s">
        <v>1134</v>
      </c>
      <c r="K1678" s="414">
        <f>(F1678*I1678)</f>
        <v>85</v>
      </c>
      <c r="W1678" s="413"/>
      <c r="AE1678" s="414">
        <f t="shared" si="223"/>
        <v>0</v>
      </c>
    </row>
    <row r="1679" spans="6:31" ht="24" customHeight="1">
      <c r="G1679" s="414" t="s">
        <v>358</v>
      </c>
      <c r="H1679" s="412" t="s">
        <v>1260</v>
      </c>
      <c r="J1679" s="412" t="s">
        <v>358</v>
      </c>
      <c r="K1679" s="414">
        <v>7.5</v>
      </c>
      <c r="W1679" s="413"/>
      <c r="AE1679" s="414">
        <f t="shared" si="223"/>
        <v>0</v>
      </c>
    </row>
    <row r="1680" spans="6:31" ht="24" customHeight="1">
      <c r="G1680" s="414" t="s">
        <v>358</v>
      </c>
      <c r="H1680" s="412" t="s">
        <v>497</v>
      </c>
      <c r="J1680" s="412" t="s">
        <v>358</v>
      </c>
      <c r="K1680" s="414">
        <f>1.75+0.75</f>
        <v>2.5</v>
      </c>
      <c r="W1680" s="413"/>
      <c r="AE1680" s="414">
        <f t="shared" si="223"/>
        <v>0</v>
      </c>
    </row>
    <row r="1681" spans="6:31" ht="24" customHeight="1">
      <c r="H1681" s="412" t="s">
        <v>498</v>
      </c>
      <c r="K1681" s="418" t="s">
        <v>1288</v>
      </c>
      <c r="W1681" s="413"/>
      <c r="AE1681" s="414">
        <f t="shared" si="223"/>
        <v>0</v>
      </c>
    </row>
    <row r="1682" spans="6:31" ht="24" customHeight="1">
      <c r="H1682" s="413" t="s">
        <v>1335</v>
      </c>
      <c r="K1682" s="414">
        <f>SUM(K1678:K1680)</f>
        <v>95</v>
      </c>
      <c r="W1682" s="413"/>
      <c r="AE1682" s="414">
        <f t="shared" si="223"/>
        <v>0</v>
      </c>
    </row>
    <row r="1683" spans="6:31" ht="24" customHeight="1">
      <c r="K1683" s="418" t="s">
        <v>1676</v>
      </c>
      <c r="W1683" s="413"/>
      <c r="AE1683" s="414">
        <f t="shared" si="223"/>
        <v>0</v>
      </c>
    </row>
    <row r="1684" spans="6:31" ht="24" customHeight="1">
      <c r="F1684" s="413" t="s">
        <v>499</v>
      </c>
      <c r="G1684" s="414" t="s">
        <v>1833</v>
      </c>
      <c r="H1684" s="412" t="s">
        <v>4342</v>
      </c>
      <c r="W1684" s="413"/>
      <c r="AE1684" s="414">
        <f t="shared" si="223"/>
        <v>0</v>
      </c>
    </row>
    <row r="1685" spans="6:31" ht="24" customHeight="1">
      <c r="H1685" s="412" t="s">
        <v>500</v>
      </c>
      <c r="K1685" s="412" t="s">
        <v>790</v>
      </c>
      <c r="W1685" s="413"/>
      <c r="AE1685" s="414">
        <f t="shared" si="223"/>
        <v>0</v>
      </c>
    </row>
    <row r="1686" spans="6:31" ht="24" customHeight="1">
      <c r="H1686" s="418" t="s">
        <v>1288</v>
      </c>
      <c r="W1686" s="413"/>
      <c r="AE1686" s="414">
        <f t="shared" si="223"/>
        <v>0</v>
      </c>
    </row>
    <row r="1687" spans="6:31" ht="24" customHeight="1">
      <c r="F1687" s="414">
        <v>1</v>
      </c>
      <c r="G1687" s="414" t="s">
        <v>1435</v>
      </c>
      <c r="H1687" s="412" t="s">
        <v>501</v>
      </c>
      <c r="I1687" s="414">
        <v>50</v>
      </c>
      <c r="J1687" s="412" t="s">
        <v>1134</v>
      </c>
      <c r="K1687" s="414">
        <f>(F1687*I1687)</f>
        <v>50</v>
      </c>
      <c r="W1687" s="413"/>
      <c r="AE1687" s="414">
        <f t="shared" si="223"/>
        <v>0</v>
      </c>
    </row>
    <row r="1688" spans="6:31" ht="24" customHeight="1">
      <c r="G1688" s="414" t="s">
        <v>358</v>
      </c>
      <c r="H1688" s="412" t="s">
        <v>502</v>
      </c>
      <c r="J1688" s="412" t="s">
        <v>358</v>
      </c>
      <c r="K1688" s="414">
        <v>5</v>
      </c>
      <c r="W1688" s="413"/>
      <c r="AE1688" s="414">
        <f t="shared" si="223"/>
        <v>0</v>
      </c>
    </row>
    <row r="1689" spans="6:31" ht="24" customHeight="1">
      <c r="K1689" s="418" t="s">
        <v>1288</v>
      </c>
      <c r="W1689" s="413"/>
      <c r="AE1689" s="414">
        <f t="shared" si="223"/>
        <v>0</v>
      </c>
    </row>
    <row r="1690" spans="6:31" ht="24" customHeight="1">
      <c r="H1690" s="413" t="s">
        <v>503</v>
      </c>
      <c r="K1690" s="414">
        <f>SUM(K1686:K1688)</f>
        <v>55</v>
      </c>
      <c r="W1690" s="413"/>
      <c r="AE1690" s="414">
        <f t="shared" si="223"/>
        <v>0</v>
      </c>
    </row>
    <row r="1691" spans="6:31" ht="24" customHeight="1">
      <c r="K1691" s="418" t="s">
        <v>1676</v>
      </c>
      <c r="W1691" s="413"/>
      <c r="AE1691" s="414">
        <f t="shared" si="223"/>
        <v>0</v>
      </c>
    </row>
    <row r="1692" spans="6:31" ht="24" customHeight="1">
      <c r="F1692" s="413" t="s">
        <v>1747</v>
      </c>
      <c r="G1692" s="414" t="s">
        <v>1833</v>
      </c>
      <c r="H1692" s="412" t="s">
        <v>4343</v>
      </c>
      <c r="W1692" s="413"/>
      <c r="AE1692" s="414">
        <f t="shared" si="223"/>
        <v>0</v>
      </c>
    </row>
    <row r="1693" spans="6:31" ht="24" customHeight="1">
      <c r="H1693" s="418" t="s">
        <v>1288</v>
      </c>
      <c r="I1693" s="418" t="s">
        <v>1288</v>
      </c>
      <c r="W1693" s="413"/>
      <c r="AE1693" s="414">
        <f t="shared" si="223"/>
        <v>0</v>
      </c>
    </row>
    <row r="1694" spans="6:31" ht="24" customHeight="1">
      <c r="F1694" s="414">
        <v>1</v>
      </c>
      <c r="G1694" s="414" t="s">
        <v>1435</v>
      </c>
      <c r="H1694" s="412" t="s">
        <v>1748</v>
      </c>
      <c r="I1694" s="414">
        <v>1.2</v>
      </c>
      <c r="J1694" s="412" t="s">
        <v>1134</v>
      </c>
      <c r="K1694" s="414">
        <f>(F1694*I1694)</f>
        <v>1.2</v>
      </c>
      <c r="W1694" s="413"/>
      <c r="AE1694" s="414">
        <f t="shared" si="223"/>
        <v>0</v>
      </c>
    </row>
    <row r="1695" spans="6:31" ht="24" customHeight="1">
      <c r="G1695" s="414" t="s">
        <v>358</v>
      </c>
      <c r="H1695" s="412" t="s">
        <v>502</v>
      </c>
      <c r="J1695" s="412" t="s">
        <v>358</v>
      </c>
      <c r="K1695" s="414">
        <f>K1694*0.25</f>
        <v>0.3</v>
      </c>
      <c r="W1695" s="413"/>
      <c r="AE1695" s="414">
        <f t="shared" si="223"/>
        <v>0</v>
      </c>
    </row>
    <row r="1696" spans="6:31" ht="24" customHeight="1">
      <c r="K1696" s="418" t="s">
        <v>1288</v>
      </c>
      <c r="W1696" s="413"/>
    </row>
    <row r="1697" spans="6:23" ht="24" customHeight="1">
      <c r="H1697" s="413" t="s">
        <v>503</v>
      </c>
      <c r="K1697" s="414">
        <f>SUM(K1692:K1695)</f>
        <v>1.5</v>
      </c>
      <c r="W1697" s="413"/>
    </row>
    <row r="1698" spans="6:23" ht="24" customHeight="1">
      <c r="F1698" s="412" t="s">
        <v>790</v>
      </c>
      <c r="K1698" s="418" t="s">
        <v>1288</v>
      </c>
      <c r="W1698" s="413"/>
    </row>
    <row r="1699" spans="6:23" ht="24" customHeight="1">
      <c r="F1699" s="427">
        <v>50.1</v>
      </c>
      <c r="G1699" s="414" t="s">
        <v>1833</v>
      </c>
      <c r="H1699" s="412" t="s">
        <v>1763</v>
      </c>
      <c r="W1699" s="413"/>
    </row>
    <row r="1700" spans="6:23" ht="24" customHeight="1">
      <c r="H1700" s="412" t="s">
        <v>9</v>
      </c>
      <c r="W1700" s="413"/>
    </row>
    <row r="1701" spans="6:23" ht="24" customHeight="1">
      <c r="H1701" s="412" t="s">
        <v>30</v>
      </c>
      <c r="W1701" s="413"/>
    </row>
    <row r="1702" spans="6:23" ht="24" customHeight="1">
      <c r="H1702" s="412" t="s">
        <v>31</v>
      </c>
      <c r="W1702" s="413"/>
    </row>
    <row r="1703" spans="6:23" ht="24" customHeight="1">
      <c r="H1703" s="412" t="s">
        <v>32</v>
      </c>
      <c r="W1703" s="413"/>
    </row>
    <row r="1704" spans="6:23" ht="24" customHeight="1">
      <c r="H1704" s="418" t="s">
        <v>1288</v>
      </c>
      <c r="I1704" s="418" t="s">
        <v>1288</v>
      </c>
      <c r="W1704" s="413"/>
    </row>
    <row r="1705" spans="6:23" ht="24" customHeight="1">
      <c r="F1705" s="414">
        <v>9</v>
      </c>
      <c r="G1705" s="414" t="s">
        <v>1749</v>
      </c>
      <c r="H1705" s="412" t="s">
        <v>1277</v>
      </c>
      <c r="I1705" s="414" t="e">
        <f>C73</f>
        <v>#REF!</v>
      </c>
      <c r="J1705" s="412" t="s">
        <v>1749</v>
      </c>
      <c r="K1705" s="414" t="e">
        <f>(F1705*I1705)</f>
        <v>#REF!</v>
      </c>
      <c r="W1705" s="413"/>
    </row>
    <row r="1706" spans="6:23" ht="24" customHeight="1">
      <c r="F1706" s="414">
        <v>4.5</v>
      </c>
      <c r="G1706" s="414" t="s">
        <v>1749</v>
      </c>
      <c r="H1706" s="412" t="s">
        <v>1278</v>
      </c>
      <c r="I1706" s="414" t="e">
        <f>K32</f>
        <v>#REF!</v>
      </c>
      <c r="J1706" s="412" t="s">
        <v>1749</v>
      </c>
      <c r="K1706" s="414" t="e">
        <f>(F1706*I1706)</f>
        <v>#REF!</v>
      </c>
      <c r="W1706" s="413"/>
    </row>
    <row r="1707" spans="6:23" ht="24" customHeight="1">
      <c r="F1707" s="414">
        <v>1.8</v>
      </c>
      <c r="G1707" s="414" t="s">
        <v>453</v>
      </c>
      <c r="H1707" s="412" t="s">
        <v>1279</v>
      </c>
      <c r="I1707" s="414">
        <f>C11</f>
        <v>932</v>
      </c>
      <c r="J1707" s="412" t="s">
        <v>1134</v>
      </c>
      <c r="K1707" s="414">
        <f>(F1707*I1707)</f>
        <v>1677.6</v>
      </c>
      <c r="W1707" s="413"/>
    </row>
    <row r="1708" spans="6:23" ht="24" customHeight="1">
      <c r="F1708" s="414">
        <v>17.7</v>
      </c>
      <c r="G1708" s="414" t="s">
        <v>453</v>
      </c>
      <c r="H1708" s="412" t="s">
        <v>667</v>
      </c>
      <c r="I1708" s="414">
        <f>C12</f>
        <v>651</v>
      </c>
      <c r="J1708" s="412" t="s">
        <v>1134</v>
      </c>
      <c r="K1708" s="414">
        <f>(F1708*I1708)</f>
        <v>11522.7</v>
      </c>
      <c r="W1708" s="413"/>
    </row>
    <row r="1709" spans="6:23" ht="24" customHeight="1">
      <c r="F1709" s="414">
        <v>14.1</v>
      </c>
      <c r="G1709" s="414" t="s">
        <v>453</v>
      </c>
      <c r="H1709" s="412" t="s">
        <v>1115</v>
      </c>
      <c r="I1709" s="414">
        <f>C13</f>
        <v>534</v>
      </c>
      <c r="J1709" s="412" t="s">
        <v>1134</v>
      </c>
      <c r="K1709" s="414">
        <f>(F1709*I1709)</f>
        <v>7529.4</v>
      </c>
      <c r="W1709" s="413"/>
    </row>
    <row r="1710" spans="6:23" ht="24" customHeight="1">
      <c r="K1710" s="418" t="s">
        <v>1288</v>
      </c>
      <c r="W1710" s="413"/>
    </row>
    <row r="1711" spans="6:23" ht="24" customHeight="1">
      <c r="H1711" s="413" t="s">
        <v>1280</v>
      </c>
      <c r="K1711" s="414" t="e">
        <f>SUM(K1705:K1709)</f>
        <v>#REF!</v>
      </c>
      <c r="W1711" s="413"/>
    </row>
    <row r="1712" spans="6:23" ht="24" customHeight="1">
      <c r="K1712" s="418" t="s">
        <v>1288</v>
      </c>
      <c r="W1712" s="413"/>
    </row>
    <row r="1713" spans="6:23" ht="24" customHeight="1">
      <c r="H1713" s="413" t="s">
        <v>1281</v>
      </c>
      <c r="K1713" s="417" t="e">
        <f>(K1711/10)</f>
        <v>#REF!</v>
      </c>
      <c r="W1713" s="413"/>
    </row>
    <row r="1714" spans="6:23" ht="24" customHeight="1">
      <c r="K1714" s="418" t="s">
        <v>1676</v>
      </c>
      <c r="W1714" s="413"/>
    </row>
    <row r="1715" spans="6:23" ht="24" customHeight="1">
      <c r="W1715" s="413"/>
    </row>
    <row r="1716" spans="6:23" ht="24" customHeight="1">
      <c r="G1716" s="414" t="s">
        <v>544</v>
      </c>
      <c r="H1716" s="412" t="s">
        <v>935</v>
      </c>
      <c r="W1716" s="413"/>
    </row>
    <row r="1717" spans="6:23" ht="24" customHeight="1">
      <c r="H1717" s="412" t="s">
        <v>4344</v>
      </c>
      <c r="W1717" s="413"/>
    </row>
    <row r="1718" spans="6:23" ht="24" customHeight="1">
      <c r="H1718" s="418" t="s">
        <v>1288</v>
      </c>
      <c r="I1718" s="418" t="s">
        <v>1288</v>
      </c>
      <c r="W1718" s="413"/>
    </row>
    <row r="1719" spans="6:23" ht="24" customHeight="1">
      <c r="W1719" s="413"/>
    </row>
    <row r="1720" spans="6:23" ht="24" customHeight="1">
      <c r="F1720" s="416">
        <v>0.314</v>
      </c>
      <c r="G1720" s="414" t="s">
        <v>1749</v>
      </c>
      <c r="H1720" s="412" t="s">
        <v>352</v>
      </c>
      <c r="I1720" s="414" t="e">
        <f>K1713</f>
        <v>#REF!</v>
      </c>
      <c r="J1720" s="412" t="s">
        <v>1749</v>
      </c>
      <c r="K1720" s="414" t="e">
        <f>(F1720*I1720)</f>
        <v>#REF!</v>
      </c>
      <c r="W1720" s="413"/>
    </row>
    <row r="1721" spans="6:23" ht="24" customHeight="1">
      <c r="F1721" s="414">
        <v>18</v>
      </c>
      <c r="G1721" s="414" t="s">
        <v>453</v>
      </c>
      <c r="H1721" s="412" t="s">
        <v>2567</v>
      </c>
      <c r="I1721" s="414">
        <v>41.87</v>
      </c>
      <c r="J1721" s="412" t="s">
        <v>1134</v>
      </c>
      <c r="K1721" s="414">
        <f>(F1721*I1721)</f>
        <v>753.66</v>
      </c>
      <c r="W1721" s="413"/>
    </row>
    <row r="1722" spans="6:23" ht="24" customHeight="1">
      <c r="F1722" s="414">
        <v>18</v>
      </c>
      <c r="G1722" s="414" t="s">
        <v>453</v>
      </c>
      <c r="H1722" s="412" t="s">
        <v>437</v>
      </c>
      <c r="I1722" s="414">
        <v>1</v>
      </c>
      <c r="J1722" s="412" t="s">
        <v>1134</v>
      </c>
      <c r="K1722" s="414">
        <f>(F1722*I1722)</f>
        <v>18</v>
      </c>
      <c r="W1722" s="413"/>
    </row>
    <row r="1723" spans="6:23" ht="24" customHeight="1">
      <c r="F1723" s="414">
        <v>18</v>
      </c>
      <c r="G1723" s="414" t="s">
        <v>453</v>
      </c>
      <c r="H1723" s="412" t="s">
        <v>438</v>
      </c>
      <c r="I1723" s="414">
        <v>2</v>
      </c>
      <c r="J1723" s="412" t="s">
        <v>1134</v>
      </c>
      <c r="K1723" s="414">
        <f>(F1723*I1723)</f>
        <v>36</v>
      </c>
      <c r="W1723" s="413"/>
    </row>
    <row r="1724" spans="6:23" ht="24" customHeight="1">
      <c r="K1724" s="418" t="s">
        <v>1288</v>
      </c>
      <c r="W1724" s="413"/>
    </row>
    <row r="1725" spans="6:23" ht="24" customHeight="1">
      <c r="H1725" s="413" t="s">
        <v>1584</v>
      </c>
      <c r="K1725" s="414" t="e">
        <f>SUM(K1719:K1723)</f>
        <v>#REF!</v>
      </c>
      <c r="W1725" s="413"/>
    </row>
    <row r="1726" spans="6:23" ht="24" customHeight="1">
      <c r="K1726" s="418" t="s">
        <v>1288</v>
      </c>
      <c r="W1726" s="413"/>
    </row>
    <row r="1727" spans="6:23" ht="24" customHeight="1">
      <c r="H1727" s="413" t="s">
        <v>1585</v>
      </c>
      <c r="K1727" s="417" t="e">
        <f>(K1725/6.28)</f>
        <v>#REF!</v>
      </c>
      <c r="W1727" s="413"/>
    </row>
    <row r="1728" spans="6:23" ht="24" customHeight="1">
      <c r="K1728" s="418" t="s">
        <v>1676</v>
      </c>
      <c r="W1728" s="413"/>
    </row>
    <row r="1729" spans="6:23" ht="24" customHeight="1">
      <c r="F1729" s="412" t="s">
        <v>790</v>
      </c>
      <c r="H1729" s="412" t="s">
        <v>586</v>
      </c>
      <c r="W1729" s="413"/>
    </row>
    <row r="1730" spans="6:23" ht="24" customHeight="1">
      <c r="H1730" s="418" t="s">
        <v>1288</v>
      </c>
      <c r="W1730" s="413"/>
    </row>
    <row r="1731" spans="6:23" ht="24" customHeight="1">
      <c r="F1731" s="416">
        <v>0.01</v>
      </c>
      <c r="G1731" s="414" t="s">
        <v>1749</v>
      </c>
      <c r="H1731" s="412" t="s">
        <v>352</v>
      </c>
      <c r="I1731" s="414" t="e">
        <f>K1713</f>
        <v>#REF!</v>
      </c>
      <c r="J1731" s="412" t="s">
        <v>1749</v>
      </c>
      <c r="K1731" s="414" t="e">
        <f>ROUND(F1731*I1731,2)</f>
        <v>#REF!</v>
      </c>
      <c r="W1731" s="413"/>
    </row>
    <row r="1732" spans="6:23" ht="24" customHeight="1">
      <c r="F1732" s="414">
        <v>0.01</v>
      </c>
      <c r="G1732" s="414" t="s">
        <v>1089</v>
      </c>
      <c r="H1732" s="412" t="s">
        <v>587</v>
      </c>
      <c r="I1732" s="423" t="s">
        <v>528</v>
      </c>
      <c r="K1732" s="414">
        <v>1.2</v>
      </c>
      <c r="W1732" s="413"/>
    </row>
    <row r="1733" spans="6:23" ht="24" customHeight="1">
      <c r="I1733" s="423"/>
      <c r="K1733" s="418" t="s">
        <v>1288</v>
      </c>
      <c r="W1733" s="413"/>
    </row>
    <row r="1734" spans="6:23" ht="24" customHeight="1">
      <c r="H1734" s="413" t="s">
        <v>594</v>
      </c>
      <c r="K1734" s="414" t="e">
        <f>SUM(K1728:K1732)</f>
        <v>#REF!</v>
      </c>
      <c r="W1734" s="413"/>
    </row>
    <row r="1735" spans="6:23" ht="24" customHeight="1">
      <c r="K1735" s="418" t="s">
        <v>1288</v>
      </c>
      <c r="W1735" s="413"/>
    </row>
    <row r="1736" spans="6:23" ht="24" customHeight="1">
      <c r="H1736" s="413" t="s">
        <v>1770</v>
      </c>
      <c r="K1736" s="414" t="e">
        <f>K1734/0.01</f>
        <v>#REF!</v>
      </c>
      <c r="W1736" s="413"/>
    </row>
    <row r="1737" spans="6:23" ht="24" customHeight="1">
      <c r="K1737" s="418" t="s">
        <v>1676</v>
      </c>
      <c r="W1737" s="413"/>
    </row>
    <row r="1738" spans="6:23" ht="24" customHeight="1">
      <c r="F1738" s="413" t="s">
        <v>1771</v>
      </c>
      <c r="G1738" s="414" t="s">
        <v>544</v>
      </c>
      <c r="H1738" s="412" t="s">
        <v>935</v>
      </c>
      <c r="W1738" s="413"/>
    </row>
    <row r="1739" spans="6:23" ht="24" customHeight="1">
      <c r="H1739" s="415" t="s">
        <v>4345</v>
      </c>
      <c r="W1739" s="413"/>
    </row>
    <row r="1740" spans="6:23" ht="24" customHeight="1">
      <c r="H1740" s="418" t="s">
        <v>1288</v>
      </c>
      <c r="I1740" s="418" t="s">
        <v>1288</v>
      </c>
      <c r="W1740" s="413"/>
    </row>
    <row r="1741" spans="6:23" ht="24" customHeight="1">
      <c r="F1741" s="416">
        <v>0.40500000000000003</v>
      </c>
      <c r="G1741" s="414" t="s">
        <v>1749</v>
      </c>
      <c r="H1741" s="412" t="s">
        <v>352</v>
      </c>
      <c r="I1741" s="414" t="e">
        <f>K1736</f>
        <v>#REF!</v>
      </c>
      <c r="J1741" s="412" t="s">
        <v>1749</v>
      </c>
      <c r="K1741" s="414" t="e">
        <f>(F1741*I1741)</f>
        <v>#REF!</v>
      </c>
      <c r="W1741" s="413"/>
    </row>
    <row r="1742" spans="6:23" ht="24" customHeight="1">
      <c r="F1742" s="412" t="s">
        <v>790</v>
      </c>
      <c r="G1742" s="414" t="s">
        <v>790</v>
      </c>
      <c r="H1742" s="412" t="s">
        <v>1344</v>
      </c>
      <c r="I1742" s="423" t="s">
        <v>528</v>
      </c>
      <c r="K1742" s="412" t="s">
        <v>790</v>
      </c>
      <c r="W1742" s="413"/>
    </row>
    <row r="1743" spans="6:23" ht="24" customHeight="1">
      <c r="K1743" s="418" t="s">
        <v>1288</v>
      </c>
      <c r="W1743" s="413"/>
    </row>
    <row r="1744" spans="6:23" ht="24" customHeight="1">
      <c r="H1744" s="413" t="s">
        <v>1345</v>
      </c>
      <c r="K1744" s="414" t="e">
        <f>SUM(K1738:K1742)</f>
        <v>#REF!</v>
      </c>
      <c r="W1744" s="413"/>
    </row>
    <row r="1745" spans="6:23" ht="24" customHeight="1">
      <c r="K1745" s="418" t="s">
        <v>1288</v>
      </c>
      <c r="W1745" s="413"/>
    </row>
    <row r="1746" spans="6:23" ht="24" customHeight="1">
      <c r="H1746" s="413" t="s">
        <v>1346</v>
      </c>
      <c r="K1746" s="417" t="e">
        <f>K1744/9</f>
        <v>#REF!</v>
      </c>
      <c r="W1746" s="413"/>
    </row>
    <row r="1747" spans="6:23" ht="24" customHeight="1">
      <c r="K1747" s="418" t="s">
        <v>1676</v>
      </c>
      <c r="W1747" s="413"/>
    </row>
    <row r="1748" spans="6:23" ht="24" customHeight="1">
      <c r="F1748" s="413" t="s">
        <v>1141</v>
      </c>
      <c r="H1748" s="412" t="s">
        <v>378</v>
      </c>
      <c r="W1748" s="413"/>
    </row>
    <row r="1749" spans="6:23" ht="24" customHeight="1">
      <c r="H1749" s="418" t="s">
        <v>1288</v>
      </c>
      <c r="W1749" s="413"/>
    </row>
    <row r="1750" spans="6:23" ht="24" customHeight="1">
      <c r="F1750" s="414">
        <v>4.32</v>
      </c>
      <c r="G1750" s="414" t="s">
        <v>702</v>
      </c>
      <c r="H1750" s="412" t="s">
        <v>281</v>
      </c>
      <c r="I1750" s="414">
        <f>C61</f>
        <v>112.05</v>
      </c>
      <c r="J1750" s="412" t="s">
        <v>702</v>
      </c>
      <c r="K1750" s="414">
        <f t="shared" ref="K1750:K1757" si="224">(F1750*I1750)</f>
        <v>484.06</v>
      </c>
      <c r="W1750" s="413"/>
    </row>
    <row r="1751" spans="6:23" ht="24" customHeight="1">
      <c r="F1751" s="414">
        <v>1.44</v>
      </c>
      <c r="G1751" s="414" t="s">
        <v>702</v>
      </c>
      <c r="H1751" s="412" t="s">
        <v>379</v>
      </c>
      <c r="I1751" s="414">
        <v>69.099999999999994</v>
      </c>
      <c r="J1751" s="412" t="s">
        <v>702</v>
      </c>
      <c r="K1751" s="414">
        <f t="shared" si="224"/>
        <v>99.5</v>
      </c>
      <c r="W1751" s="413"/>
    </row>
    <row r="1752" spans="6:23" ht="24" customHeight="1">
      <c r="F1752" s="414">
        <v>1.44</v>
      </c>
      <c r="G1752" s="414" t="s">
        <v>702</v>
      </c>
      <c r="H1752" s="412" t="s">
        <v>380</v>
      </c>
      <c r="I1752" s="414" t="e">
        <f>C35</f>
        <v>#REF!</v>
      </c>
      <c r="J1752" s="412" t="s">
        <v>702</v>
      </c>
      <c r="K1752" s="414" t="e">
        <f t="shared" si="224"/>
        <v>#REF!</v>
      </c>
      <c r="W1752" s="413"/>
    </row>
    <row r="1753" spans="6:23" ht="24" customHeight="1">
      <c r="F1753" s="414">
        <v>1.44</v>
      </c>
      <c r="G1753" s="414" t="s">
        <v>702</v>
      </c>
      <c r="H1753" s="412" t="s">
        <v>381</v>
      </c>
      <c r="I1753" s="414" t="e">
        <f>C78</f>
        <v>#REF!</v>
      </c>
      <c r="J1753" s="412" t="s">
        <v>702</v>
      </c>
      <c r="K1753" s="414" t="e">
        <f t="shared" si="224"/>
        <v>#REF!</v>
      </c>
      <c r="W1753" s="413"/>
    </row>
    <row r="1754" spans="6:23" ht="24" customHeight="1">
      <c r="F1754" s="414">
        <v>2.88</v>
      </c>
      <c r="G1754" s="414" t="s">
        <v>702</v>
      </c>
      <c r="H1754" s="412" t="s">
        <v>382</v>
      </c>
      <c r="I1754" s="414">
        <v>10</v>
      </c>
      <c r="J1754" s="412" t="s">
        <v>702</v>
      </c>
      <c r="K1754" s="414">
        <f t="shared" si="224"/>
        <v>28.8</v>
      </c>
      <c r="W1754" s="413"/>
    </row>
    <row r="1755" spans="6:23" ht="24" customHeight="1">
      <c r="F1755" s="414">
        <v>20</v>
      </c>
      <c r="G1755" s="414" t="s">
        <v>202</v>
      </c>
      <c r="H1755" s="412" t="s">
        <v>1324</v>
      </c>
      <c r="I1755" s="414">
        <v>46.1</v>
      </c>
      <c r="J1755" s="412" t="s">
        <v>202</v>
      </c>
      <c r="K1755" s="414">
        <f t="shared" si="224"/>
        <v>922</v>
      </c>
      <c r="W1755" s="413"/>
    </row>
    <row r="1756" spans="6:23" ht="24" customHeight="1">
      <c r="F1756" s="414">
        <v>42</v>
      </c>
      <c r="G1756" s="414" t="s">
        <v>1790</v>
      </c>
      <c r="H1756" s="412" t="s">
        <v>3002</v>
      </c>
      <c r="I1756" s="414">
        <v>17.5</v>
      </c>
      <c r="J1756" s="412" t="s">
        <v>1790</v>
      </c>
      <c r="K1756" s="414">
        <f t="shared" si="224"/>
        <v>735</v>
      </c>
      <c r="W1756" s="413"/>
    </row>
    <row r="1757" spans="6:23" ht="24" customHeight="1">
      <c r="F1757" s="414">
        <v>4.32</v>
      </c>
      <c r="G1757" s="414" t="s">
        <v>702</v>
      </c>
      <c r="H1757" s="412" t="s">
        <v>1317</v>
      </c>
      <c r="I1757" s="414">
        <f>C26</f>
        <v>38.950000000000003</v>
      </c>
      <c r="J1757" s="412" t="s">
        <v>702</v>
      </c>
      <c r="K1757" s="414">
        <f t="shared" si="224"/>
        <v>168.26</v>
      </c>
      <c r="W1757" s="413"/>
    </row>
    <row r="1758" spans="6:23" ht="24" customHeight="1">
      <c r="F1758" s="413" t="s">
        <v>588</v>
      </c>
      <c r="H1758" s="412" t="s">
        <v>828</v>
      </c>
      <c r="K1758" s="414">
        <v>2000</v>
      </c>
      <c r="W1758" s="413"/>
    </row>
    <row r="1759" spans="6:23" ht="24" customHeight="1">
      <c r="K1759" s="418" t="s">
        <v>1288</v>
      </c>
      <c r="W1759" s="413"/>
    </row>
    <row r="1760" spans="6:23" ht="24" customHeight="1">
      <c r="H1760" s="412" t="s">
        <v>829</v>
      </c>
      <c r="K1760" s="414" t="e">
        <f>SUM(K1750:K1758)</f>
        <v>#REF!</v>
      </c>
      <c r="W1760" s="413"/>
    </row>
    <row r="1761" spans="6:23" ht="24" customHeight="1">
      <c r="K1761" s="418" t="s">
        <v>1288</v>
      </c>
      <c r="W1761" s="413"/>
    </row>
    <row r="1762" spans="6:23" ht="24" customHeight="1">
      <c r="H1762" s="412" t="s">
        <v>1137</v>
      </c>
      <c r="K1762" s="417" t="e">
        <f>K1760/20</f>
        <v>#REF!</v>
      </c>
      <c r="W1762" s="413"/>
    </row>
    <row r="1763" spans="6:23" ht="24" customHeight="1">
      <c r="K1763" s="418" t="s">
        <v>1676</v>
      </c>
      <c r="W1763" s="413"/>
    </row>
    <row r="1764" spans="6:23" ht="24" customHeight="1">
      <c r="W1764" s="413"/>
    </row>
    <row r="1765" spans="6:23" ht="24" customHeight="1">
      <c r="F1765" s="413" t="s">
        <v>830</v>
      </c>
      <c r="H1765" s="412" t="s">
        <v>1071</v>
      </c>
      <c r="W1765" s="413"/>
    </row>
    <row r="1766" spans="6:23" ht="24" customHeight="1">
      <c r="H1766" s="418" t="s">
        <v>1288</v>
      </c>
      <c r="W1766" s="413"/>
    </row>
    <row r="1767" spans="6:23" ht="24" customHeight="1">
      <c r="F1767" s="414">
        <v>0.1</v>
      </c>
      <c r="G1767" s="414" t="s">
        <v>702</v>
      </c>
      <c r="H1767" s="412" t="s">
        <v>281</v>
      </c>
      <c r="I1767" s="414">
        <f>K90</f>
        <v>224.1</v>
      </c>
      <c r="J1767" s="412" t="s">
        <v>702</v>
      </c>
      <c r="K1767" s="414">
        <f t="shared" ref="K1767:K1772" si="225">(F1767*I1767)</f>
        <v>22.41</v>
      </c>
      <c r="W1767" s="413"/>
    </row>
    <row r="1768" spans="6:23" ht="24" customHeight="1">
      <c r="F1768" s="414">
        <v>6.3</v>
      </c>
      <c r="G1768" s="414" t="s">
        <v>1790</v>
      </c>
      <c r="H1768" s="412" t="s">
        <v>3177</v>
      </c>
      <c r="I1768" s="414">
        <v>34.6</v>
      </c>
      <c r="J1768" s="412" t="s">
        <v>1790</v>
      </c>
      <c r="K1768" s="414">
        <f t="shared" si="225"/>
        <v>217.98</v>
      </c>
      <c r="W1768" s="413"/>
    </row>
    <row r="1769" spans="6:23" ht="24" customHeight="1">
      <c r="F1769" s="414">
        <v>6.3</v>
      </c>
      <c r="G1769" s="414" t="s">
        <v>1790</v>
      </c>
      <c r="H1769" s="412" t="s">
        <v>927</v>
      </c>
      <c r="I1769" s="414">
        <f>I1756</f>
        <v>17.5</v>
      </c>
      <c r="J1769" s="412" t="s">
        <v>1790</v>
      </c>
      <c r="K1769" s="414">
        <f t="shared" si="225"/>
        <v>110.25</v>
      </c>
      <c r="W1769" s="413"/>
    </row>
    <row r="1770" spans="6:23" ht="24" customHeight="1">
      <c r="F1770" s="414">
        <v>3.15</v>
      </c>
      <c r="G1770" s="414" t="s">
        <v>184</v>
      </c>
      <c r="H1770" s="412" t="s">
        <v>508</v>
      </c>
      <c r="I1770" s="414">
        <f>C198</f>
        <v>40.65</v>
      </c>
      <c r="J1770" s="412" t="s">
        <v>184</v>
      </c>
      <c r="K1770" s="414">
        <f t="shared" si="225"/>
        <v>128.05000000000001</v>
      </c>
      <c r="L1770" s="414" t="s">
        <v>147</v>
      </c>
      <c r="W1770" s="413"/>
    </row>
    <row r="1771" spans="6:23" ht="24" customHeight="1">
      <c r="F1771" s="414">
        <v>0.25</v>
      </c>
      <c r="G1771" s="414" t="s">
        <v>1435</v>
      </c>
      <c r="H1771" s="412" t="s">
        <v>509</v>
      </c>
      <c r="I1771" s="414">
        <f>D16</f>
        <v>932</v>
      </c>
      <c r="J1771" s="412" t="s">
        <v>1435</v>
      </c>
      <c r="K1771" s="414">
        <f t="shared" si="225"/>
        <v>233</v>
      </c>
      <c r="W1771" s="413"/>
    </row>
    <row r="1772" spans="6:23" ht="24" customHeight="1">
      <c r="F1772" s="414">
        <v>0.2</v>
      </c>
      <c r="G1772" s="414" t="s">
        <v>1435</v>
      </c>
      <c r="H1772" s="412" t="s">
        <v>510</v>
      </c>
      <c r="I1772" s="414">
        <f>AE38</f>
        <v>866</v>
      </c>
      <c r="J1772" s="412" t="s">
        <v>1435</v>
      </c>
      <c r="K1772" s="414">
        <f t="shared" si="225"/>
        <v>173.2</v>
      </c>
      <c r="W1772" s="413"/>
    </row>
    <row r="1773" spans="6:23" ht="24" customHeight="1">
      <c r="H1773" s="412" t="s">
        <v>407</v>
      </c>
      <c r="I1773" s="412" t="s">
        <v>790</v>
      </c>
      <c r="J1773" s="412" t="s">
        <v>790</v>
      </c>
      <c r="K1773" s="414">
        <v>0</v>
      </c>
      <c r="W1773" s="413"/>
    </row>
    <row r="1774" spans="6:23" ht="24" customHeight="1">
      <c r="J1774" s="412" t="s">
        <v>790</v>
      </c>
      <c r="K1774" s="418" t="s">
        <v>1288</v>
      </c>
      <c r="W1774" s="413"/>
    </row>
    <row r="1775" spans="6:23" ht="24" customHeight="1">
      <c r="F1775" s="412" t="s">
        <v>790</v>
      </c>
      <c r="G1775" s="414" t="s">
        <v>790</v>
      </c>
      <c r="H1775" s="412" t="s">
        <v>1137</v>
      </c>
      <c r="K1775" s="417">
        <f>SUM(K1767:K1774)</f>
        <v>884.89</v>
      </c>
      <c r="W1775" s="413"/>
    </row>
    <row r="1776" spans="6:23" ht="24" customHeight="1">
      <c r="H1776" s="412" t="s">
        <v>790</v>
      </c>
      <c r="K1776" s="418" t="s">
        <v>1288</v>
      </c>
      <c r="W1776" s="413"/>
    </row>
    <row r="1777" spans="6:23" ht="24" customHeight="1">
      <c r="K1777" s="418"/>
      <c r="W1777" s="413"/>
    </row>
    <row r="1778" spans="6:23" ht="24" customHeight="1">
      <c r="F1778" s="413" t="s">
        <v>482</v>
      </c>
      <c r="H1778" s="412" t="s">
        <v>750</v>
      </c>
      <c r="W1778" s="413"/>
    </row>
    <row r="1779" spans="6:23" ht="24" customHeight="1">
      <c r="H1779" s="418" t="s">
        <v>1288</v>
      </c>
      <c r="W1779" s="413"/>
    </row>
    <row r="1780" spans="6:23" ht="24" customHeight="1">
      <c r="F1780" s="440">
        <v>0.48599999999999999</v>
      </c>
      <c r="G1780" s="414" t="s">
        <v>1089</v>
      </c>
      <c r="H1780" s="412" t="s">
        <v>281</v>
      </c>
      <c r="I1780" s="414">
        <f>C61</f>
        <v>112.05</v>
      </c>
      <c r="J1780" s="412" t="s">
        <v>1089</v>
      </c>
      <c r="K1780" s="414">
        <f t="shared" ref="K1780:K1786" si="226">(F1780*I1780)</f>
        <v>54.46</v>
      </c>
      <c r="W1780" s="413"/>
    </row>
    <row r="1781" spans="6:23" ht="24" customHeight="1">
      <c r="F1781" s="440">
        <v>0.48599999999999999</v>
      </c>
      <c r="G1781" s="414" t="s">
        <v>1089</v>
      </c>
      <c r="H1781" s="412" t="s">
        <v>282</v>
      </c>
      <c r="I1781" s="414" t="e">
        <f>K204</f>
        <v>#REF!</v>
      </c>
      <c r="J1781" s="412" t="s">
        <v>1089</v>
      </c>
      <c r="K1781" s="414" t="e">
        <f t="shared" si="226"/>
        <v>#REF!</v>
      </c>
      <c r="W1781" s="413"/>
    </row>
    <row r="1782" spans="6:23" ht="24" customHeight="1">
      <c r="F1782" s="414">
        <v>81.75</v>
      </c>
      <c r="G1782" s="414" t="s">
        <v>283</v>
      </c>
      <c r="H1782" s="412" t="s">
        <v>284</v>
      </c>
      <c r="I1782" s="414">
        <f>I745</f>
        <v>53</v>
      </c>
      <c r="J1782" s="412" t="s">
        <v>283</v>
      </c>
      <c r="K1782" s="414">
        <f t="shared" si="226"/>
        <v>4332.75</v>
      </c>
      <c r="W1782" s="413"/>
    </row>
    <row r="1783" spans="6:23" ht="24" customHeight="1">
      <c r="F1783" s="414">
        <v>7.2</v>
      </c>
      <c r="G1783" s="414" t="s">
        <v>283</v>
      </c>
      <c r="H1783" s="412" t="s">
        <v>285</v>
      </c>
      <c r="I1783" s="414">
        <f>I745</f>
        <v>53</v>
      </c>
      <c r="J1783" s="412" t="s">
        <v>283</v>
      </c>
      <c r="K1783" s="414">
        <f t="shared" si="226"/>
        <v>381.6</v>
      </c>
      <c r="W1783" s="413"/>
    </row>
    <row r="1784" spans="6:23" ht="24" customHeight="1">
      <c r="F1784" s="414">
        <v>43.68</v>
      </c>
      <c r="G1784" s="414" t="s">
        <v>283</v>
      </c>
      <c r="H1784" s="412" t="s">
        <v>1262</v>
      </c>
      <c r="I1784" s="414">
        <f>I743</f>
        <v>53</v>
      </c>
      <c r="J1784" s="412" t="s">
        <v>283</v>
      </c>
      <c r="K1784" s="414">
        <f t="shared" si="226"/>
        <v>2315.04</v>
      </c>
      <c r="W1784" s="413"/>
    </row>
    <row r="1785" spans="6:23" ht="24" customHeight="1">
      <c r="F1785" s="414">
        <v>132.63</v>
      </c>
      <c r="G1785" s="414" t="s">
        <v>283</v>
      </c>
      <c r="H1785" s="412" t="s">
        <v>1263</v>
      </c>
      <c r="I1785" s="414">
        <f>C37</f>
        <v>55.35</v>
      </c>
      <c r="J1785" s="412" t="s">
        <v>283</v>
      </c>
      <c r="K1785" s="414">
        <f t="shared" si="226"/>
        <v>7341.07</v>
      </c>
      <c r="W1785" s="413"/>
    </row>
    <row r="1786" spans="6:23" ht="24" customHeight="1">
      <c r="F1786" s="414">
        <v>2.2000000000000002</v>
      </c>
      <c r="G1786" s="414" t="s">
        <v>184</v>
      </c>
      <c r="H1786" s="412" t="s">
        <v>4276</v>
      </c>
      <c r="I1786" s="414">
        <v>970</v>
      </c>
      <c r="J1786" s="412" t="s">
        <v>184</v>
      </c>
      <c r="K1786" s="414">
        <f t="shared" si="226"/>
        <v>2134</v>
      </c>
      <c r="W1786" s="413"/>
    </row>
    <row r="1787" spans="6:23" ht="24" customHeight="1">
      <c r="F1787" s="423" t="s">
        <v>528</v>
      </c>
      <c r="H1787" s="412" t="s">
        <v>1264</v>
      </c>
      <c r="I1787" s="423" t="s">
        <v>528</v>
      </c>
      <c r="K1787" s="414">
        <v>250</v>
      </c>
      <c r="W1787" s="413"/>
    </row>
    <row r="1788" spans="6:23" ht="24" customHeight="1">
      <c r="F1788" s="423" t="s">
        <v>528</v>
      </c>
      <c r="H1788" s="412" t="s">
        <v>1136</v>
      </c>
      <c r="I1788" s="423" t="s">
        <v>528</v>
      </c>
      <c r="K1788" s="414">
        <v>20.47</v>
      </c>
      <c r="W1788" s="413"/>
    </row>
    <row r="1789" spans="6:23" ht="24" customHeight="1">
      <c r="K1789" s="418" t="s">
        <v>1288</v>
      </c>
      <c r="W1789" s="413"/>
    </row>
    <row r="1790" spans="6:23" ht="24" customHeight="1">
      <c r="K1790" s="414" t="e">
        <f>SUM(K1780:K1789)</f>
        <v>#REF!</v>
      </c>
      <c r="W1790" s="413"/>
    </row>
    <row r="1791" spans="6:23" ht="24" customHeight="1">
      <c r="K1791" s="418" t="s">
        <v>1288</v>
      </c>
      <c r="W1791" s="413"/>
    </row>
    <row r="1792" spans="6:23" ht="24" customHeight="1">
      <c r="K1792" s="418"/>
      <c r="W1792" s="413"/>
    </row>
    <row r="1793" spans="6:23" ht="24" customHeight="1">
      <c r="F1793" s="425">
        <v>86</v>
      </c>
      <c r="H1793" s="412" t="s">
        <v>1678</v>
      </c>
      <c r="K1793" s="414">
        <f>C806</f>
        <v>33.9</v>
      </c>
      <c r="W1793" s="413"/>
    </row>
    <row r="1794" spans="6:23" ht="24" customHeight="1">
      <c r="F1794" s="427"/>
      <c r="H1794" s="412"/>
      <c r="W1794" s="413"/>
    </row>
    <row r="1795" spans="6:23" ht="24" customHeight="1">
      <c r="F1795" s="413" t="s">
        <v>1347</v>
      </c>
      <c r="H1795" s="412" t="s">
        <v>3003</v>
      </c>
      <c r="K1795" s="423">
        <v>10.050000000000001</v>
      </c>
      <c r="W1795" s="413"/>
    </row>
    <row r="1796" spans="6:23" ht="24" customHeight="1">
      <c r="H1796" s="412" t="s">
        <v>1854</v>
      </c>
      <c r="K1796" s="414">
        <f>700*K1795</f>
        <v>7035</v>
      </c>
      <c r="W1796" s="413"/>
    </row>
    <row r="1797" spans="6:23" ht="18.95" customHeight="1">
      <c r="F1797" s="412" t="s">
        <v>790</v>
      </c>
      <c r="H1797" s="412" t="s">
        <v>1942</v>
      </c>
      <c r="K1797" s="414">
        <f>200*K1795</f>
        <v>2010</v>
      </c>
      <c r="L1797" s="414">
        <f>K1795*1000</f>
        <v>10050</v>
      </c>
      <c r="M1797" s="414">
        <f>K1795*1500</f>
        <v>15075</v>
      </c>
      <c r="W1797" s="413"/>
    </row>
    <row r="1798" spans="6:23" ht="18.95" customHeight="1">
      <c r="F1798" s="427"/>
      <c r="G1798" s="414" t="s">
        <v>1833</v>
      </c>
      <c r="H1798" s="412" t="s">
        <v>1671</v>
      </c>
      <c r="W1798" s="413"/>
    </row>
    <row r="1799" spans="6:23" ht="18.95" customHeight="1">
      <c r="H1799" s="412" t="s">
        <v>1855</v>
      </c>
      <c r="W1799" s="413"/>
    </row>
    <row r="1800" spans="6:23" ht="18.95" customHeight="1">
      <c r="H1800" s="412" t="s">
        <v>767</v>
      </c>
      <c r="W1800" s="413"/>
    </row>
    <row r="1801" spans="6:23" ht="18.95" customHeight="1">
      <c r="H1801" s="418" t="s">
        <v>1288</v>
      </c>
      <c r="W1801" s="413"/>
    </row>
    <row r="1802" spans="6:23" ht="18.95" customHeight="1">
      <c r="G1802" s="414" t="s">
        <v>1856</v>
      </c>
      <c r="H1802" s="412" t="s">
        <v>767</v>
      </c>
      <c r="K1802" s="412" t="s">
        <v>1179</v>
      </c>
      <c r="W1802" s="413"/>
    </row>
    <row r="1803" spans="6:23" ht="18.95" customHeight="1">
      <c r="H1803" s="418" t="s">
        <v>1288</v>
      </c>
      <c r="K1803" s="418" t="s">
        <v>1676</v>
      </c>
      <c r="W1803" s="413"/>
    </row>
    <row r="1804" spans="6:23" ht="18.95" customHeight="1">
      <c r="F1804" s="414">
        <v>30</v>
      </c>
      <c r="G1804" s="414" t="s">
        <v>1443</v>
      </c>
      <c r="H1804" s="412" t="s">
        <v>1358</v>
      </c>
      <c r="I1804" s="414">
        <f>(C661)</f>
        <v>11.2</v>
      </c>
      <c r="J1804" s="412" t="s">
        <v>1443</v>
      </c>
      <c r="K1804" s="414">
        <f>(F1804*I1804)</f>
        <v>336</v>
      </c>
      <c r="W1804" s="413"/>
    </row>
    <row r="1805" spans="6:23" ht="18.95" customHeight="1">
      <c r="F1805" s="412" t="s">
        <v>790</v>
      </c>
      <c r="H1805" s="412" t="s">
        <v>1361</v>
      </c>
      <c r="I1805" s="412" t="s">
        <v>790</v>
      </c>
      <c r="K1805" s="412" t="s">
        <v>790</v>
      </c>
      <c r="W1805" s="413"/>
    </row>
    <row r="1806" spans="6:23" ht="18.95" customHeight="1">
      <c r="F1806" s="414">
        <v>8</v>
      </c>
      <c r="G1806" s="414" t="s">
        <v>701</v>
      </c>
      <c r="H1806" s="412" t="s">
        <v>1744</v>
      </c>
      <c r="I1806" s="414">
        <f>(C663)</f>
        <v>8.9</v>
      </c>
      <c r="J1806" s="412" t="s">
        <v>701</v>
      </c>
      <c r="K1806" s="414">
        <f t="shared" ref="K1806:K1812" si="227">(F1806*I1806)</f>
        <v>71.2</v>
      </c>
      <c r="W1806" s="413"/>
    </row>
    <row r="1807" spans="6:23" ht="18.95" customHeight="1">
      <c r="F1807" s="414">
        <v>8</v>
      </c>
      <c r="G1807" s="414" t="s">
        <v>701</v>
      </c>
      <c r="H1807" s="412" t="s">
        <v>376</v>
      </c>
      <c r="I1807" s="414">
        <f>(C672)</f>
        <v>12.65</v>
      </c>
      <c r="J1807" s="412" t="s">
        <v>701</v>
      </c>
      <c r="K1807" s="414">
        <f t="shared" si="227"/>
        <v>101.2</v>
      </c>
      <c r="W1807" s="413"/>
    </row>
    <row r="1808" spans="6:23" ht="18.95" customHeight="1">
      <c r="F1808" s="414">
        <v>3</v>
      </c>
      <c r="G1808" s="414" t="s">
        <v>701</v>
      </c>
      <c r="H1808" s="412" t="s">
        <v>1497</v>
      </c>
      <c r="I1808" s="414">
        <f>(C41)</f>
        <v>738</v>
      </c>
      <c r="J1808" s="412" t="s">
        <v>701</v>
      </c>
      <c r="K1808" s="414">
        <f t="shared" si="227"/>
        <v>2214</v>
      </c>
      <c r="W1808" s="413"/>
    </row>
    <row r="1809" spans="6:23" ht="18.95" customHeight="1">
      <c r="F1809" s="414">
        <v>1</v>
      </c>
      <c r="G1809" s="414" t="s">
        <v>701</v>
      </c>
      <c r="H1809" s="412" t="s">
        <v>1120</v>
      </c>
      <c r="I1809" s="414">
        <f>(C10)</f>
        <v>999</v>
      </c>
      <c r="J1809" s="412" t="s">
        <v>701</v>
      </c>
      <c r="K1809" s="414">
        <f t="shared" si="227"/>
        <v>999</v>
      </c>
      <c r="W1809" s="413"/>
    </row>
    <row r="1810" spans="6:23" ht="18.95" customHeight="1">
      <c r="F1810" s="414">
        <v>2</v>
      </c>
      <c r="G1810" s="414" t="s">
        <v>701</v>
      </c>
      <c r="H1810" s="412" t="s">
        <v>1550</v>
      </c>
      <c r="I1810" s="414">
        <f>(C12)</f>
        <v>651</v>
      </c>
      <c r="J1810" s="412" t="s">
        <v>701</v>
      </c>
      <c r="K1810" s="414">
        <f t="shared" si="227"/>
        <v>1302</v>
      </c>
      <c r="W1810" s="413"/>
    </row>
    <row r="1811" spans="6:23" ht="18.95" customHeight="1">
      <c r="F1811" s="414">
        <v>1</v>
      </c>
      <c r="G1811" s="414" t="s">
        <v>701</v>
      </c>
      <c r="H1811" s="412" t="s">
        <v>245</v>
      </c>
      <c r="I1811" s="414">
        <f>(C13)</f>
        <v>534</v>
      </c>
      <c r="J1811" s="412" t="s">
        <v>701</v>
      </c>
      <c r="K1811" s="414">
        <f t="shared" si="227"/>
        <v>534</v>
      </c>
      <c r="W1811" s="413"/>
    </row>
    <row r="1812" spans="6:23" ht="18.95" customHeight="1">
      <c r="F1812" s="414">
        <v>1</v>
      </c>
      <c r="G1812" s="414" t="s">
        <v>701</v>
      </c>
      <c r="H1812" s="412" t="s">
        <v>1121</v>
      </c>
      <c r="I1812" s="423">
        <v>5</v>
      </c>
      <c r="J1812" s="412" t="s">
        <v>1134</v>
      </c>
      <c r="K1812" s="414">
        <f t="shared" si="227"/>
        <v>5</v>
      </c>
      <c r="W1812" s="413"/>
    </row>
    <row r="1813" spans="6:23" ht="18.95" customHeight="1">
      <c r="H1813" s="412" t="s">
        <v>752</v>
      </c>
      <c r="I1813" s="412" t="s">
        <v>790</v>
      </c>
      <c r="K1813" s="412" t="s">
        <v>790</v>
      </c>
      <c r="W1813" s="413"/>
    </row>
    <row r="1814" spans="6:23" ht="18.95" customHeight="1">
      <c r="G1814" s="414" t="s">
        <v>358</v>
      </c>
      <c r="H1814" s="412" t="s">
        <v>359</v>
      </c>
      <c r="J1814" s="412" t="s">
        <v>358</v>
      </c>
      <c r="K1814" s="414">
        <v>0</v>
      </c>
      <c r="W1814" s="413"/>
    </row>
    <row r="1815" spans="6:23" ht="18.95" customHeight="1">
      <c r="K1815" s="418" t="s">
        <v>1288</v>
      </c>
      <c r="W1815" s="413"/>
    </row>
    <row r="1816" spans="6:23" ht="18.95" customHeight="1">
      <c r="H1816" s="412" t="s">
        <v>1501</v>
      </c>
      <c r="K1816" s="414">
        <f>SUM(K1804:K1814)</f>
        <v>5562.4</v>
      </c>
      <c r="W1816" s="413"/>
    </row>
    <row r="1817" spans="6:23" ht="18.95" customHeight="1">
      <c r="K1817" s="418" t="s">
        <v>1288</v>
      </c>
      <c r="W1817" s="413"/>
    </row>
    <row r="1818" spans="6:23" ht="18.95" customHeight="1">
      <c r="H1818" s="412" t="s">
        <v>1253</v>
      </c>
      <c r="K1818" s="414">
        <f>(K1816/30)</f>
        <v>185.41</v>
      </c>
      <c r="W1818" s="413"/>
    </row>
    <row r="1819" spans="6:23" ht="18.95" customHeight="1">
      <c r="K1819" s="418" t="s">
        <v>1288</v>
      </c>
      <c r="W1819" s="413"/>
    </row>
    <row r="1820" spans="6:23" ht="18.95" customHeight="1">
      <c r="G1820" s="414" t="s">
        <v>419</v>
      </c>
      <c r="H1820" s="412" t="s">
        <v>767</v>
      </c>
      <c r="K1820" s="412" t="s">
        <v>16</v>
      </c>
      <c r="W1820" s="413"/>
    </row>
    <row r="1821" spans="6:23" ht="18.95" customHeight="1">
      <c r="H1821" s="418" t="s">
        <v>1288</v>
      </c>
      <c r="K1821" s="418" t="s">
        <v>1676</v>
      </c>
      <c r="W1821" s="413"/>
    </row>
    <row r="1822" spans="6:23" ht="18.95" customHeight="1">
      <c r="F1822" s="414">
        <v>30</v>
      </c>
      <c r="G1822" s="414" t="s">
        <v>1443</v>
      </c>
      <c r="H1822" s="412" t="s">
        <v>1358</v>
      </c>
      <c r="I1822" s="414">
        <f>(C661)</f>
        <v>11.2</v>
      </c>
      <c r="J1822" s="412" t="s">
        <v>1443</v>
      </c>
      <c r="K1822" s="414">
        <f>(F1822*I1822)</f>
        <v>336</v>
      </c>
      <c r="W1822" s="413"/>
    </row>
    <row r="1823" spans="6:23" ht="18.95" customHeight="1">
      <c r="F1823" s="412" t="s">
        <v>790</v>
      </c>
      <c r="H1823" s="412" t="s">
        <v>1361</v>
      </c>
      <c r="I1823" s="412" t="s">
        <v>790</v>
      </c>
      <c r="K1823" s="412" t="s">
        <v>790</v>
      </c>
      <c r="W1823" s="413"/>
    </row>
    <row r="1824" spans="6:23" ht="18.95" customHeight="1">
      <c r="F1824" s="414">
        <v>8</v>
      </c>
      <c r="G1824" s="414" t="s">
        <v>701</v>
      </c>
      <c r="H1824" s="412" t="s">
        <v>1744</v>
      </c>
      <c r="I1824" s="414">
        <f>(C663)</f>
        <v>8.9</v>
      </c>
      <c r="J1824" s="412" t="s">
        <v>701</v>
      </c>
      <c r="K1824" s="414">
        <f t="shared" ref="K1824:K1830" si="228">(F1824*I1824)</f>
        <v>71.2</v>
      </c>
      <c r="W1824" s="413"/>
    </row>
    <row r="1825" spans="6:23" ht="18.95" customHeight="1">
      <c r="F1825" s="414">
        <v>8</v>
      </c>
      <c r="G1825" s="414" t="s">
        <v>701</v>
      </c>
      <c r="H1825" s="412" t="s">
        <v>376</v>
      </c>
      <c r="I1825" s="414">
        <f>D672</f>
        <v>12.85</v>
      </c>
      <c r="J1825" s="412" t="s">
        <v>701</v>
      </c>
      <c r="K1825" s="414">
        <f t="shared" si="228"/>
        <v>102.8</v>
      </c>
      <c r="W1825" s="413"/>
    </row>
    <row r="1826" spans="6:23" ht="18.95" customHeight="1">
      <c r="F1826" s="414">
        <v>3</v>
      </c>
      <c r="G1826" s="414" t="s">
        <v>701</v>
      </c>
      <c r="H1826" s="412" t="s">
        <v>1497</v>
      </c>
      <c r="I1826" s="414">
        <f>(C41)</f>
        <v>738</v>
      </c>
      <c r="J1826" s="412" t="s">
        <v>701</v>
      </c>
      <c r="K1826" s="414">
        <f t="shared" si="228"/>
        <v>2214</v>
      </c>
      <c r="W1826" s="413"/>
    </row>
    <row r="1827" spans="6:23" ht="18.95" customHeight="1">
      <c r="F1827" s="414">
        <v>1</v>
      </c>
      <c r="G1827" s="414" t="s">
        <v>701</v>
      </c>
      <c r="H1827" s="412" t="s">
        <v>1120</v>
      </c>
      <c r="I1827" s="414">
        <f>(C10)</f>
        <v>999</v>
      </c>
      <c r="J1827" s="412" t="s">
        <v>701</v>
      </c>
      <c r="K1827" s="414">
        <f t="shared" si="228"/>
        <v>999</v>
      </c>
      <c r="W1827" s="413"/>
    </row>
    <row r="1828" spans="6:23" ht="18.95" customHeight="1">
      <c r="F1828" s="414">
        <v>2</v>
      </c>
      <c r="G1828" s="414" t="s">
        <v>701</v>
      </c>
      <c r="H1828" s="412" t="s">
        <v>1550</v>
      </c>
      <c r="I1828" s="414">
        <f>(C12)</f>
        <v>651</v>
      </c>
      <c r="J1828" s="412" t="s">
        <v>701</v>
      </c>
      <c r="K1828" s="414">
        <f t="shared" si="228"/>
        <v>1302</v>
      </c>
      <c r="W1828" s="413"/>
    </row>
    <row r="1829" spans="6:23" ht="18.95" customHeight="1">
      <c r="F1829" s="414">
        <v>1</v>
      </c>
      <c r="G1829" s="414" t="s">
        <v>701</v>
      </c>
      <c r="H1829" s="412" t="s">
        <v>245</v>
      </c>
      <c r="I1829" s="414">
        <f>(C13)</f>
        <v>534</v>
      </c>
      <c r="J1829" s="412" t="s">
        <v>701</v>
      </c>
      <c r="K1829" s="414">
        <f t="shared" si="228"/>
        <v>534</v>
      </c>
      <c r="W1829" s="413"/>
    </row>
    <row r="1830" spans="6:23" ht="18.95" customHeight="1">
      <c r="F1830" s="414">
        <v>1</v>
      </c>
      <c r="G1830" s="414" t="s">
        <v>701</v>
      </c>
      <c r="H1830" s="412" t="s">
        <v>1121</v>
      </c>
      <c r="I1830" s="423">
        <v>3</v>
      </c>
      <c r="J1830" s="412" t="s">
        <v>701</v>
      </c>
      <c r="K1830" s="414">
        <f t="shared" si="228"/>
        <v>3</v>
      </c>
      <c r="W1830" s="413"/>
    </row>
    <row r="1831" spans="6:23" ht="18.95" customHeight="1">
      <c r="H1831" s="412" t="s">
        <v>752</v>
      </c>
      <c r="I1831" s="412" t="s">
        <v>790</v>
      </c>
      <c r="K1831" s="412" t="s">
        <v>790</v>
      </c>
      <c r="W1831" s="413"/>
    </row>
    <row r="1832" spans="6:23" ht="18.95" customHeight="1">
      <c r="G1832" s="414" t="s">
        <v>358</v>
      </c>
      <c r="H1832" s="412" t="s">
        <v>359</v>
      </c>
      <c r="J1832" s="412" t="s">
        <v>358</v>
      </c>
      <c r="K1832" s="414">
        <v>0</v>
      </c>
      <c r="W1832" s="413"/>
    </row>
    <row r="1833" spans="6:23" ht="18.95" customHeight="1">
      <c r="K1833" s="418" t="s">
        <v>1288</v>
      </c>
      <c r="W1833" s="413"/>
    </row>
    <row r="1834" spans="6:23" ht="18.95" customHeight="1">
      <c r="H1834" s="412" t="s">
        <v>1501</v>
      </c>
      <c r="K1834" s="414">
        <f>SUM(K1822:K1832)</f>
        <v>5562</v>
      </c>
      <c r="W1834" s="413"/>
    </row>
    <row r="1835" spans="6:23" ht="18.95" customHeight="1">
      <c r="K1835" s="418" t="s">
        <v>1288</v>
      </c>
      <c r="W1835" s="413"/>
    </row>
    <row r="1836" spans="6:23" ht="18.95" customHeight="1">
      <c r="H1836" s="412" t="s">
        <v>1253</v>
      </c>
      <c r="K1836" s="414">
        <f>(K1834/30)</f>
        <v>185.4</v>
      </c>
      <c r="W1836" s="413"/>
    </row>
    <row r="1837" spans="6:23" ht="18.95" customHeight="1">
      <c r="K1837" s="418" t="s">
        <v>1288</v>
      </c>
      <c r="W1837" s="413"/>
    </row>
    <row r="1838" spans="6:23" ht="18.95" customHeight="1">
      <c r="G1838" s="414" t="s">
        <v>1552</v>
      </c>
      <c r="H1838" s="412" t="s">
        <v>767</v>
      </c>
      <c r="K1838" s="412" t="s">
        <v>17</v>
      </c>
      <c r="W1838" s="413"/>
    </row>
    <row r="1839" spans="6:23" ht="18.95" customHeight="1">
      <c r="H1839" s="418" t="s">
        <v>1288</v>
      </c>
      <c r="K1839" s="418" t="s">
        <v>1676</v>
      </c>
      <c r="W1839" s="413"/>
    </row>
    <row r="1840" spans="6:23" ht="18.95" customHeight="1">
      <c r="F1840" s="414">
        <v>30</v>
      </c>
      <c r="G1840" s="414" t="s">
        <v>1443</v>
      </c>
      <c r="H1840" s="412" t="s">
        <v>1358</v>
      </c>
      <c r="I1840" s="414">
        <f>(C661)</f>
        <v>11.2</v>
      </c>
      <c r="J1840" s="412" t="s">
        <v>1443</v>
      </c>
      <c r="K1840" s="414">
        <f>(F1840*I1840)</f>
        <v>336</v>
      </c>
      <c r="W1840" s="413"/>
    </row>
    <row r="1841" spans="6:23" ht="18.95" customHeight="1">
      <c r="F1841" s="412" t="s">
        <v>790</v>
      </c>
      <c r="H1841" s="412" t="s">
        <v>1361</v>
      </c>
      <c r="I1841" s="412" t="s">
        <v>790</v>
      </c>
      <c r="K1841" s="412" t="s">
        <v>790</v>
      </c>
      <c r="W1841" s="413"/>
    </row>
    <row r="1842" spans="6:23" ht="18.95" customHeight="1">
      <c r="F1842" s="414">
        <v>8</v>
      </c>
      <c r="G1842" s="414" t="s">
        <v>701</v>
      </c>
      <c r="H1842" s="412" t="s">
        <v>1744</v>
      </c>
      <c r="I1842" s="414">
        <f>D663</f>
        <v>10.65</v>
      </c>
      <c r="J1842" s="412" t="s">
        <v>701</v>
      </c>
      <c r="K1842" s="414">
        <f t="shared" ref="K1842:K1848" si="229">(F1842*I1842)</f>
        <v>85.2</v>
      </c>
      <c r="W1842" s="413"/>
    </row>
    <row r="1843" spans="6:23" ht="18.95" customHeight="1">
      <c r="F1843" s="414">
        <v>8</v>
      </c>
      <c r="G1843" s="414" t="s">
        <v>701</v>
      </c>
      <c r="H1843" s="412" t="s">
        <v>376</v>
      </c>
      <c r="I1843" s="414">
        <f>C677</f>
        <v>26.6</v>
      </c>
      <c r="J1843" s="412" t="s">
        <v>701</v>
      </c>
      <c r="K1843" s="414">
        <f t="shared" si="229"/>
        <v>212.8</v>
      </c>
      <c r="W1843" s="413"/>
    </row>
    <row r="1844" spans="6:23" ht="18.95" customHeight="1">
      <c r="F1844" s="414">
        <v>3</v>
      </c>
      <c r="G1844" s="414" t="s">
        <v>701</v>
      </c>
      <c r="H1844" s="412" t="s">
        <v>1497</v>
      </c>
      <c r="I1844" s="414">
        <f>(C41)</f>
        <v>738</v>
      </c>
      <c r="J1844" s="412" t="s">
        <v>701</v>
      </c>
      <c r="K1844" s="414">
        <f t="shared" si="229"/>
        <v>2214</v>
      </c>
      <c r="W1844" s="413"/>
    </row>
    <row r="1845" spans="6:23" ht="18.95" customHeight="1">
      <c r="F1845" s="414">
        <v>1</v>
      </c>
      <c r="G1845" s="414" t="s">
        <v>701</v>
      </c>
      <c r="H1845" s="412" t="s">
        <v>1120</v>
      </c>
      <c r="I1845" s="414">
        <f>(C10)</f>
        <v>999</v>
      </c>
      <c r="J1845" s="412" t="s">
        <v>701</v>
      </c>
      <c r="K1845" s="414">
        <f t="shared" si="229"/>
        <v>999</v>
      </c>
      <c r="W1845" s="413"/>
    </row>
    <row r="1846" spans="6:23" ht="18.95" customHeight="1">
      <c r="F1846" s="414">
        <v>2</v>
      </c>
      <c r="G1846" s="414" t="s">
        <v>701</v>
      </c>
      <c r="H1846" s="412" t="s">
        <v>1550</v>
      </c>
      <c r="I1846" s="414">
        <f>(C12)</f>
        <v>651</v>
      </c>
      <c r="J1846" s="412" t="s">
        <v>701</v>
      </c>
      <c r="K1846" s="414">
        <f t="shared" si="229"/>
        <v>1302</v>
      </c>
      <c r="W1846" s="413"/>
    </row>
    <row r="1847" spans="6:23" ht="18.95" customHeight="1">
      <c r="F1847" s="414">
        <v>1</v>
      </c>
      <c r="G1847" s="414" t="s">
        <v>701</v>
      </c>
      <c r="H1847" s="412" t="s">
        <v>245</v>
      </c>
      <c r="I1847" s="414">
        <f>(C13)</f>
        <v>534</v>
      </c>
      <c r="J1847" s="412" t="s">
        <v>701</v>
      </c>
      <c r="K1847" s="414">
        <f t="shared" si="229"/>
        <v>534</v>
      </c>
      <c r="W1847" s="413"/>
    </row>
    <row r="1848" spans="6:23" ht="18.95" customHeight="1">
      <c r="F1848" s="414">
        <v>1</v>
      </c>
      <c r="G1848" s="414" t="s">
        <v>701</v>
      </c>
      <c r="H1848" s="412" t="s">
        <v>1121</v>
      </c>
      <c r="I1848" s="423">
        <v>5.26</v>
      </c>
      <c r="J1848" s="412" t="s">
        <v>701</v>
      </c>
      <c r="K1848" s="414">
        <f t="shared" si="229"/>
        <v>5.26</v>
      </c>
      <c r="W1848" s="413"/>
    </row>
    <row r="1849" spans="6:23" ht="18.95" customHeight="1">
      <c r="H1849" s="412" t="s">
        <v>752</v>
      </c>
      <c r="I1849" s="412" t="s">
        <v>790</v>
      </c>
      <c r="K1849" s="412" t="s">
        <v>790</v>
      </c>
      <c r="W1849" s="413"/>
    </row>
    <row r="1850" spans="6:23" ht="18.95" customHeight="1">
      <c r="G1850" s="414" t="s">
        <v>358</v>
      </c>
      <c r="H1850" s="412" t="s">
        <v>359</v>
      </c>
      <c r="J1850" s="412" t="s">
        <v>358</v>
      </c>
      <c r="K1850" s="414">
        <v>0</v>
      </c>
      <c r="W1850" s="413"/>
    </row>
    <row r="1851" spans="6:23" ht="18.95" customHeight="1">
      <c r="K1851" s="418" t="s">
        <v>1288</v>
      </c>
      <c r="W1851" s="413"/>
    </row>
    <row r="1852" spans="6:23" ht="18.95" customHeight="1">
      <c r="H1852" s="412" t="s">
        <v>1501</v>
      </c>
      <c r="K1852" s="414">
        <f>SUM(K1840:K1850)</f>
        <v>5688.26</v>
      </c>
      <c r="W1852" s="413"/>
    </row>
    <row r="1853" spans="6:23" ht="18.95" customHeight="1">
      <c r="K1853" s="418" t="s">
        <v>1288</v>
      </c>
      <c r="W1853" s="413"/>
    </row>
    <row r="1854" spans="6:23" ht="18.95" customHeight="1">
      <c r="H1854" s="412" t="s">
        <v>1253</v>
      </c>
      <c r="K1854" s="414">
        <f>(K1852/30)</f>
        <v>189.61</v>
      </c>
      <c r="N1854" s="414" t="s">
        <v>1552</v>
      </c>
      <c r="O1854" s="412" t="s">
        <v>767</v>
      </c>
      <c r="Q1854" s="412"/>
      <c r="R1854" s="412" t="s">
        <v>1402</v>
      </c>
      <c r="W1854" s="413"/>
    </row>
    <row r="1855" spans="6:23" ht="18.95" customHeight="1">
      <c r="K1855" s="418" t="s">
        <v>1288</v>
      </c>
      <c r="O1855" s="418" t="s">
        <v>1288</v>
      </c>
      <c r="Q1855" s="412"/>
      <c r="R1855" s="418" t="s">
        <v>1676</v>
      </c>
      <c r="W1855" s="413"/>
    </row>
    <row r="1856" spans="6:23" ht="24" customHeight="1">
      <c r="M1856" s="414">
        <v>30</v>
      </c>
      <c r="N1856" s="414" t="s">
        <v>1443</v>
      </c>
      <c r="O1856" s="412" t="s">
        <v>1358</v>
      </c>
      <c r="P1856" s="414">
        <f>I1840</f>
        <v>11.2</v>
      </c>
      <c r="Q1856" s="412" t="s">
        <v>1443</v>
      </c>
      <c r="R1856" s="414">
        <f>(M1856*P1856)</f>
        <v>336</v>
      </c>
      <c r="W1856" s="413"/>
    </row>
    <row r="1857" spans="6:23" ht="24" customHeight="1">
      <c r="F1857" s="425">
        <v>52</v>
      </c>
      <c r="G1857" s="414" t="s">
        <v>1833</v>
      </c>
      <c r="H1857" s="412" t="s">
        <v>77</v>
      </c>
      <c r="M1857" s="412" t="s">
        <v>790</v>
      </c>
      <c r="O1857" s="412" t="s">
        <v>1361</v>
      </c>
      <c r="P1857" s="414" t="str">
        <f t="shared" ref="P1857:P1866" si="230">I1841</f>
        <v/>
      </c>
      <c r="Q1857" s="412"/>
      <c r="R1857" s="412" t="s">
        <v>790</v>
      </c>
      <c r="W1857" s="413"/>
    </row>
    <row r="1858" spans="6:23" ht="24" customHeight="1">
      <c r="H1858" s="412" t="s">
        <v>1765</v>
      </c>
      <c r="M1858" s="414">
        <v>8</v>
      </c>
      <c r="N1858" s="414" t="s">
        <v>701</v>
      </c>
      <c r="O1858" s="412" t="s">
        <v>3178</v>
      </c>
      <c r="P1858" s="414">
        <f>C46</f>
        <v>13.55</v>
      </c>
      <c r="Q1858" s="412" t="s">
        <v>701</v>
      </c>
      <c r="R1858" s="414">
        <f t="shared" ref="R1858:R1863" si="231">(M1858*P1858)</f>
        <v>108.4</v>
      </c>
      <c r="W1858" s="413"/>
    </row>
    <row r="1859" spans="6:23" ht="24" customHeight="1">
      <c r="H1859" s="412" t="s">
        <v>1766</v>
      </c>
      <c r="M1859" s="414">
        <v>8</v>
      </c>
      <c r="N1859" s="414" t="s">
        <v>701</v>
      </c>
      <c r="O1859" s="412" t="s">
        <v>3179</v>
      </c>
      <c r="P1859" s="414">
        <f>C53</f>
        <v>37.85</v>
      </c>
      <c r="Q1859" s="412" t="s">
        <v>701</v>
      </c>
      <c r="R1859" s="414">
        <f t="shared" si="231"/>
        <v>302.8</v>
      </c>
      <c r="W1859" s="413"/>
    </row>
    <row r="1860" spans="6:23" ht="24" customHeight="1">
      <c r="H1860" s="412" t="s">
        <v>1142</v>
      </c>
      <c r="M1860" s="414">
        <v>3</v>
      </c>
      <c r="N1860" s="414" t="s">
        <v>701</v>
      </c>
      <c r="O1860" s="412" t="s">
        <v>1497</v>
      </c>
      <c r="P1860" s="414">
        <f t="shared" si="230"/>
        <v>738</v>
      </c>
      <c r="Q1860" s="412" t="s">
        <v>701</v>
      </c>
      <c r="R1860" s="414">
        <f t="shared" si="231"/>
        <v>2214</v>
      </c>
      <c r="W1860" s="413"/>
    </row>
    <row r="1861" spans="6:23" ht="24" customHeight="1">
      <c r="H1861" s="412" t="s">
        <v>1143</v>
      </c>
      <c r="M1861" s="414">
        <v>1</v>
      </c>
      <c r="N1861" s="414" t="s">
        <v>701</v>
      </c>
      <c r="O1861" s="412" t="s">
        <v>1120</v>
      </c>
      <c r="P1861" s="414">
        <f t="shared" si="230"/>
        <v>999</v>
      </c>
      <c r="Q1861" s="412" t="s">
        <v>701</v>
      </c>
      <c r="R1861" s="414">
        <f t="shared" si="231"/>
        <v>999</v>
      </c>
      <c r="W1861" s="413"/>
    </row>
    <row r="1862" spans="6:23" ht="24" customHeight="1">
      <c r="H1862" s="412" t="s">
        <v>1098</v>
      </c>
      <c r="M1862" s="414">
        <v>2</v>
      </c>
      <c r="N1862" s="414" t="s">
        <v>701</v>
      </c>
      <c r="O1862" s="412" t="s">
        <v>1550</v>
      </c>
      <c r="P1862" s="414">
        <f t="shared" si="230"/>
        <v>651</v>
      </c>
      <c r="Q1862" s="412" t="s">
        <v>701</v>
      </c>
      <c r="R1862" s="414">
        <f t="shared" si="231"/>
        <v>1302</v>
      </c>
      <c r="W1862" s="413"/>
    </row>
    <row r="1863" spans="6:23" ht="24" customHeight="1">
      <c r="H1863" s="412" t="s">
        <v>1099</v>
      </c>
      <c r="M1863" s="414">
        <v>1</v>
      </c>
      <c r="N1863" s="414" t="s">
        <v>701</v>
      </c>
      <c r="O1863" s="412" t="s">
        <v>245</v>
      </c>
      <c r="P1863" s="414">
        <f t="shared" si="230"/>
        <v>534</v>
      </c>
      <c r="Q1863" s="412" t="s">
        <v>701</v>
      </c>
      <c r="R1863" s="414">
        <f t="shared" si="231"/>
        <v>534</v>
      </c>
      <c r="W1863" s="413"/>
    </row>
    <row r="1864" spans="6:23" ht="24" customHeight="1">
      <c r="H1864" s="412" t="s">
        <v>567</v>
      </c>
      <c r="N1864" s="414" t="s">
        <v>358</v>
      </c>
      <c r="O1864" s="412" t="s">
        <v>1121</v>
      </c>
      <c r="P1864" s="414">
        <f t="shared" si="230"/>
        <v>5.26</v>
      </c>
      <c r="Q1864" s="412" t="s">
        <v>358</v>
      </c>
      <c r="R1864" s="414">
        <v>5</v>
      </c>
      <c r="W1864" s="413"/>
    </row>
    <row r="1865" spans="6:23" ht="24" customHeight="1">
      <c r="H1865" s="418" t="s">
        <v>1676</v>
      </c>
      <c r="I1865" s="418" t="s">
        <v>1676</v>
      </c>
      <c r="O1865" s="412" t="s">
        <v>752</v>
      </c>
      <c r="P1865" s="414" t="str">
        <f t="shared" si="230"/>
        <v/>
      </c>
      <c r="Q1865" s="412"/>
      <c r="R1865" s="412" t="s">
        <v>790</v>
      </c>
      <c r="W1865" s="413"/>
    </row>
    <row r="1866" spans="6:23" ht="24" customHeight="1">
      <c r="G1866" s="414" t="s">
        <v>1833</v>
      </c>
      <c r="H1866" s="412" t="s">
        <v>739</v>
      </c>
      <c r="N1866" s="414" t="s">
        <v>358</v>
      </c>
      <c r="O1866" s="412" t="s">
        <v>359</v>
      </c>
      <c r="P1866" s="414">
        <f t="shared" si="230"/>
        <v>0</v>
      </c>
      <c r="Q1866" s="412" t="s">
        <v>358</v>
      </c>
      <c r="R1866" s="414">
        <v>0</v>
      </c>
      <c r="W1866" s="413"/>
    </row>
    <row r="1867" spans="6:23" ht="24" customHeight="1">
      <c r="H1867" s="412" t="s">
        <v>651</v>
      </c>
      <c r="Q1867" s="412"/>
      <c r="R1867" s="418" t="s">
        <v>1288</v>
      </c>
      <c r="W1867" s="413"/>
    </row>
    <row r="1868" spans="6:23" ht="24" customHeight="1">
      <c r="G1868" s="414" t="s">
        <v>242</v>
      </c>
      <c r="H1868" s="412" t="s">
        <v>652</v>
      </c>
      <c r="O1868" s="412" t="s">
        <v>1501</v>
      </c>
      <c r="Q1868" s="412"/>
      <c r="R1868" s="414">
        <f>SUM(R1856:R1866)</f>
        <v>5801.2</v>
      </c>
      <c r="W1868" s="413"/>
    </row>
    <row r="1869" spans="6:23" ht="24" customHeight="1">
      <c r="H1869" s="418" t="s">
        <v>1288</v>
      </c>
      <c r="Q1869" s="412"/>
      <c r="R1869" s="418" t="s">
        <v>1288</v>
      </c>
      <c r="W1869" s="413"/>
    </row>
    <row r="1870" spans="6:23" ht="24" customHeight="1">
      <c r="F1870" s="414">
        <v>1</v>
      </c>
      <c r="G1870" s="414" t="s">
        <v>669</v>
      </c>
      <c r="H1870" s="412" t="s">
        <v>494</v>
      </c>
      <c r="I1870" s="414">
        <f>C517</f>
        <v>26</v>
      </c>
      <c r="J1870" s="412" t="s">
        <v>669</v>
      </c>
      <c r="K1870" s="414">
        <f>(F1870*I1870)</f>
        <v>26</v>
      </c>
      <c r="O1870" s="412" t="s">
        <v>1253</v>
      </c>
      <c r="Q1870" s="412"/>
      <c r="R1870" s="414">
        <f>(R1868/30)</f>
        <v>193.37</v>
      </c>
      <c r="W1870" s="413"/>
    </row>
    <row r="1871" spans="6:23" ht="24" customHeight="1">
      <c r="F1871" s="414">
        <v>1</v>
      </c>
      <c r="G1871" s="414" t="s">
        <v>358</v>
      </c>
      <c r="H1871" s="412" t="s">
        <v>1462</v>
      </c>
      <c r="I1871" s="414">
        <f>I1870*0.7</f>
        <v>18.2</v>
      </c>
      <c r="J1871" s="412" t="s">
        <v>358</v>
      </c>
      <c r="K1871" s="414">
        <f>(F1871*I1871)</f>
        <v>18.2</v>
      </c>
      <c r="Q1871" s="412"/>
      <c r="R1871" s="418" t="s">
        <v>1288</v>
      </c>
      <c r="W1871" s="413"/>
    </row>
    <row r="1872" spans="6:23" ht="24" customHeight="1">
      <c r="F1872" s="414">
        <v>1</v>
      </c>
      <c r="G1872" s="414" t="s">
        <v>669</v>
      </c>
      <c r="H1872" s="412" t="s">
        <v>132</v>
      </c>
      <c r="I1872" s="414">
        <f>K1818</f>
        <v>185.41</v>
      </c>
      <c r="J1872" s="412" t="s">
        <v>669</v>
      </c>
      <c r="K1872" s="414">
        <f>(F1872*I1872)</f>
        <v>185.41</v>
      </c>
      <c r="W1872" s="413"/>
    </row>
    <row r="1873" spans="6:23" ht="24" customHeight="1">
      <c r="I1873" s="412" t="s">
        <v>790</v>
      </c>
      <c r="K1873" s="418" t="s">
        <v>1288</v>
      </c>
      <c r="W1873" s="413"/>
    </row>
    <row r="1874" spans="6:23" ht="24" customHeight="1">
      <c r="H1874" s="412" t="s">
        <v>298</v>
      </c>
      <c r="K1874" s="417">
        <f>SUM(K1870:K1872)</f>
        <v>229.61</v>
      </c>
      <c r="W1874" s="413"/>
    </row>
    <row r="1875" spans="6:23" ht="24" customHeight="1">
      <c r="H1875" s="412" t="s">
        <v>790</v>
      </c>
      <c r="I1875" s="412" t="s">
        <v>790</v>
      </c>
      <c r="K1875" s="418" t="s">
        <v>1676</v>
      </c>
      <c r="N1875" s="414" t="s">
        <v>1552</v>
      </c>
      <c r="O1875" s="412" t="s">
        <v>3004</v>
      </c>
      <c r="Q1875" s="412"/>
      <c r="W1875" s="413"/>
    </row>
    <row r="1876" spans="6:23" ht="24" customHeight="1">
      <c r="G1876" s="414" t="s">
        <v>419</v>
      </c>
      <c r="H1876" s="412" t="s">
        <v>596</v>
      </c>
      <c r="O1876" s="418" t="s">
        <v>1288</v>
      </c>
      <c r="Q1876" s="412"/>
      <c r="W1876" s="413"/>
    </row>
    <row r="1877" spans="6:23" ht="24" customHeight="1">
      <c r="H1877" s="418" t="s">
        <v>1288</v>
      </c>
      <c r="M1877" s="414">
        <v>1</v>
      </c>
      <c r="N1877" s="414" t="s">
        <v>669</v>
      </c>
      <c r="O1877" s="412" t="s">
        <v>1977</v>
      </c>
      <c r="P1877" s="414">
        <v>133.69999999999999</v>
      </c>
      <c r="Q1877" s="412" t="s">
        <v>669</v>
      </c>
      <c r="R1877" s="414">
        <f>(M1877*P1877)</f>
        <v>133.69999999999999</v>
      </c>
      <c r="W1877" s="413"/>
    </row>
    <row r="1878" spans="6:23" ht="24" customHeight="1">
      <c r="F1878" s="414">
        <v>1</v>
      </c>
      <c r="G1878" s="414" t="s">
        <v>669</v>
      </c>
      <c r="H1878" s="412" t="s">
        <v>597</v>
      </c>
      <c r="I1878" s="414">
        <f>C518</f>
        <v>35</v>
      </c>
      <c r="J1878" s="412" t="s">
        <v>669</v>
      </c>
      <c r="K1878" s="414">
        <f>(F1878*I1878)</f>
        <v>35</v>
      </c>
      <c r="M1878" s="414">
        <v>1</v>
      </c>
      <c r="N1878" s="414" t="s">
        <v>358</v>
      </c>
      <c r="O1878" s="412" t="s">
        <v>1365</v>
      </c>
      <c r="P1878" s="414">
        <f>P1877*0.2</f>
        <v>26.74</v>
      </c>
      <c r="Q1878" s="412" t="s">
        <v>358</v>
      </c>
      <c r="R1878" s="414">
        <f>(M1878*P1878)</f>
        <v>26.74</v>
      </c>
      <c r="W1878" s="413"/>
    </row>
    <row r="1879" spans="6:23" ht="24" customHeight="1">
      <c r="F1879" s="414">
        <v>1</v>
      </c>
      <c r="G1879" s="414" t="s">
        <v>358</v>
      </c>
      <c r="H1879" s="412" t="s">
        <v>723</v>
      </c>
      <c r="I1879" s="414">
        <f>I1878*0.4</f>
        <v>14</v>
      </c>
      <c r="J1879" s="412" t="s">
        <v>358</v>
      </c>
      <c r="K1879" s="414">
        <f>(F1879*I1879)</f>
        <v>14</v>
      </c>
      <c r="M1879" s="414">
        <v>1</v>
      </c>
      <c r="N1879" s="414" t="s">
        <v>669</v>
      </c>
      <c r="O1879" s="412" t="s">
        <v>132</v>
      </c>
      <c r="P1879" s="414">
        <f>R1870</f>
        <v>193.37</v>
      </c>
      <c r="Q1879" s="412" t="s">
        <v>669</v>
      </c>
      <c r="R1879" s="414">
        <f>(M1879*P1879)</f>
        <v>193.37</v>
      </c>
      <c r="W1879" s="413"/>
    </row>
    <row r="1880" spans="6:23" ht="24" customHeight="1">
      <c r="F1880" s="414">
        <v>1</v>
      </c>
      <c r="G1880" s="414" t="s">
        <v>669</v>
      </c>
      <c r="H1880" s="412" t="s">
        <v>132</v>
      </c>
      <c r="I1880" s="414">
        <f>K1836</f>
        <v>185.4</v>
      </c>
      <c r="J1880" s="412" t="s">
        <v>669</v>
      </c>
      <c r="K1880" s="414">
        <f>(F1880*I1880)</f>
        <v>185.4</v>
      </c>
      <c r="P1880" s="412" t="s">
        <v>790</v>
      </c>
      <c r="Q1880" s="412"/>
      <c r="R1880" s="418" t="s">
        <v>1288</v>
      </c>
      <c r="W1880" s="413"/>
    </row>
    <row r="1881" spans="6:23" ht="24" customHeight="1">
      <c r="I1881" s="412" t="s">
        <v>790</v>
      </c>
      <c r="K1881" s="418" t="s">
        <v>1288</v>
      </c>
      <c r="O1881" s="412" t="s">
        <v>298</v>
      </c>
      <c r="Q1881" s="412"/>
      <c r="R1881" s="417">
        <f>SUM(R1877:R1879)</f>
        <v>353.81</v>
      </c>
      <c r="W1881" s="413"/>
    </row>
    <row r="1882" spans="6:23" ht="24" customHeight="1">
      <c r="H1882" s="412" t="s">
        <v>298</v>
      </c>
      <c r="K1882" s="417">
        <f>SUM(K1878:K1880)</f>
        <v>234.4</v>
      </c>
      <c r="P1882" s="412" t="s">
        <v>790</v>
      </c>
      <c r="Q1882" s="412"/>
      <c r="R1882" s="418" t="s">
        <v>1676</v>
      </c>
      <c r="W1882" s="413"/>
    </row>
    <row r="1883" spans="6:23" ht="24" customHeight="1">
      <c r="I1883" s="412" t="s">
        <v>790</v>
      </c>
      <c r="K1883" s="418" t="s">
        <v>1676</v>
      </c>
      <c r="W1883" s="413"/>
    </row>
    <row r="1884" spans="6:23" ht="24" customHeight="1">
      <c r="G1884" s="414" t="s">
        <v>1552</v>
      </c>
      <c r="H1884" s="412" t="s">
        <v>296</v>
      </c>
      <c r="W1884" s="413"/>
    </row>
    <row r="1885" spans="6:23" ht="24" customHeight="1">
      <c r="H1885" s="418" t="s">
        <v>1288</v>
      </c>
      <c r="N1885" s="414" t="s">
        <v>1552</v>
      </c>
      <c r="O1885" s="412" t="s">
        <v>767</v>
      </c>
      <c r="Q1885" s="412"/>
      <c r="R1885" s="412" t="s">
        <v>2174</v>
      </c>
      <c r="W1885" s="413"/>
    </row>
    <row r="1886" spans="6:23" ht="24" customHeight="1">
      <c r="F1886" s="414">
        <v>1</v>
      </c>
      <c r="G1886" s="414" t="s">
        <v>669</v>
      </c>
      <c r="H1886" s="412" t="s">
        <v>1364</v>
      </c>
      <c r="I1886" s="414">
        <v>52</v>
      </c>
      <c r="J1886" s="412" t="s">
        <v>669</v>
      </c>
      <c r="K1886" s="414">
        <f>(F1886*I1886)</f>
        <v>52</v>
      </c>
      <c r="O1886" s="418" t="s">
        <v>1288</v>
      </c>
      <c r="Q1886" s="412"/>
      <c r="R1886" s="418" t="s">
        <v>1676</v>
      </c>
      <c r="W1886" s="413"/>
    </row>
    <row r="1887" spans="6:23" ht="24" customHeight="1">
      <c r="F1887" s="414">
        <v>1</v>
      </c>
      <c r="G1887" s="414" t="s">
        <v>358</v>
      </c>
      <c r="H1887" s="412" t="s">
        <v>1365</v>
      </c>
      <c r="I1887" s="414">
        <f>I1886*0.2</f>
        <v>10.4</v>
      </c>
      <c r="J1887" s="412" t="s">
        <v>358</v>
      </c>
      <c r="K1887" s="414">
        <f>(F1887*I1887)</f>
        <v>10.4</v>
      </c>
      <c r="M1887" s="414">
        <v>30</v>
      </c>
      <c r="N1887" s="414" t="s">
        <v>1443</v>
      </c>
      <c r="O1887" s="412" t="s">
        <v>3005</v>
      </c>
      <c r="P1887" s="414">
        <f>18.9*10/100+18.9</f>
        <v>20.79</v>
      </c>
      <c r="Q1887" s="412" t="s">
        <v>1443</v>
      </c>
      <c r="R1887" s="414">
        <f>(M1887*P1887)</f>
        <v>623.70000000000005</v>
      </c>
      <c r="W1887" s="413"/>
    </row>
    <row r="1888" spans="6:23" ht="24" customHeight="1">
      <c r="F1888" s="414">
        <v>1</v>
      </c>
      <c r="G1888" s="414" t="s">
        <v>669</v>
      </c>
      <c r="H1888" s="412" t="s">
        <v>132</v>
      </c>
      <c r="I1888" s="414">
        <f>K1854</f>
        <v>189.61</v>
      </c>
      <c r="J1888" s="412" t="s">
        <v>669</v>
      </c>
      <c r="K1888" s="414">
        <f>(F1888*I1888)</f>
        <v>189.61</v>
      </c>
      <c r="M1888" s="412" t="s">
        <v>790</v>
      </c>
      <c r="O1888" s="412" t="s">
        <v>3229</v>
      </c>
      <c r="P1888" s="414" t="str">
        <f t="shared" ref="P1888:P1896" si="232">P1857</f>
        <v/>
      </c>
      <c r="Q1888" s="412"/>
      <c r="R1888" s="412" t="s">
        <v>790</v>
      </c>
      <c r="W1888" s="413"/>
    </row>
    <row r="1889" spans="6:23" ht="24" customHeight="1">
      <c r="I1889" s="412" t="s">
        <v>790</v>
      </c>
      <c r="K1889" s="418" t="s">
        <v>1288</v>
      </c>
      <c r="M1889" s="414">
        <v>8</v>
      </c>
      <c r="N1889" s="414" t="s">
        <v>701</v>
      </c>
      <c r="O1889" s="412" t="s">
        <v>3006</v>
      </c>
      <c r="P1889" s="414">
        <f>C47*10/100+17.35</f>
        <v>19.18</v>
      </c>
      <c r="Q1889" s="412" t="s">
        <v>701</v>
      </c>
      <c r="R1889" s="414">
        <f t="shared" ref="R1889:R1894" si="233">(M1889*P1889)</f>
        <v>153.44</v>
      </c>
      <c r="W1889" s="413"/>
    </row>
    <row r="1890" spans="6:23" ht="24" customHeight="1">
      <c r="H1890" s="412" t="s">
        <v>298</v>
      </c>
      <c r="K1890" s="417">
        <f>SUM(K1886:K1888)</f>
        <v>252.01</v>
      </c>
      <c r="M1890" s="414">
        <v>8</v>
      </c>
      <c r="N1890" s="414" t="s">
        <v>701</v>
      </c>
      <c r="O1890" s="412" t="s">
        <v>3007</v>
      </c>
      <c r="P1890" s="414">
        <f>C48*10/100+40.45</f>
        <v>42.8</v>
      </c>
      <c r="Q1890" s="412" t="s">
        <v>701</v>
      </c>
      <c r="R1890" s="414">
        <f t="shared" si="233"/>
        <v>342.4</v>
      </c>
      <c r="W1890" s="413"/>
    </row>
    <row r="1891" spans="6:23" ht="24" customHeight="1">
      <c r="I1891" s="412" t="s">
        <v>790</v>
      </c>
      <c r="K1891" s="418" t="s">
        <v>1676</v>
      </c>
      <c r="M1891" s="414">
        <v>3</v>
      </c>
      <c r="N1891" s="414" t="s">
        <v>701</v>
      </c>
      <c r="O1891" s="412" t="s">
        <v>1497</v>
      </c>
      <c r="P1891" s="414">
        <f t="shared" si="232"/>
        <v>738</v>
      </c>
      <c r="Q1891" s="412" t="s">
        <v>701</v>
      </c>
      <c r="R1891" s="414">
        <f t="shared" si="233"/>
        <v>2214</v>
      </c>
      <c r="W1891" s="413"/>
    </row>
    <row r="1892" spans="6:23" ht="24" customHeight="1">
      <c r="I1892" s="412"/>
      <c r="K1892" s="418"/>
      <c r="M1892" s="414">
        <v>1</v>
      </c>
      <c r="N1892" s="414" t="s">
        <v>701</v>
      </c>
      <c r="O1892" s="412" t="s">
        <v>1120</v>
      </c>
      <c r="P1892" s="414">
        <f t="shared" si="232"/>
        <v>999</v>
      </c>
      <c r="Q1892" s="412" t="s">
        <v>701</v>
      </c>
      <c r="R1892" s="414">
        <f t="shared" si="233"/>
        <v>999</v>
      </c>
      <c r="W1892" s="413"/>
    </row>
    <row r="1893" spans="6:23" ht="24" customHeight="1">
      <c r="G1893" s="414" t="s">
        <v>1552</v>
      </c>
      <c r="H1893" s="412" t="s">
        <v>2171</v>
      </c>
      <c r="M1893" s="414">
        <v>2</v>
      </c>
      <c r="N1893" s="414" t="s">
        <v>701</v>
      </c>
      <c r="O1893" s="412" t="s">
        <v>1550</v>
      </c>
      <c r="P1893" s="414">
        <f t="shared" si="232"/>
        <v>651</v>
      </c>
      <c r="Q1893" s="412" t="s">
        <v>701</v>
      </c>
      <c r="R1893" s="414">
        <f t="shared" si="233"/>
        <v>1302</v>
      </c>
      <c r="W1893" s="413"/>
    </row>
    <row r="1894" spans="6:23" ht="24" customHeight="1">
      <c r="H1894" s="418" t="s">
        <v>1288</v>
      </c>
      <c r="M1894" s="414">
        <v>1</v>
      </c>
      <c r="N1894" s="414" t="s">
        <v>701</v>
      </c>
      <c r="O1894" s="412" t="s">
        <v>245</v>
      </c>
      <c r="P1894" s="414">
        <f t="shared" si="232"/>
        <v>534</v>
      </c>
      <c r="Q1894" s="412" t="s">
        <v>701</v>
      </c>
      <c r="R1894" s="414">
        <f t="shared" si="233"/>
        <v>534</v>
      </c>
      <c r="W1894" s="413"/>
    </row>
    <row r="1895" spans="6:23" ht="24" customHeight="1">
      <c r="F1895" s="414">
        <v>1</v>
      </c>
      <c r="G1895" s="414" t="s">
        <v>669</v>
      </c>
      <c r="H1895" s="412" t="s">
        <v>2172</v>
      </c>
      <c r="I1895" s="414">
        <f>C521</f>
        <v>82</v>
      </c>
      <c r="J1895" s="412" t="s">
        <v>669</v>
      </c>
      <c r="K1895" s="414">
        <f>(F1895*I1895)</f>
        <v>82</v>
      </c>
      <c r="N1895" s="414" t="s">
        <v>358</v>
      </c>
      <c r="O1895" s="412" t="s">
        <v>1121</v>
      </c>
      <c r="P1895" s="414">
        <f t="shared" si="232"/>
        <v>5.26</v>
      </c>
      <c r="Q1895" s="412" t="s">
        <v>358</v>
      </c>
      <c r="R1895" s="414">
        <v>5.26</v>
      </c>
      <c r="W1895" s="413"/>
    </row>
    <row r="1896" spans="6:23" ht="24" customHeight="1">
      <c r="F1896" s="414">
        <v>1</v>
      </c>
      <c r="G1896" s="414" t="s">
        <v>358</v>
      </c>
      <c r="H1896" s="412" t="s">
        <v>1365</v>
      </c>
      <c r="I1896" s="414">
        <f>I1895*0.2</f>
        <v>16.399999999999999</v>
      </c>
      <c r="J1896" s="412" t="s">
        <v>358</v>
      </c>
      <c r="K1896" s="414">
        <f>(F1896*I1896)</f>
        <v>16.399999999999999</v>
      </c>
      <c r="O1896" s="412" t="s">
        <v>752</v>
      </c>
      <c r="P1896" s="414" t="str">
        <f t="shared" si="232"/>
        <v/>
      </c>
      <c r="Q1896" s="412"/>
      <c r="R1896" s="412" t="s">
        <v>790</v>
      </c>
      <c r="W1896" s="413"/>
    </row>
    <row r="1897" spans="6:23" ht="24" customHeight="1">
      <c r="F1897" s="414">
        <v>1</v>
      </c>
      <c r="G1897" s="414" t="s">
        <v>669</v>
      </c>
      <c r="H1897" s="412" t="s">
        <v>132</v>
      </c>
      <c r="I1897" s="414">
        <f>I1888</f>
        <v>189.61</v>
      </c>
      <c r="J1897" s="412" t="s">
        <v>669</v>
      </c>
      <c r="K1897" s="414">
        <f>(F1897*I1897)</f>
        <v>189.61</v>
      </c>
      <c r="N1897" s="414" t="s">
        <v>358</v>
      </c>
      <c r="O1897" s="412" t="s">
        <v>359</v>
      </c>
      <c r="P1897" s="414" t="str">
        <f>I1881</f>
        <v/>
      </c>
      <c r="Q1897" s="412" t="s">
        <v>358</v>
      </c>
      <c r="R1897" s="414">
        <v>0</v>
      </c>
      <c r="W1897" s="413"/>
    </row>
    <row r="1898" spans="6:23" ht="24" customHeight="1">
      <c r="I1898" s="412" t="s">
        <v>790</v>
      </c>
      <c r="K1898" s="418" t="s">
        <v>1288</v>
      </c>
      <c r="Q1898" s="412"/>
      <c r="R1898" s="418" t="s">
        <v>1288</v>
      </c>
      <c r="W1898" s="413"/>
    </row>
    <row r="1899" spans="6:23" ht="24" customHeight="1">
      <c r="H1899" s="412" t="s">
        <v>298</v>
      </c>
      <c r="K1899" s="417">
        <f>SUM(K1895:K1897)</f>
        <v>288.01</v>
      </c>
      <c r="O1899" s="412" t="s">
        <v>1501</v>
      </c>
      <c r="Q1899" s="412"/>
      <c r="R1899" s="414">
        <f>SUM(R1887:R1897)</f>
        <v>6173.8</v>
      </c>
      <c r="W1899" s="413"/>
    </row>
    <row r="1900" spans="6:23" ht="24" customHeight="1">
      <c r="I1900" s="412" t="s">
        <v>790</v>
      </c>
      <c r="K1900" s="418" t="s">
        <v>1676</v>
      </c>
      <c r="Q1900" s="412"/>
      <c r="R1900" s="418" t="s">
        <v>1288</v>
      </c>
      <c r="W1900" s="413"/>
    </row>
    <row r="1901" spans="6:23" ht="24" customHeight="1">
      <c r="I1901" s="412"/>
      <c r="K1901" s="418"/>
      <c r="O1901" s="412" t="s">
        <v>1253</v>
      </c>
      <c r="Q1901" s="412"/>
      <c r="R1901" s="414">
        <f>(R1899/30)</f>
        <v>205.79</v>
      </c>
      <c r="W1901" s="413"/>
    </row>
    <row r="1902" spans="6:23" ht="39" customHeight="1">
      <c r="F1902" s="438">
        <v>52.1</v>
      </c>
      <c r="H1902" s="431" t="s">
        <v>1795</v>
      </c>
      <c r="I1902" s="412"/>
      <c r="K1902" s="418"/>
      <c r="Q1902" s="412"/>
      <c r="R1902" s="418" t="s">
        <v>1288</v>
      </c>
      <c r="W1902" s="413"/>
    </row>
    <row r="1903" spans="6:23" ht="24" customHeight="1">
      <c r="I1903" s="412"/>
      <c r="K1903" s="418"/>
      <c r="W1903" s="413"/>
    </row>
    <row r="1904" spans="6:23" ht="24" customHeight="1">
      <c r="F1904" s="413"/>
      <c r="H1904" s="412" t="s">
        <v>1671</v>
      </c>
      <c r="I1904" s="412"/>
      <c r="K1904" s="418"/>
      <c r="W1904" s="413"/>
    </row>
    <row r="1905" spans="6:23" ht="24" customHeight="1">
      <c r="H1905" s="412" t="s">
        <v>1796</v>
      </c>
      <c r="I1905" s="412"/>
      <c r="K1905" s="418"/>
      <c r="W1905" s="413"/>
    </row>
    <row r="1906" spans="6:23" ht="24" customHeight="1">
      <c r="H1906" s="418" t="s">
        <v>1288</v>
      </c>
      <c r="I1906" s="412"/>
      <c r="K1906" s="418"/>
      <c r="N1906" s="414" t="s">
        <v>1552</v>
      </c>
      <c r="O1906" s="412" t="s">
        <v>2171</v>
      </c>
      <c r="Q1906" s="412"/>
      <c r="W1906" s="413"/>
    </row>
    <row r="1907" spans="6:23" ht="24" customHeight="1">
      <c r="F1907" s="414">
        <v>30</v>
      </c>
      <c r="G1907" s="414" t="s">
        <v>1443</v>
      </c>
      <c r="H1907" s="412" t="s">
        <v>120</v>
      </c>
      <c r="I1907" s="423">
        <f>E661</f>
        <v>17.3</v>
      </c>
      <c r="J1907" s="412" t="s">
        <v>1443</v>
      </c>
      <c r="K1907" s="414">
        <f>(F1907*I1907)</f>
        <v>519</v>
      </c>
      <c r="O1907" s="418" t="s">
        <v>1288</v>
      </c>
      <c r="Q1907" s="412"/>
      <c r="W1907" s="413"/>
    </row>
    <row r="1908" spans="6:23" ht="24" customHeight="1">
      <c r="F1908" s="414">
        <v>8</v>
      </c>
      <c r="G1908" s="414" t="s">
        <v>701</v>
      </c>
      <c r="H1908" s="412" t="s">
        <v>1744</v>
      </c>
      <c r="I1908" s="423">
        <f>C663</f>
        <v>8.9</v>
      </c>
      <c r="J1908" s="412" t="s">
        <v>701</v>
      </c>
      <c r="K1908" s="414">
        <f t="shared" ref="K1908:K1913" si="234">(F1908*I1908)</f>
        <v>71.2</v>
      </c>
      <c r="M1908" s="414">
        <v>1</v>
      </c>
      <c r="N1908" s="414" t="s">
        <v>669</v>
      </c>
      <c r="O1908" s="412" t="s">
        <v>2173</v>
      </c>
      <c r="P1908" s="414">
        <v>82</v>
      </c>
      <c r="Q1908" s="412" t="s">
        <v>669</v>
      </c>
      <c r="R1908" s="414">
        <f>(M1908*P1908)</f>
        <v>82</v>
      </c>
      <c r="W1908" s="413"/>
    </row>
    <row r="1909" spans="6:23" ht="24" customHeight="1">
      <c r="F1909" s="414">
        <v>8</v>
      </c>
      <c r="G1909" s="414" t="s">
        <v>701</v>
      </c>
      <c r="H1909" s="412" t="s">
        <v>376</v>
      </c>
      <c r="I1909" s="423">
        <f>D672</f>
        <v>12.85</v>
      </c>
      <c r="J1909" s="412" t="s">
        <v>701</v>
      </c>
      <c r="K1909" s="414">
        <f t="shared" si="234"/>
        <v>102.8</v>
      </c>
      <c r="M1909" s="414">
        <v>1</v>
      </c>
      <c r="N1909" s="414" t="s">
        <v>358</v>
      </c>
      <c r="O1909" s="412" t="s">
        <v>1365</v>
      </c>
      <c r="P1909" s="414">
        <f>P1908*0.2</f>
        <v>16.399999999999999</v>
      </c>
      <c r="Q1909" s="412" t="s">
        <v>358</v>
      </c>
      <c r="R1909" s="414">
        <f>(M1909*P1909)</f>
        <v>16.399999999999999</v>
      </c>
      <c r="W1909" s="413"/>
    </row>
    <row r="1910" spans="6:23" ht="24" customHeight="1">
      <c r="F1910" s="414">
        <v>3</v>
      </c>
      <c r="G1910" s="414" t="s">
        <v>701</v>
      </c>
      <c r="H1910" s="412" t="s">
        <v>1497</v>
      </c>
      <c r="I1910" s="423">
        <f>C41</f>
        <v>738</v>
      </c>
      <c r="J1910" s="412" t="s">
        <v>701</v>
      </c>
      <c r="K1910" s="414">
        <f t="shared" si="234"/>
        <v>2214</v>
      </c>
      <c r="M1910" s="414">
        <v>1</v>
      </c>
      <c r="N1910" s="414" t="s">
        <v>669</v>
      </c>
      <c r="O1910" s="412" t="s">
        <v>132</v>
      </c>
      <c r="P1910" s="414">
        <f>R1901</f>
        <v>205.79</v>
      </c>
      <c r="Q1910" s="412" t="s">
        <v>669</v>
      </c>
      <c r="R1910" s="414">
        <f>(M1910*P1910)</f>
        <v>205.79</v>
      </c>
      <c r="W1910" s="413"/>
    </row>
    <row r="1911" spans="6:23" ht="24" customHeight="1">
      <c r="F1911" s="414">
        <v>1</v>
      </c>
      <c r="G1911" s="414" t="s">
        <v>701</v>
      </c>
      <c r="H1911" s="412" t="s">
        <v>1120</v>
      </c>
      <c r="I1911" s="423">
        <f>C10</f>
        <v>999</v>
      </c>
      <c r="J1911" s="412" t="s">
        <v>701</v>
      </c>
      <c r="K1911" s="414">
        <f t="shared" si="234"/>
        <v>999</v>
      </c>
      <c r="P1911" s="412" t="s">
        <v>790</v>
      </c>
      <c r="Q1911" s="412"/>
      <c r="R1911" s="418" t="s">
        <v>1288</v>
      </c>
      <c r="W1911" s="413"/>
    </row>
    <row r="1912" spans="6:23" ht="24" customHeight="1">
      <c r="F1912" s="414">
        <v>2</v>
      </c>
      <c r="G1912" s="414" t="s">
        <v>701</v>
      </c>
      <c r="H1912" s="412" t="s">
        <v>1550</v>
      </c>
      <c r="I1912" s="423">
        <f>C12</f>
        <v>651</v>
      </c>
      <c r="J1912" s="412" t="s">
        <v>701</v>
      </c>
      <c r="K1912" s="414">
        <f t="shared" si="234"/>
        <v>1302</v>
      </c>
      <c r="O1912" s="412" t="s">
        <v>298</v>
      </c>
      <c r="Q1912" s="412"/>
      <c r="R1912" s="417">
        <f>SUM(R1908:R1910)</f>
        <v>304.19</v>
      </c>
      <c r="W1912" s="413"/>
    </row>
    <row r="1913" spans="6:23" ht="24" customHeight="1">
      <c r="F1913" s="414">
        <v>1</v>
      </c>
      <c r="G1913" s="414" t="s">
        <v>701</v>
      </c>
      <c r="H1913" s="412" t="s">
        <v>245</v>
      </c>
      <c r="I1913" s="423">
        <f>C13</f>
        <v>534</v>
      </c>
      <c r="J1913" s="412" t="s">
        <v>701</v>
      </c>
      <c r="K1913" s="414">
        <f t="shared" si="234"/>
        <v>534</v>
      </c>
      <c r="P1913" s="412" t="s">
        <v>790</v>
      </c>
      <c r="Q1913" s="412"/>
      <c r="R1913" s="418" t="s">
        <v>1676</v>
      </c>
      <c r="W1913" s="413"/>
    </row>
    <row r="1914" spans="6:23" ht="24" customHeight="1">
      <c r="K1914" s="418" t="s">
        <v>1288</v>
      </c>
      <c r="W1914" s="413"/>
    </row>
    <row r="1915" spans="6:23" ht="24" customHeight="1">
      <c r="H1915" s="412" t="s">
        <v>1501</v>
      </c>
      <c r="K1915" s="414">
        <f>SUM(K1907:K1913)</f>
        <v>5742</v>
      </c>
      <c r="W1915" s="413"/>
    </row>
    <row r="1916" spans="6:23" ht="24" customHeight="1">
      <c r="K1916" s="418" t="s">
        <v>1288</v>
      </c>
      <c r="W1916" s="413"/>
    </row>
    <row r="1917" spans="6:23" ht="24" customHeight="1">
      <c r="H1917" s="412" t="s">
        <v>1253</v>
      </c>
      <c r="K1917" s="414">
        <f>(K1915/30)</f>
        <v>191.4</v>
      </c>
      <c r="W1917" s="413"/>
    </row>
    <row r="1918" spans="6:23" ht="24" customHeight="1">
      <c r="K1918" s="418" t="s">
        <v>1288</v>
      </c>
      <c r="W1918" s="413"/>
    </row>
    <row r="1919" spans="6:23" ht="24" customHeight="1">
      <c r="I1919" s="412"/>
      <c r="K1919" s="418"/>
      <c r="W1919" s="413"/>
    </row>
    <row r="1920" spans="6:23" ht="24" customHeight="1">
      <c r="H1920" s="414" t="s">
        <v>262</v>
      </c>
      <c r="I1920" s="412"/>
      <c r="K1920" s="418"/>
      <c r="W1920" s="413"/>
    </row>
    <row r="1921" spans="6:23" ht="24" customHeight="1">
      <c r="H1921" s="418" t="s">
        <v>1288</v>
      </c>
      <c r="I1921" s="412"/>
      <c r="K1921" s="418"/>
      <c r="W1921" s="413"/>
    </row>
    <row r="1922" spans="6:23" ht="24" customHeight="1">
      <c r="F1922" s="414">
        <v>1</v>
      </c>
      <c r="G1922" s="414" t="s">
        <v>669</v>
      </c>
      <c r="H1922" s="412" t="s">
        <v>263</v>
      </c>
      <c r="I1922" s="423">
        <f>E698</f>
        <v>98.6</v>
      </c>
      <c r="J1922" s="412" t="s">
        <v>669</v>
      </c>
      <c r="K1922" s="414">
        <f>(F1922*I1922)</f>
        <v>98.6</v>
      </c>
      <c r="W1922" s="413"/>
    </row>
    <row r="1923" spans="6:23" ht="24" customHeight="1">
      <c r="F1923" s="414">
        <v>1</v>
      </c>
      <c r="G1923" s="414" t="s">
        <v>358</v>
      </c>
      <c r="H1923" s="412" t="s">
        <v>264</v>
      </c>
      <c r="I1923" s="423">
        <f>I1922*0.2</f>
        <v>19.72</v>
      </c>
      <c r="J1923" s="412" t="s">
        <v>358</v>
      </c>
      <c r="K1923" s="414">
        <f>(F1923*I1923)</f>
        <v>19.72</v>
      </c>
      <c r="W1923" s="413"/>
    </row>
    <row r="1924" spans="6:23" ht="24" customHeight="1">
      <c r="F1924" s="414">
        <v>1</v>
      </c>
      <c r="G1924" s="414" t="s">
        <v>669</v>
      </c>
      <c r="H1924" s="412" t="s">
        <v>132</v>
      </c>
      <c r="I1924" s="423">
        <f>K1917</f>
        <v>191.4</v>
      </c>
      <c r="J1924" s="412" t="s">
        <v>669</v>
      </c>
      <c r="K1924" s="414">
        <f>(F1924*I1924)</f>
        <v>191.4</v>
      </c>
      <c r="W1924" s="413"/>
    </row>
    <row r="1925" spans="6:23" ht="24" customHeight="1">
      <c r="H1925" s="426" t="s">
        <v>870</v>
      </c>
      <c r="I1925" s="423"/>
      <c r="J1925" s="412" t="s">
        <v>358</v>
      </c>
      <c r="K1925" s="414">
        <f>1.25+0.47</f>
        <v>1.72</v>
      </c>
      <c r="W1925" s="413"/>
    </row>
    <row r="1926" spans="6:23" ht="24" customHeight="1">
      <c r="I1926" s="412"/>
      <c r="K1926" s="418" t="s">
        <v>1288</v>
      </c>
      <c r="W1926" s="413"/>
    </row>
    <row r="1927" spans="6:23" ht="24" customHeight="1">
      <c r="H1927" s="412" t="s">
        <v>298</v>
      </c>
      <c r="I1927" s="412"/>
      <c r="K1927" s="417">
        <f>SUM(K1922:K1925)</f>
        <v>311.44</v>
      </c>
      <c r="W1927" s="413"/>
    </row>
    <row r="1928" spans="6:23" ht="24" customHeight="1">
      <c r="I1928" s="412"/>
      <c r="K1928" s="418" t="s">
        <v>1676</v>
      </c>
      <c r="W1928" s="413"/>
    </row>
    <row r="1929" spans="6:23" ht="24" customHeight="1">
      <c r="I1929" s="412"/>
      <c r="K1929" s="418"/>
      <c r="W1929" s="413"/>
    </row>
    <row r="1930" spans="6:23" ht="24" hidden="1" customHeight="1">
      <c r="I1930" s="412"/>
      <c r="K1930" s="418"/>
      <c r="W1930" s="413"/>
    </row>
    <row r="1931" spans="6:23" ht="24" customHeight="1">
      <c r="F1931" s="427">
        <v>53.1</v>
      </c>
      <c r="G1931" s="414" t="s">
        <v>1833</v>
      </c>
      <c r="H1931" s="412" t="s">
        <v>1807</v>
      </c>
      <c r="W1931" s="413"/>
    </row>
    <row r="1932" spans="6:23" ht="24" customHeight="1">
      <c r="H1932" s="415" t="s">
        <v>4346</v>
      </c>
      <c r="W1932" s="413"/>
    </row>
    <row r="1933" spans="6:23" ht="24" customHeight="1">
      <c r="H1933" s="412" t="s">
        <v>930</v>
      </c>
      <c r="W1933" s="413"/>
    </row>
    <row r="1934" spans="6:23" ht="24" customHeight="1">
      <c r="H1934" s="412" t="s">
        <v>931</v>
      </c>
      <c r="W1934" s="413"/>
    </row>
    <row r="1935" spans="6:23" ht="24" customHeight="1">
      <c r="H1935" s="418" t="s">
        <v>1288</v>
      </c>
      <c r="W1935" s="413"/>
    </row>
    <row r="1936" spans="6:23" ht="85.5" customHeight="1">
      <c r="F1936" s="414">
        <v>1</v>
      </c>
      <c r="G1936" s="414" t="s">
        <v>701</v>
      </c>
      <c r="H1936" s="426" t="s">
        <v>1282</v>
      </c>
      <c r="I1936" s="414">
        <v>1672</v>
      </c>
      <c r="J1936" s="412" t="s">
        <v>701</v>
      </c>
      <c r="K1936" s="414">
        <f>(F1936*I1936)</f>
        <v>1672</v>
      </c>
      <c r="W1936" s="413"/>
    </row>
    <row r="1937" spans="6:23" ht="24" customHeight="1">
      <c r="H1937" s="412"/>
      <c r="W1937" s="413"/>
    </row>
    <row r="1938" spans="6:23" ht="24" hidden="1" customHeight="1">
      <c r="H1938" s="412"/>
      <c r="J1938" s="413"/>
      <c r="W1938" s="413"/>
    </row>
    <row r="1939" spans="6:23" ht="24" customHeight="1">
      <c r="F1939" s="414">
        <v>1</v>
      </c>
      <c r="G1939" s="414" t="s">
        <v>701</v>
      </c>
      <c r="H1939" s="412" t="s">
        <v>3180</v>
      </c>
      <c r="I1939" s="414">
        <v>-169</v>
      </c>
      <c r="J1939" s="412" t="s">
        <v>701</v>
      </c>
      <c r="K1939" s="414">
        <f>(F1939*I1939)</f>
        <v>-169</v>
      </c>
      <c r="W1939" s="413"/>
    </row>
    <row r="1940" spans="6:23" ht="24" customHeight="1">
      <c r="H1940" s="412"/>
      <c r="J1940" s="413"/>
      <c r="W1940" s="413"/>
    </row>
    <row r="1941" spans="6:23" ht="24" customHeight="1">
      <c r="F1941" s="414">
        <v>1</v>
      </c>
      <c r="G1941" s="414" t="s">
        <v>701</v>
      </c>
      <c r="H1941" s="412" t="s">
        <v>1736</v>
      </c>
      <c r="I1941" s="414">
        <v>250</v>
      </c>
      <c r="J1941" s="412" t="s">
        <v>701</v>
      </c>
      <c r="K1941" s="414">
        <f>(F1941*I1941)</f>
        <v>250</v>
      </c>
      <c r="W1941" s="413"/>
    </row>
    <row r="1942" spans="6:23" ht="24" customHeight="1">
      <c r="H1942" s="412"/>
      <c r="W1942" s="413"/>
    </row>
    <row r="1943" spans="6:23" ht="24" customHeight="1">
      <c r="F1943" s="414">
        <v>0.5</v>
      </c>
      <c r="G1943" s="414" t="s">
        <v>701</v>
      </c>
      <c r="H1943" s="412" t="s">
        <v>1711</v>
      </c>
      <c r="I1943" s="414">
        <f>(C15)</f>
        <v>866</v>
      </c>
      <c r="J1943" s="412" t="s">
        <v>701</v>
      </c>
      <c r="K1943" s="414">
        <f>(F1943*I1943)</f>
        <v>433</v>
      </c>
      <c r="N1943" s="414">
        <f>7635</f>
        <v>7635</v>
      </c>
      <c r="W1943" s="413"/>
    </row>
    <row r="1944" spans="6:23" ht="24" customHeight="1">
      <c r="F1944" s="414">
        <v>1</v>
      </c>
      <c r="G1944" s="414" t="s">
        <v>701</v>
      </c>
      <c r="H1944" s="412" t="s">
        <v>1550</v>
      </c>
      <c r="I1944" s="414">
        <f>(C12)</f>
        <v>651</v>
      </c>
      <c r="J1944" s="412" t="s">
        <v>701</v>
      </c>
      <c r="K1944" s="414">
        <f>(F1944*I1944)</f>
        <v>651</v>
      </c>
      <c r="N1944" s="414">
        <f>N1943*4%</f>
        <v>305.39999999999998</v>
      </c>
      <c r="W1944" s="413"/>
    </row>
    <row r="1945" spans="6:23" ht="24" customHeight="1">
      <c r="F1945" s="414">
        <v>0.5</v>
      </c>
      <c r="G1945" s="414" t="s">
        <v>701</v>
      </c>
      <c r="H1945" s="412" t="s">
        <v>1637</v>
      </c>
      <c r="I1945" s="414">
        <f>(C10)</f>
        <v>999</v>
      </c>
      <c r="J1945" s="412" t="s">
        <v>701</v>
      </c>
      <c r="K1945" s="414">
        <f>(F1945*I1945)</f>
        <v>499.5</v>
      </c>
      <c r="N1945" s="414">
        <f>SUM(N1943:N1944)</f>
        <v>7940.4</v>
      </c>
      <c r="W1945" s="413"/>
    </row>
    <row r="1946" spans="6:23" ht="24" customHeight="1">
      <c r="G1946" s="414" t="s">
        <v>358</v>
      </c>
      <c r="H1946" s="412" t="s">
        <v>932</v>
      </c>
      <c r="J1946" s="412" t="s">
        <v>358</v>
      </c>
      <c r="K1946" s="414">
        <v>0.82</v>
      </c>
      <c r="W1946" s="413"/>
    </row>
    <row r="1947" spans="6:23" ht="24" customHeight="1">
      <c r="K1947" s="418" t="s">
        <v>1288</v>
      </c>
      <c r="W1947" s="413"/>
    </row>
    <row r="1948" spans="6:23" ht="24" customHeight="1">
      <c r="H1948" s="412" t="s">
        <v>1428</v>
      </c>
      <c r="K1948" s="414">
        <f>SUM(K1936:K1946)</f>
        <v>3337.32</v>
      </c>
      <c r="W1948" s="413"/>
    </row>
    <row r="1949" spans="6:23" ht="24" customHeight="1">
      <c r="K1949" s="418" t="s">
        <v>1288</v>
      </c>
      <c r="W1949" s="413"/>
    </row>
    <row r="1950" spans="6:23" ht="24" customHeight="1">
      <c r="F1950" s="413" t="s">
        <v>1138</v>
      </c>
      <c r="H1950" s="412" t="s">
        <v>1139</v>
      </c>
      <c r="J1950" s="412" t="s">
        <v>1134</v>
      </c>
      <c r="K1950" s="412">
        <v>967.5</v>
      </c>
      <c r="V1950" s="412" t="s">
        <v>1179</v>
      </c>
      <c r="W1950" s="413"/>
    </row>
    <row r="1951" spans="6:23" ht="24" customHeight="1">
      <c r="H1951" s="412" t="s">
        <v>3181</v>
      </c>
      <c r="J1951" s="412" t="s">
        <v>1134</v>
      </c>
      <c r="K1951" s="412">
        <v>1864</v>
      </c>
      <c r="W1951" s="413"/>
    </row>
    <row r="1952" spans="6:23" ht="24" customHeight="1">
      <c r="F1952" s="413" t="s">
        <v>1140</v>
      </c>
      <c r="H1952" s="412" t="s">
        <v>817</v>
      </c>
      <c r="J1952" s="412" t="s">
        <v>1134</v>
      </c>
      <c r="K1952" s="412">
        <v>30</v>
      </c>
      <c r="W1952" s="413"/>
    </row>
    <row r="1953" spans="6:23" ht="24" customHeight="1">
      <c r="F1953" s="413"/>
      <c r="H1953" s="412"/>
      <c r="K1953" s="412"/>
      <c r="W1953" s="413"/>
    </row>
    <row r="1954" spans="6:23" ht="24" customHeight="1">
      <c r="F1954" s="425">
        <v>54</v>
      </c>
      <c r="G1954" s="414" t="s">
        <v>1833</v>
      </c>
      <c r="H1954" s="412" t="s">
        <v>3008</v>
      </c>
      <c r="J1954" s="412" t="s">
        <v>1134</v>
      </c>
      <c r="K1954" s="414">
        <v>206</v>
      </c>
      <c r="W1954" s="413"/>
    </row>
    <row r="1955" spans="6:23" ht="24" customHeight="1">
      <c r="K1955" s="418" t="s">
        <v>1676</v>
      </c>
      <c r="W1955" s="413"/>
    </row>
    <row r="1956" spans="6:23" ht="24" hidden="1" customHeight="1">
      <c r="W1956" s="413"/>
    </row>
    <row r="1957" spans="6:23" ht="24" customHeight="1">
      <c r="F1957" s="427">
        <v>54.1</v>
      </c>
      <c r="G1957" s="414" t="s">
        <v>1833</v>
      </c>
      <c r="H1957" s="412" t="s">
        <v>1053</v>
      </c>
      <c r="J1957" s="412" t="s">
        <v>1134</v>
      </c>
      <c r="K1957" s="414">
        <v>300</v>
      </c>
      <c r="W1957" s="413"/>
    </row>
    <row r="1958" spans="6:23" ht="24" customHeight="1">
      <c r="K1958" s="418" t="s">
        <v>1676</v>
      </c>
      <c r="W1958" s="413"/>
    </row>
    <row r="1959" spans="6:23" ht="24" hidden="1" customHeight="1">
      <c r="W1959" s="413"/>
    </row>
    <row r="1960" spans="6:23" ht="24" customHeight="1">
      <c r="F1960" s="427">
        <v>54.2</v>
      </c>
      <c r="G1960" s="414" t="s">
        <v>1833</v>
      </c>
      <c r="H1960" s="412" t="s">
        <v>757</v>
      </c>
      <c r="J1960" s="412" t="s">
        <v>1134</v>
      </c>
      <c r="K1960" s="414">
        <v>250</v>
      </c>
      <c r="W1960" s="413"/>
    </row>
    <row r="1961" spans="6:23" ht="24" customHeight="1">
      <c r="K1961" s="418" t="s">
        <v>1676</v>
      </c>
      <c r="W1961" s="413"/>
    </row>
    <row r="1962" spans="6:23" ht="24" customHeight="1">
      <c r="W1962" s="413"/>
    </row>
    <row r="1963" spans="6:23" ht="24" customHeight="1">
      <c r="F1963" s="413" t="s">
        <v>928</v>
      </c>
      <c r="G1963" s="414" t="s">
        <v>1833</v>
      </c>
      <c r="H1963" s="412" t="s">
        <v>61</v>
      </c>
      <c r="M1963" s="413" t="s">
        <v>928</v>
      </c>
      <c r="N1963" s="414" t="s">
        <v>1833</v>
      </c>
      <c r="O1963" s="412" t="s">
        <v>61</v>
      </c>
      <c r="Q1963" s="412"/>
      <c r="W1963" s="413"/>
    </row>
    <row r="1964" spans="6:23" ht="24" customHeight="1">
      <c r="H1964" s="412" t="s">
        <v>892</v>
      </c>
      <c r="O1964" s="412" t="s">
        <v>892</v>
      </c>
      <c r="Q1964" s="412"/>
      <c r="W1964" s="413"/>
    </row>
    <row r="1965" spans="6:23" ht="24" customHeight="1">
      <c r="H1965" s="412" t="s">
        <v>893</v>
      </c>
      <c r="O1965" s="412" t="s">
        <v>893</v>
      </c>
      <c r="Q1965" s="412"/>
      <c r="W1965" s="413"/>
    </row>
    <row r="1966" spans="6:23" ht="24" customHeight="1">
      <c r="H1966" s="412" t="s">
        <v>894</v>
      </c>
      <c r="O1966" s="412" t="s">
        <v>894</v>
      </c>
      <c r="Q1966" s="412"/>
      <c r="W1966" s="413"/>
    </row>
    <row r="1967" spans="6:23" ht="24" customHeight="1">
      <c r="H1967" s="418" t="s">
        <v>1288</v>
      </c>
      <c r="O1967" s="418" t="s">
        <v>1288</v>
      </c>
      <c r="Q1967" s="412"/>
      <c r="W1967" s="413"/>
    </row>
    <row r="1968" spans="6:23" ht="24" customHeight="1">
      <c r="F1968" s="414">
        <v>1</v>
      </c>
      <c r="G1968" s="414" t="s">
        <v>701</v>
      </c>
      <c r="H1968" s="412" t="s">
        <v>568</v>
      </c>
      <c r="I1968" s="414">
        <f>(C201)</f>
        <v>1201</v>
      </c>
      <c r="J1968" s="412" t="s">
        <v>701</v>
      </c>
      <c r="K1968" s="414">
        <f t="shared" ref="K1968:K1974" si="235">(F1968*I1968)</f>
        <v>1201</v>
      </c>
      <c r="M1968" s="414">
        <v>1</v>
      </c>
      <c r="N1968" s="414" t="s">
        <v>701</v>
      </c>
      <c r="O1968" s="412" t="s">
        <v>568</v>
      </c>
      <c r="P1968" s="414">
        <f>I1968</f>
        <v>1201</v>
      </c>
      <c r="Q1968" s="412" t="s">
        <v>701</v>
      </c>
      <c r="R1968" s="414">
        <f t="shared" ref="R1968:R1974" si="236">(M1968*P1968)</f>
        <v>1201</v>
      </c>
      <c r="W1968" s="413"/>
    </row>
    <row r="1969" spans="6:23" ht="24" customHeight="1">
      <c r="F1969" s="414">
        <v>0.65</v>
      </c>
      <c r="G1969" s="414" t="s">
        <v>702</v>
      </c>
      <c r="H1969" s="412" t="s">
        <v>194</v>
      </c>
      <c r="I1969" s="414">
        <f>(C61*2)</f>
        <v>224.1</v>
      </c>
      <c r="J1969" s="412" t="s">
        <v>702</v>
      </c>
      <c r="K1969" s="414">
        <f t="shared" si="235"/>
        <v>145.66999999999999</v>
      </c>
      <c r="M1969" s="414">
        <v>0.65</v>
      </c>
      <c r="N1969" s="414" t="s">
        <v>702</v>
      </c>
      <c r="O1969" s="412" t="s">
        <v>194</v>
      </c>
      <c r="P1969" s="414">
        <f t="shared" ref="P1969:P1975" si="237">I1969</f>
        <v>224.1</v>
      </c>
      <c r="Q1969" s="412" t="s">
        <v>702</v>
      </c>
      <c r="R1969" s="414">
        <f t="shared" si="236"/>
        <v>145.66999999999999</v>
      </c>
      <c r="W1969" s="413"/>
    </row>
    <row r="1970" spans="6:23" ht="24" customHeight="1">
      <c r="F1970" s="414">
        <v>0.56999999999999995</v>
      </c>
      <c r="G1970" s="414" t="s">
        <v>702</v>
      </c>
      <c r="H1970" s="412" t="s">
        <v>195</v>
      </c>
      <c r="I1970" s="414">
        <f>(C26)</f>
        <v>38.950000000000003</v>
      </c>
      <c r="J1970" s="412" t="s">
        <v>702</v>
      </c>
      <c r="K1970" s="414">
        <f t="shared" si="235"/>
        <v>22.2</v>
      </c>
      <c r="M1970" s="414">
        <v>0.56999999999999995</v>
      </c>
      <c r="N1970" s="414" t="s">
        <v>702</v>
      </c>
      <c r="O1970" s="412" t="s">
        <v>195</v>
      </c>
      <c r="P1970" s="414">
        <f t="shared" si="237"/>
        <v>38.950000000000003</v>
      </c>
      <c r="Q1970" s="412" t="s">
        <v>702</v>
      </c>
      <c r="R1970" s="414">
        <f t="shared" si="236"/>
        <v>22.2</v>
      </c>
      <c r="W1970" s="413"/>
    </row>
    <row r="1971" spans="6:23" ht="24" customHeight="1">
      <c r="F1971" s="416">
        <v>8.1000000000000003E-2</v>
      </c>
      <c r="G1971" s="414" t="s">
        <v>702</v>
      </c>
      <c r="H1971" s="412" t="s">
        <v>196</v>
      </c>
      <c r="I1971" s="414" t="e">
        <f>(R60)</f>
        <v>#REF!</v>
      </c>
      <c r="J1971" s="412" t="s">
        <v>702</v>
      </c>
      <c r="K1971" s="414" t="e">
        <f t="shared" si="235"/>
        <v>#REF!</v>
      </c>
      <c r="M1971" s="416">
        <v>8.1000000000000003E-2</v>
      </c>
      <c r="N1971" s="414" t="s">
        <v>702</v>
      </c>
      <c r="O1971" s="412" t="s">
        <v>196</v>
      </c>
      <c r="P1971" s="414" t="e">
        <f t="shared" si="237"/>
        <v>#REF!</v>
      </c>
      <c r="Q1971" s="412" t="s">
        <v>702</v>
      </c>
      <c r="R1971" s="414" t="e">
        <f t="shared" si="236"/>
        <v>#REF!</v>
      </c>
      <c r="W1971" s="413"/>
    </row>
    <row r="1972" spans="6:23" ht="24" customHeight="1">
      <c r="F1972" s="414">
        <v>1</v>
      </c>
      <c r="G1972" s="414" t="s">
        <v>701</v>
      </c>
      <c r="H1972" s="412" t="s">
        <v>1711</v>
      </c>
      <c r="I1972" s="414">
        <f>(C15)</f>
        <v>866</v>
      </c>
      <c r="J1972" s="412" t="s">
        <v>701</v>
      </c>
      <c r="K1972" s="414">
        <f t="shared" si="235"/>
        <v>866</v>
      </c>
      <c r="M1972" s="414">
        <v>1</v>
      </c>
      <c r="N1972" s="414" t="s">
        <v>701</v>
      </c>
      <c r="O1972" s="412" t="s">
        <v>1711</v>
      </c>
      <c r="P1972" s="414">
        <f t="shared" si="237"/>
        <v>866</v>
      </c>
      <c r="Q1972" s="412" t="s">
        <v>701</v>
      </c>
      <c r="R1972" s="414">
        <f t="shared" si="236"/>
        <v>866</v>
      </c>
      <c r="W1972" s="413"/>
    </row>
    <row r="1973" spans="6:23" ht="24" customHeight="1">
      <c r="F1973" s="414">
        <v>0.5</v>
      </c>
      <c r="G1973" s="414" t="s">
        <v>701</v>
      </c>
      <c r="H1973" s="412" t="s">
        <v>1392</v>
      </c>
      <c r="I1973" s="414">
        <f>(C11)</f>
        <v>932</v>
      </c>
      <c r="J1973" s="412" t="s">
        <v>701</v>
      </c>
      <c r="K1973" s="414">
        <f t="shared" si="235"/>
        <v>466</v>
      </c>
      <c r="M1973" s="414">
        <v>0.5</v>
      </c>
      <c r="N1973" s="414" t="s">
        <v>701</v>
      </c>
      <c r="O1973" s="412" t="s">
        <v>1392</v>
      </c>
      <c r="P1973" s="414">
        <f t="shared" si="237"/>
        <v>932</v>
      </c>
      <c r="Q1973" s="412" t="s">
        <v>701</v>
      </c>
      <c r="R1973" s="414">
        <f t="shared" si="236"/>
        <v>466</v>
      </c>
      <c r="W1973" s="413"/>
    </row>
    <row r="1974" spans="6:23" ht="24" customHeight="1">
      <c r="F1974" s="414">
        <v>0.5</v>
      </c>
      <c r="G1974" s="414" t="s">
        <v>701</v>
      </c>
      <c r="H1974" s="412" t="s">
        <v>1550</v>
      </c>
      <c r="I1974" s="414">
        <f>(C12)</f>
        <v>651</v>
      </c>
      <c r="J1974" s="412" t="s">
        <v>701</v>
      </c>
      <c r="K1974" s="414">
        <f t="shared" si="235"/>
        <v>325.5</v>
      </c>
      <c r="M1974" s="414">
        <v>0.5</v>
      </c>
      <c r="N1974" s="414" t="s">
        <v>701</v>
      </c>
      <c r="O1974" s="412" t="s">
        <v>1550</v>
      </c>
      <c r="P1974" s="414">
        <f t="shared" si="237"/>
        <v>651</v>
      </c>
      <c r="Q1974" s="412" t="s">
        <v>701</v>
      </c>
      <c r="R1974" s="414">
        <f t="shared" si="236"/>
        <v>325.5</v>
      </c>
      <c r="W1974" s="413"/>
    </row>
    <row r="1975" spans="6:23" ht="24" customHeight="1">
      <c r="G1975" s="414" t="s">
        <v>358</v>
      </c>
      <c r="H1975" s="412" t="s">
        <v>359</v>
      </c>
      <c r="I1975" s="412" t="s">
        <v>790</v>
      </c>
      <c r="J1975" s="412" t="s">
        <v>358</v>
      </c>
      <c r="K1975" s="414">
        <v>1.25</v>
      </c>
      <c r="O1975" s="415" t="s">
        <v>2572</v>
      </c>
      <c r="P1975" s="414" t="str">
        <f t="shared" si="237"/>
        <v/>
      </c>
      <c r="Q1975" s="412"/>
      <c r="R1975" s="414">
        <v>-164</v>
      </c>
      <c r="W1975" s="413"/>
    </row>
    <row r="1976" spans="6:23" ht="24" customHeight="1">
      <c r="K1976" s="418" t="s">
        <v>1288</v>
      </c>
      <c r="O1976" s="415" t="s">
        <v>2573</v>
      </c>
      <c r="Q1976" s="412"/>
      <c r="R1976" s="414">
        <v>134.1</v>
      </c>
      <c r="W1976" s="413"/>
    </row>
    <row r="1977" spans="6:23" ht="24" customHeight="1" thickBot="1">
      <c r="H1977" s="412" t="s">
        <v>1428</v>
      </c>
      <c r="K1977" s="414" t="e">
        <f>SUM(K1968:K1975)</f>
        <v>#REF!</v>
      </c>
      <c r="N1977" s="414" t="s">
        <v>528</v>
      </c>
      <c r="O1977" s="415" t="s">
        <v>1850</v>
      </c>
      <c r="Q1977" s="412"/>
      <c r="R1977" s="414">
        <v>0.32</v>
      </c>
      <c r="W1977" s="413"/>
    </row>
    <row r="1978" spans="6:23" ht="24" customHeight="1" thickTop="1">
      <c r="K1978" s="418" t="s">
        <v>1676</v>
      </c>
      <c r="O1978" s="412" t="s">
        <v>1428</v>
      </c>
      <c r="Q1978" s="412"/>
      <c r="R1978" s="472" t="e">
        <f>SUM(R1968:R1977)</f>
        <v>#REF!</v>
      </c>
      <c r="W1978" s="413"/>
    </row>
    <row r="1979" spans="6:23" ht="24" customHeight="1" thickBot="1">
      <c r="G1979" s="414" t="s">
        <v>790</v>
      </c>
      <c r="H1979" s="412" t="s">
        <v>790</v>
      </c>
      <c r="K1979" s="412" t="s">
        <v>790</v>
      </c>
      <c r="Q1979" s="412"/>
      <c r="R1979" s="473"/>
      <c r="W1979" s="413"/>
    </row>
    <row r="1980" spans="6:23" ht="24" hidden="1" customHeight="1" thickTop="1">
      <c r="J1980" s="412" t="s">
        <v>790</v>
      </c>
      <c r="K1980" s="412" t="s">
        <v>790</v>
      </c>
      <c r="W1980" s="413"/>
    </row>
    <row r="1981" spans="6:23" ht="24" customHeight="1" thickTop="1">
      <c r="F1981" s="413" t="s">
        <v>197</v>
      </c>
      <c r="G1981" s="414" t="s">
        <v>1833</v>
      </c>
      <c r="H1981" s="412" t="s">
        <v>61</v>
      </c>
      <c r="M1981" s="413" t="s">
        <v>197</v>
      </c>
      <c r="N1981" s="414" t="s">
        <v>1833</v>
      </c>
      <c r="O1981" s="412" t="s">
        <v>61</v>
      </c>
      <c r="Q1981" s="412"/>
      <c r="W1981" s="413"/>
    </row>
    <row r="1982" spans="6:23" ht="24" customHeight="1">
      <c r="H1982" s="412" t="s">
        <v>892</v>
      </c>
      <c r="O1982" s="412" t="s">
        <v>892</v>
      </c>
      <c r="Q1982" s="412"/>
      <c r="W1982" s="413"/>
    </row>
    <row r="1983" spans="6:23" ht="24" customHeight="1">
      <c r="H1983" s="412" t="s">
        <v>893</v>
      </c>
      <c r="O1983" s="412" t="s">
        <v>893</v>
      </c>
      <c r="Q1983" s="412"/>
      <c r="W1983" s="413"/>
    </row>
    <row r="1984" spans="6:23" ht="24" customHeight="1">
      <c r="H1984" s="412" t="s">
        <v>198</v>
      </c>
      <c r="O1984" s="412" t="s">
        <v>198</v>
      </c>
      <c r="Q1984" s="412"/>
      <c r="W1984" s="413"/>
    </row>
    <row r="1985" spans="6:23" ht="24" customHeight="1">
      <c r="H1985" s="418" t="s">
        <v>1288</v>
      </c>
      <c r="O1985" s="418" t="s">
        <v>1288</v>
      </c>
      <c r="Q1985" s="412"/>
      <c r="W1985" s="413"/>
    </row>
    <row r="1986" spans="6:23" ht="24" customHeight="1">
      <c r="F1986" s="414">
        <v>1</v>
      </c>
      <c r="G1986" s="414" t="s">
        <v>701</v>
      </c>
      <c r="H1986" s="412" t="s">
        <v>568</v>
      </c>
      <c r="I1986" s="414">
        <f>(C201)</f>
        <v>1201</v>
      </c>
      <c r="J1986" s="412" t="s">
        <v>701</v>
      </c>
      <c r="K1986" s="414">
        <f>(F1986*I1986)</f>
        <v>1201</v>
      </c>
      <c r="M1986" s="414">
        <v>1</v>
      </c>
      <c r="N1986" s="414" t="s">
        <v>701</v>
      </c>
      <c r="O1986" s="412" t="s">
        <v>568</v>
      </c>
      <c r="P1986" s="414">
        <f>I1986</f>
        <v>1201</v>
      </c>
      <c r="Q1986" s="412" t="s">
        <v>701</v>
      </c>
      <c r="R1986" s="414">
        <f>(M1986*P1986)</f>
        <v>1201</v>
      </c>
      <c r="W1986" s="413"/>
    </row>
    <row r="1987" spans="6:23" ht="24" customHeight="1">
      <c r="F1987" s="416">
        <v>0.40500000000000003</v>
      </c>
      <c r="G1987" s="414" t="s">
        <v>702</v>
      </c>
      <c r="H1987" s="412" t="s">
        <v>1804</v>
      </c>
      <c r="I1987" s="414" t="e">
        <f>(K1330)</f>
        <v>#REF!</v>
      </c>
      <c r="J1987" s="412" t="s">
        <v>702</v>
      </c>
      <c r="K1987" s="414" t="e">
        <f>(F1987*I1987)</f>
        <v>#REF!</v>
      </c>
      <c r="M1987" s="416">
        <v>0.40500000000000003</v>
      </c>
      <c r="N1987" s="414" t="s">
        <v>702</v>
      </c>
      <c r="O1987" s="412" t="s">
        <v>1804</v>
      </c>
      <c r="P1987" s="414" t="e">
        <f t="shared" ref="P1987:P1996" si="238">I1987</f>
        <v>#REF!</v>
      </c>
      <c r="Q1987" s="412" t="s">
        <v>702</v>
      </c>
      <c r="R1987" s="414" t="e">
        <f>(M1987*P1987)</f>
        <v>#REF!</v>
      </c>
      <c r="W1987" s="413"/>
    </row>
    <row r="1988" spans="6:23" ht="24" customHeight="1">
      <c r="H1988" s="412" t="s">
        <v>887</v>
      </c>
      <c r="I1988" s="412" t="s">
        <v>790</v>
      </c>
      <c r="K1988" s="412" t="s">
        <v>790</v>
      </c>
      <c r="O1988" s="412" t="s">
        <v>887</v>
      </c>
      <c r="P1988" s="414" t="str">
        <f t="shared" si="238"/>
        <v/>
      </c>
      <c r="Q1988" s="412"/>
      <c r="R1988" s="412" t="s">
        <v>790</v>
      </c>
      <c r="W1988" s="413"/>
    </row>
    <row r="1989" spans="6:23" ht="24" customHeight="1">
      <c r="F1989" s="414">
        <v>1.89</v>
      </c>
      <c r="G1989" s="414" t="s">
        <v>488</v>
      </c>
      <c r="H1989" s="412" t="s">
        <v>207</v>
      </c>
      <c r="I1989" s="414" t="e">
        <f>(K1442)</f>
        <v>#REF!</v>
      </c>
      <c r="J1989" s="412" t="s">
        <v>488</v>
      </c>
      <c r="K1989" s="414" t="e">
        <f>(F1989*I1989)</f>
        <v>#REF!</v>
      </c>
      <c r="M1989" s="414">
        <v>1.89</v>
      </c>
      <c r="N1989" s="414" t="s">
        <v>488</v>
      </c>
      <c r="O1989" s="412" t="s">
        <v>207</v>
      </c>
      <c r="P1989" s="414" t="e">
        <f t="shared" si="238"/>
        <v>#REF!</v>
      </c>
      <c r="Q1989" s="412" t="s">
        <v>488</v>
      </c>
      <c r="R1989" s="414" t="e">
        <f>(M1989*P1989)</f>
        <v>#REF!</v>
      </c>
      <c r="W1989" s="413"/>
    </row>
    <row r="1990" spans="6:23" ht="24" customHeight="1">
      <c r="H1990" s="412" t="s">
        <v>208</v>
      </c>
      <c r="I1990" s="412" t="s">
        <v>790</v>
      </c>
      <c r="K1990" s="412" t="s">
        <v>790</v>
      </c>
      <c r="O1990" s="412" t="s">
        <v>208</v>
      </c>
      <c r="P1990" s="414" t="str">
        <f t="shared" si="238"/>
        <v/>
      </c>
      <c r="Q1990" s="412"/>
      <c r="R1990" s="412" t="s">
        <v>790</v>
      </c>
      <c r="W1990" s="413"/>
    </row>
    <row r="1991" spans="6:23" ht="24" customHeight="1">
      <c r="F1991" s="416">
        <v>8.1000000000000003E-2</v>
      </c>
      <c r="G1991" s="414" t="s">
        <v>702</v>
      </c>
      <c r="H1991" s="412" t="s">
        <v>209</v>
      </c>
      <c r="I1991" s="414" t="e">
        <f>(R60)</f>
        <v>#REF!</v>
      </c>
      <c r="J1991" s="412" t="s">
        <v>702</v>
      </c>
      <c r="K1991" s="414" t="e">
        <f>(F1991*I1991)</f>
        <v>#REF!</v>
      </c>
      <c r="M1991" s="416">
        <v>8.1000000000000003E-2</v>
      </c>
      <c r="N1991" s="414" t="s">
        <v>702</v>
      </c>
      <c r="O1991" s="412" t="s">
        <v>209</v>
      </c>
      <c r="P1991" s="414" t="e">
        <f t="shared" si="238"/>
        <v>#REF!</v>
      </c>
      <c r="Q1991" s="412" t="s">
        <v>702</v>
      </c>
      <c r="R1991" s="414" t="e">
        <f>(M1991*P1991)</f>
        <v>#REF!</v>
      </c>
      <c r="W1991" s="413"/>
    </row>
    <row r="1992" spans="6:23" ht="24" customHeight="1">
      <c r="H1992" s="412" t="s">
        <v>210</v>
      </c>
      <c r="O1992" s="412" t="s">
        <v>210</v>
      </c>
      <c r="Q1992" s="412"/>
      <c r="W1992" s="413"/>
    </row>
    <row r="1993" spans="6:23" ht="24" customHeight="1">
      <c r="F1993" s="414">
        <v>1</v>
      </c>
      <c r="G1993" s="414" t="s">
        <v>619</v>
      </c>
      <c r="H1993" s="412" t="s">
        <v>1711</v>
      </c>
      <c r="I1993" s="414">
        <f>(C15)</f>
        <v>866</v>
      </c>
      <c r="J1993" s="412" t="s">
        <v>619</v>
      </c>
      <c r="K1993" s="414">
        <f>(F1993*I1993)</f>
        <v>866</v>
      </c>
      <c r="M1993" s="414">
        <v>1</v>
      </c>
      <c r="N1993" s="414" t="s">
        <v>619</v>
      </c>
      <c r="O1993" s="412" t="s">
        <v>1711</v>
      </c>
      <c r="P1993" s="414">
        <f t="shared" si="238"/>
        <v>866</v>
      </c>
      <c r="Q1993" s="412" t="s">
        <v>619</v>
      </c>
      <c r="R1993" s="414">
        <f>(M1993*P1993)</f>
        <v>866</v>
      </c>
      <c r="W1993" s="413"/>
    </row>
    <row r="1994" spans="6:23" ht="24" customHeight="1">
      <c r="F1994" s="414">
        <v>0.5</v>
      </c>
      <c r="G1994" s="414" t="s">
        <v>701</v>
      </c>
      <c r="H1994" s="412" t="s">
        <v>1392</v>
      </c>
      <c r="I1994" s="414">
        <f>(C11)</f>
        <v>932</v>
      </c>
      <c r="J1994" s="412" t="s">
        <v>701</v>
      </c>
      <c r="K1994" s="414">
        <f>(F1994*I1994)</f>
        <v>466</v>
      </c>
      <c r="M1994" s="414">
        <v>0.5</v>
      </c>
      <c r="N1994" s="414" t="s">
        <v>701</v>
      </c>
      <c r="O1994" s="412" t="s">
        <v>1392</v>
      </c>
      <c r="P1994" s="414">
        <f t="shared" si="238"/>
        <v>932</v>
      </c>
      <c r="Q1994" s="412" t="s">
        <v>701</v>
      </c>
      <c r="R1994" s="414">
        <f>(M1994*P1994)</f>
        <v>466</v>
      </c>
      <c r="W1994" s="413"/>
    </row>
    <row r="1995" spans="6:23" ht="24" customHeight="1">
      <c r="F1995" s="414">
        <v>0.5</v>
      </c>
      <c r="G1995" s="414" t="s">
        <v>701</v>
      </c>
      <c r="H1995" s="412" t="s">
        <v>1550</v>
      </c>
      <c r="I1995" s="414">
        <f>(C12)</f>
        <v>651</v>
      </c>
      <c r="J1995" s="412" t="s">
        <v>701</v>
      </c>
      <c r="K1995" s="414">
        <f>(F1995*I1995)</f>
        <v>325.5</v>
      </c>
      <c r="M1995" s="414">
        <v>0.5</v>
      </c>
      <c r="N1995" s="414" t="s">
        <v>701</v>
      </c>
      <c r="O1995" s="412" t="s">
        <v>1550</v>
      </c>
      <c r="P1995" s="414">
        <f t="shared" si="238"/>
        <v>651</v>
      </c>
      <c r="Q1995" s="412" t="s">
        <v>701</v>
      </c>
      <c r="R1995" s="414">
        <f>(M1995*P1995)</f>
        <v>325.5</v>
      </c>
      <c r="W1995" s="413"/>
    </row>
    <row r="1996" spans="6:23" ht="24" customHeight="1">
      <c r="G1996" s="414" t="s">
        <v>358</v>
      </c>
      <c r="H1996" s="412" t="s">
        <v>359</v>
      </c>
      <c r="I1996" s="412" t="s">
        <v>790</v>
      </c>
      <c r="J1996" s="412" t="s">
        <v>358</v>
      </c>
      <c r="K1996" s="414">
        <v>1.03</v>
      </c>
      <c r="O1996" s="415" t="s">
        <v>2572</v>
      </c>
      <c r="P1996" s="414" t="str">
        <f t="shared" si="238"/>
        <v/>
      </c>
      <c r="Q1996" s="412"/>
      <c r="R1996" s="414">
        <v>-164</v>
      </c>
      <c r="W1996" s="413"/>
    </row>
    <row r="1997" spans="6:23" ht="24" customHeight="1">
      <c r="H1997" s="412" t="s">
        <v>790</v>
      </c>
      <c r="K1997" s="418" t="s">
        <v>1288</v>
      </c>
      <c r="O1997" s="415" t="s">
        <v>2573</v>
      </c>
      <c r="Q1997" s="412"/>
      <c r="R1997" s="414">
        <v>134.1</v>
      </c>
      <c r="W1997" s="413"/>
    </row>
    <row r="1998" spans="6:23" ht="24" customHeight="1" thickBot="1">
      <c r="H1998" s="412" t="s">
        <v>1428</v>
      </c>
      <c r="K1998" s="414" t="e">
        <f>SUM(K1986:K1996)</f>
        <v>#REF!</v>
      </c>
      <c r="N1998" s="414" t="s">
        <v>528</v>
      </c>
      <c r="O1998" s="415" t="s">
        <v>1850</v>
      </c>
      <c r="Q1998" s="412"/>
      <c r="R1998" s="414">
        <v>0.47</v>
      </c>
      <c r="W1998" s="413"/>
    </row>
    <row r="1999" spans="6:23" ht="24" customHeight="1" thickTop="1">
      <c r="K1999" s="418" t="s">
        <v>1676</v>
      </c>
      <c r="O1999" s="412" t="s">
        <v>1428</v>
      </c>
      <c r="Q1999" s="412"/>
      <c r="R1999" s="472" t="e">
        <f>SUM(R1986:R1998)</f>
        <v>#REF!</v>
      </c>
      <c r="W1999" s="413"/>
    </row>
    <row r="2000" spans="6:23" ht="24" customHeight="1" thickBot="1">
      <c r="G2000" s="414" t="s">
        <v>790</v>
      </c>
      <c r="H2000" s="412" t="s">
        <v>790</v>
      </c>
      <c r="K2000" s="412" t="s">
        <v>790</v>
      </c>
      <c r="Q2000" s="412"/>
      <c r="R2000" s="473"/>
      <c r="W2000" s="413"/>
    </row>
    <row r="2001" spans="6:23" ht="24" customHeight="1" thickTop="1">
      <c r="F2001" s="425">
        <v>57</v>
      </c>
      <c r="G2001" s="414" t="s">
        <v>1833</v>
      </c>
      <c r="H2001" s="412" t="s">
        <v>4347</v>
      </c>
      <c r="W2001" s="413"/>
    </row>
    <row r="2002" spans="6:23" ht="24" customHeight="1">
      <c r="H2002" s="412" t="s">
        <v>162</v>
      </c>
      <c r="M2002" s="425">
        <v>57</v>
      </c>
      <c r="N2002" s="414" t="s">
        <v>1833</v>
      </c>
      <c r="O2002" s="412" t="s">
        <v>4347</v>
      </c>
      <c r="Q2002" s="412"/>
      <c r="S2002" s="414"/>
      <c r="W2002" s="413"/>
    </row>
    <row r="2003" spans="6:23" ht="24" customHeight="1">
      <c r="H2003" s="412" t="s">
        <v>1444</v>
      </c>
      <c r="O2003" s="412" t="s">
        <v>162</v>
      </c>
      <c r="Q2003" s="412"/>
      <c r="S2003" s="414"/>
      <c r="W2003" s="413"/>
    </row>
    <row r="2004" spans="6:23" ht="24" customHeight="1">
      <c r="H2004" s="418" t="s">
        <v>1288</v>
      </c>
      <c r="O2004" s="412" t="s">
        <v>1444</v>
      </c>
      <c r="Q2004" s="412"/>
      <c r="S2004" s="414"/>
      <c r="W2004" s="413"/>
    </row>
    <row r="2005" spans="6:23" ht="60.75" customHeight="1">
      <c r="F2005" s="414">
        <v>1</v>
      </c>
      <c r="G2005" s="414" t="s">
        <v>628</v>
      </c>
      <c r="H2005" s="426" t="s">
        <v>2525</v>
      </c>
      <c r="I2005" s="414">
        <f>C613</f>
        <v>3090</v>
      </c>
      <c r="J2005" s="412" t="s">
        <v>628</v>
      </c>
      <c r="K2005" s="414">
        <f>(F2005*I2005)</f>
        <v>3090</v>
      </c>
      <c r="O2005" s="418" t="s">
        <v>1288</v>
      </c>
      <c r="Q2005" s="412"/>
      <c r="S2005" s="414"/>
      <c r="W2005" s="413"/>
    </row>
    <row r="2006" spans="6:23" ht="24" customHeight="1">
      <c r="H2006" s="415" t="s">
        <v>946</v>
      </c>
      <c r="M2006" s="414">
        <v>1</v>
      </c>
      <c r="N2006" s="414" t="s">
        <v>628</v>
      </c>
      <c r="O2006" s="426" t="s">
        <v>911</v>
      </c>
      <c r="P2006" s="414">
        <f>I2005</f>
        <v>3090</v>
      </c>
      <c r="Q2006" s="412" t="s">
        <v>628</v>
      </c>
      <c r="R2006" s="414">
        <f>(M2006*P2006)</f>
        <v>3090</v>
      </c>
      <c r="S2006" s="414"/>
      <c r="W2006" s="413"/>
    </row>
    <row r="2007" spans="6:23" ht="24" customHeight="1">
      <c r="F2007" s="414">
        <v>1</v>
      </c>
      <c r="G2007" s="414" t="s">
        <v>701</v>
      </c>
      <c r="H2007" s="412" t="s">
        <v>1637</v>
      </c>
      <c r="I2007" s="414">
        <f>(C10)</f>
        <v>999</v>
      </c>
      <c r="J2007" s="412" t="s">
        <v>701</v>
      </c>
      <c r="K2007" s="414">
        <f>(F2007*I2007)</f>
        <v>999</v>
      </c>
      <c r="O2007" s="415" t="s">
        <v>946</v>
      </c>
      <c r="Q2007" s="412"/>
      <c r="S2007" s="414"/>
      <c r="W2007" s="413"/>
    </row>
    <row r="2008" spans="6:23" ht="24" customHeight="1">
      <c r="F2008" s="414">
        <v>2</v>
      </c>
      <c r="G2008" s="414" t="s">
        <v>701</v>
      </c>
      <c r="H2008" s="412" t="s">
        <v>1711</v>
      </c>
      <c r="I2008" s="414">
        <f>(C15)</f>
        <v>866</v>
      </c>
      <c r="J2008" s="412" t="s">
        <v>701</v>
      </c>
      <c r="K2008" s="414">
        <f>(F2008*I2008)</f>
        <v>1732</v>
      </c>
      <c r="M2008" s="414">
        <v>1</v>
      </c>
      <c r="N2008" s="414" t="s">
        <v>701</v>
      </c>
      <c r="O2008" s="412" t="s">
        <v>1637</v>
      </c>
      <c r="P2008" s="414">
        <f t="shared" ref="P2008:P2013" si="239">I2007</f>
        <v>999</v>
      </c>
      <c r="Q2008" s="412" t="s">
        <v>701</v>
      </c>
      <c r="R2008" s="414">
        <f>(M2008*P2008)</f>
        <v>999</v>
      </c>
      <c r="S2008" s="414"/>
      <c r="W2008" s="413"/>
    </row>
    <row r="2009" spans="6:23" ht="24" customHeight="1">
      <c r="F2009" s="414">
        <v>1</v>
      </c>
      <c r="G2009" s="414" t="s">
        <v>701</v>
      </c>
      <c r="H2009" s="412" t="s">
        <v>245</v>
      </c>
      <c r="I2009" s="414">
        <f>(C13)</f>
        <v>534</v>
      </c>
      <c r="J2009" s="412" t="s">
        <v>701</v>
      </c>
      <c r="K2009" s="414">
        <f>(F2009*I2009)</f>
        <v>534</v>
      </c>
      <c r="M2009" s="414">
        <v>2</v>
      </c>
      <c r="N2009" s="414" t="s">
        <v>701</v>
      </c>
      <c r="O2009" s="412" t="s">
        <v>1711</v>
      </c>
      <c r="P2009" s="414">
        <f t="shared" si="239"/>
        <v>866</v>
      </c>
      <c r="Q2009" s="412" t="s">
        <v>701</v>
      </c>
      <c r="R2009" s="414">
        <f>(M2009*P2009)</f>
        <v>1732</v>
      </c>
      <c r="S2009" s="414"/>
      <c r="W2009" s="413"/>
    </row>
    <row r="2010" spans="6:23" ht="24" customHeight="1">
      <c r="H2010" s="415" t="s">
        <v>569</v>
      </c>
      <c r="M2010" s="414">
        <v>1</v>
      </c>
      <c r="N2010" s="414" t="s">
        <v>701</v>
      </c>
      <c r="O2010" s="412" t="s">
        <v>245</v>
      </c>
      <c r="P2010" s="414">
        <f t="shared" si="239"/>
        <v>534</v>
      </c>
      <c r="Q2010" s="412" t="s">
        <v>701</v>
      </c>
      <c r="R2010" s="414">
        <f>(M2010*P2010)</f>
        <v>534</v>
      </c>
      <c r="S2010" s="414"/>
      <c r="W2010" s="413"/>
    </row>
    <row r="2011" spans="6:23" ht="24" customHeight="1">
      <c r="F2011" s="414">
        <v>0.5</v>
      </c>
      <c r="G2011" s="414" t="s">
        <v>701</v>
      </c>
      <c r="H2011" s="412" t="s">
        <v>1711</v>
      </c>
      <c r="I2011" s="414">
        <f>(C15)</f>
        <v>866</v>
      </c>
      <c r="J2011" s="412" t="s">
        <v>701</v>
      </c>
      <c r="K2011" s="414">
        <f>(F2011*I2011)</f>
        <v>433</v>
      </c>
      <c r="O2011" s="415" t="s">
        <v>569</v>
      </c>
      <c r="Q2011" s="412"/>
      <c r="S2011" s="414"/>
      <c r="W2011" s="413"/>
    </row>
    <row r="2012" spans="6:23" ht="24" customHeight="1">
      <c r="F2012" s="414">
        <v>0.5</v>
      </c>
      <c r="G2012" s="414" t="s">
        <v>701</v>
      </c>
      <c r="H2012" s="412" t="s">
        <v>1550</v>
      </c>
      <c r="I2012" s="414">
        <f>(C12)</f>
        <v>651</v>
      </c>
      <c r="J2012" s="412" t="s">
        <v>701</v>
      </c>
      <c r="K2012" s="414">
        <f>(F2012*I2012)</f>
        <v>325.5</v>
      </c>
      <c r="M2012" s="414">
        <v>0.5</v>
      </c>
      <c r="N2012" s="414" t="s">
        <v>701</v>
      </c>
      <c r="O2012" s="412" t="s">
        <v>1711</v>
      </c>
      <c r="P2012" s="414">
        <f t="shared" si="239"/>
        <v>866</v>
      </c>
      <c r="Q2012" s="412" t="s">
        <v>701</v>
      </c>
      <c r="R2012" s="414">
        <f>(M2012*P2012)</f>
        <v>433</v>
      </c>
      <c r="S2012" s="414"/>
      <c r="W2012" s="413"/>
    </row>
    <row r="2013" spans="6:23" ht="24" customHeight="1">
      <c r="G2013" s="414" t="s">
        <v>358</v>
      </c>
      <c r="H2013" s="412" t="s">
        <v>359</v>
      </c>
      <c r="J2013" s="412" t="s">
        <v>358</v>
      </c>
      <c r="K2013" s="414">
        <v>0.7</v>
      </c>
      <c r="M2013" s="414">
        <v>0.5</v>
      </c>
      <c r="N2013" s="414" t="s">
        <v>701</v>
      </c>
      <c r="O2013" s="412" t="s">
        <v>1550</v>
      </c>
      <c r="P2013" s="414">
        <f t="shared" si="239"/>
        <v>651</v>
      </c>
      <c r="Q2013" s="412" t="s">
        <v>701</v>
      </c>
      <c r="R2013" s="414">
        <f>(M2013*P2013)</f>
        <v>325.5</v>
      </c>
      <c r="S2013" s="414"/>
      <c r="W2013" s="413"/>
    </row>
    <row r="2014" spans="6:23" ht="24" customHeight="1">
      <c r="K2014" s="418" t="s">
        <v>1288</v>
      </c>
      <c r="O2014" s="415" t="s">
        <v>2572</v>
      </c>
      <c r="P2014" s="414">
        <f>I2014</f>
        <v>0</v>
      </c>
      <c r="Q2014" s="412"/>
      <c r="R2014" s="414">
        <v>-164</v>
      </c>
      <c r="S2014" s="414"/>
      <c r="W2014" s="413"/>
    </row>
    <row r="2015" spans="6:23" ht="24" customHeight="1">
      <c r="H2015" s="412" t="s">
        <v>1428</v>
      </c>
      <c r="K2015" s="414">
        <f>SUM(K2005:K2013)</f>
        <v>7114.2</v>
      </c>
      <c r="O2015" s="415" t="s">
        <v>2573</v>
      </c>
      <c r="Q2015" s="412"/>
      <c r="R2015" s="414">
        <v>134.1</v>
      </c>
      <c r="S2015" s="414"/>
      <c r="W2015" s="413"/>
    </row>
    <row r="2016" spans="6:23" ht="24" hidden="1" customHeight="1">
      <c r="F2016" s="412" t="s">
        <v>790</v>
      </c>
      <c r="N2016" s="414" t="s">
        <v>358</v>
      </c>
      <c r="O2016" s="412" t="s">
        <v>359</v>
      </c>
      <c r="Q2016" s="412" t="s">
        <v>358</v>
      </c>
      <c r="R2016" s="414">
        <v>0.7</v>
      </c>
      <c r="S2016" s="414"/>
      <c r="W2016" s="413"/>
    </row>
    <row r="2017" spans="6:23" ht="24" customHeight="1">
      <c r="K2017" s="418" t="s">
        <v>1288</v>
      </c>
      <c r="O2017" s="412" t="s">
        <v>1428</v>
      </c>
      <c r="Q2017" s="412"/>
      <c r="S2017" s="414"/>
      <c r="W2017" s="413"/>
    </row>
    <row r="2018" spans="6:23" ht="24" customHeight="1">
      <c r="G2018" s="414" t="s">
        <v>790</v>
      </c>
      <c r="H2018" s="412" t="s">
        <v>790</v>
      </c>
      <c r="K2018" s="412" t="s">
        <v>790</v>
      </c>
      <c r="Q2018" s="412"/>
      <c r="R2018" s="417">
        <f>SUM(R2006:R2017)</f>
        <v>7084.3</v>
      </c>
      <c r="S2018" s="414"/>
      <c r="W2018" s="413"/>
    </row>
    <row r="2019" spans="6:23" ht="24" hidden="1" customHeight="1">
      <c r="H2019" s="412" t="s">
        <v>790</v>
      </c>
      <c r="M2019" s="412" t="s">
        <v>790</v>
      </c>
      <c r="S2019" s="414"/>
      <c r="W2019" s="413"/>
    </row>
    <row r="2020" spans="6:23" ht="24" customHeight="1">
      <c r="F2020" s="427">
        <v>57.1</v>
      </c>
      <c r="G2020" s="414" t="s">
        <v>1833</v>
      </c>
      <c r="H2020" s="412" t="s">
        <v>4348</v>
      </c>
      <c r="M2020" s="425">
        <v>57</v>
      </c>
      <c r="N2020" s="414" t="s">
        <v>1833</v>
      </c>
      <c r="O2020" s="412" t="s">
        <v>4348</v>
      </c>
      <c r="Q2020" s="412"/>
      <c r="S2020" s="414"/>
      <c r="W2020" s="413"/>
    </row>
    <row r="2021" spans="6:23" ht="24" customHeight="1">
      <c r="H2021" s="412" t="s">
        <v>162</v>
      </c>
      <c r="O2021" s="412" t="s">
        <v>162</v>
      </c>
      <c r="Q2021" s="412"/>
      <c r="W2021" s="413"/>
    </row>
    <row r="2022" spans="6:23" ht="24" customHeight="1">
      <c r="H2022" s="412" t="s">
        <v>1444</v>
      </c>
      <c r="O2022" s="412" t="s">
        <v>1444</v>
      </c>
      <c r="Q2022" s="412"/>
      <c r="W2022" s="413"/>
    </row>
    <row r="2023" spans="6:23" ht="24" customHeight="1">
      <c r="H2023" s="418" t="s">
        <v>1288</v>
      </c>
      <c r="O2023" s="418" t="s">
        <v>1288</v>
      </c>
      <c r="Q2023" s="412"/>
      <c r="W2023" s="413"/>
    </row>
    <row r="2024" spans="6:23" ht="82.15" customHeight="1">
      <c r="F2024" s="414">
        <v>1</v>
      </c>
      <c r="G2024" s="414" t="s">
        <v>628</v>
      </c>
      <c r="H2024" s="426" t="s">
        <v>911</v>
      </c>
      <c r="I2024" s="414">
        <f>E613</f>
        <v>3484</v>
      </c>
      <c r="J2024" s="412" t="s">
        <v>628</v>
      </c>
      <c r="K2024" s="414">
        <f>(F2024*I2024)</f>
        <v>3484</v>
      </c>
      <c r="M2024" s="414">
        <v>1</v>
      </c>
      <c r="N2024" s="414" t="s">
        <v>628</v>
      </c>
      <c r="O2024" s="426" t="s">
        <v>911</v>
      </c>
      <c r="P2024" s="414">
        <f>I2024</f>
        <v>3484</v>
      </c>
      <c r="Q2024" s="412" t="s">
        <v>628</v>
      </c>
      <c r="R2024" s="414">
        <f>(M2024*P2024)</f>
        <v>3484</v>
      </c>
      <c r="W2024" s="413"/>
    </row>
    <row r="2025" spans="6:23" ht="24" customHeight="1">
      <c r="H2025" s="415" t="s">
        <v>946</v>
      </c>
      <c r="O2025" s="415" t="s">
        <v>946</v>
      </c>
      <c r="Q2025" s="412"/>
      <c r="W2025" s="413"/>
    </row>
    <row r="2026" spans="6:23" ht="24" customHeight="1">
      <c r="F2026" s="414">
        <v>1</v>
      </c>
      <c r="G2026" s="414" t="s">
        <v>701</v>
      </c>
      <c r="H2026" s="412" t="s">
        <v>1637</v>
      </c>
      <c r="I2026" s="414">
        <f>C10</f>
        <v>999</v>
      </c>
      <c r="J2026" s="412" t="s">
        <v>701</v>
      </c>
      <c r="K2026" s="414">
        <f>(F2026*I2026)</f>
        <v>999</v>
      </c>
      <c r="M2026" s="414">
        <v>1</v>
      </c>
      <c r="N2026" s="414" t="s">
        <v>701</v>
      </c>
      <c r="O2026" s="412" t="s">
        <v>1637</v>
      </c>
      <c r="P2026" s="414">
        <f>I2026</f>
        <v>999</v>
      </c>
      <c r="Q2026" s="412" t="s">
        <v>701</v>
      </c>
      <c r="R2026" s="414">
        <f>(M2026*P2026)</f>
        <v>999</v>
      </c>
      <c r="W2026" s="413"/>
    </row>
    <row r="2027" spans="6:23" ht="24" customHeight="1">
      <c r="F2027" s="414">
        <v>2</v>
      </c>
      <c r="G2027" s="414" t="s">
        <v>701</v>
      </c>
      <c r="H2027" s="412" t="s">
        <v>1711</v>
      </c>
      <c r="I2027" s="414">
        <f>C15</f>
        <v>866</v>
      </c>
      <c r="J2027" s="412" t="s">
        <v>701</v>
      </c>
      <c r="K2027" s="414">
        <f>(F2027*I2027)</f>
        <v>1732</v>
      </c>
      <c r="M2027" s="414">
        <v>2</v>
      </c>
      <c r="N2027" s="414" t="s">
        <v>701</v>
      </c>
      <c r="O2027" s="412" t="s">
        <v>1711</v>
      </c>
      <c r="P2027" s="414">
        <f>I2027</f>
        <v>866</v>
      </c>
      <c r="Q2027" s="412" t="s">
        <v>701</v>
      </c>
      <c r="R2027" s="414">
        <f>(M2027*P2027)</f>
        <v>1732</v>
      </c>
      <c r="W2027" s="413"/>
    </row>
    <row r="2028" spans="6:23" ht="24" customHeight="1">
      <c r="F2028" s="414">
        <v>1</v>
      </c>
      <c r="G2028" s="414" t="s">
        <v>701</v>
      </c>
      <c r="H2028" s="412" t="s">
        <v>245</v>
      </c>
      <c r="I2028" s="414">
        <f>C13</f>
        <v>534</v>
      </c>
      <c r="J2028" s="412" t="s">
        <v>701</v>
      </c>
      <c r="K2028" s="414">
        <f>(F2028*I2028)</f>
        <v>534</v>
      </c>
      <c r="M2028" s="414">
        <v>1</v>
      </c>
      <c r="N2028" s="414" t="s">
        <v>701</v>
      </c>
      <c r="O2028" s="412" t="s">
        <v>245</v>
      </c>
      <c r="P2028" s="414">
        <f>I2028</f>
        <v>534</v>
      </c>
      <c r="Q2028" s="412" t="s">
        <v>701</v>
      </c>
      <c r="R2028" s="414">
        <f>(M2028*P2028)</f>
        <v>534</v>
      </c>
      <c r="W2028" s="413"/>
    </row>
    <row r="2029" spans="6:23" ht="24" customHeight="1">
      <c r="H2029" s="415" t="s">
        <v>569</v>
      </c>
      <c r="O2029" s="415" t="s">
        <v>569</v>
      </c>
      <c r="Q2029" s="412"/>
      <c r="W2029" s="413"/>
    </row>
    <row r="2030" spans="6:23" ht="24" customHeight="1">
      <c r="F2030" s="414">
        <v>0.5</v>
      </c>
      <c r="G2030" s="414" t="s">
        <v>701</v>
      </c>
      <c r="H2030" s="412" t="s">
        <v>1711</v>
      </c>
      <c r="I2030" s="414">
        <f>C15</f>
        <v>866</v>
      </c>
      <c r="J2030" s="412" t="s">
        <v>701</v>
      </c>
      <c r="K2030" s="414">
        <f>(F2030*I2030)</f>
        <v>433</v>
      </c>
      <c r="M2030" s="414">
        <v>0.5</v>
      </c>
      <c r="N2030" s="414" t="s">
        <v>701</v>
      </c>
      <c r="O2030" s="412" t="s">
        <v>1711</v>
      </c>
      <c r="P2030" s="414">
        <f>I2030</f>
        <v>866</v>
      </c>
      <c r="Q2030" s="412" t="s">
        <v>701</v>
      </c>
      <c r="R2030" s="414">
        <f>(M2030*P2030)</f>
        <v>433</v>
      </c>
      <c r="W2030" s="413"/>
    </row>
    <row r="2031" spans="6:23" ht="24" customHeight="1">
      <c r="F2031" s="414">
        <v>0.5</v>
      </c>
      <c r="G2031" s="414" t="s">
        <v>701</v>
      </c>
      <c r="H2031" s="412" t="s">
        <v>1550</v>
      </c>
      <c r="I2031" s="414">
        <f>C12</f>
        <v>651</v>
      </c>
      <c r="J2031" s="412" t="s">
        <v>701</v>
      </c>
      <c r="K2031" s="414">
        <f>(F2031*I2031)</f>
        <v>325.5</v>
      </c>
      <c r="M2031" s="414">
        <v>0.5</v>
      </c>
      <c r="N2031" s="414" t="s">
        <v>701</v>
      </c>
      <c r="O2031" s="412" t="s">
        <v>1550</v>
      </c>
      <c r="P2031" s="414">
        <f>I2031</f>
        <v>651</v>
      </c>
      <c r="Q2031" s="412" t="s">
        <v>701</v>
      </c>
      <c r="R2031" s="414">
        <f>(M2031*P2031)</f>
        <v>325.5</v>
      </c>
      <c r="W2031" s="413"/>
    </row>
    <row r="2032" spans="6:23" ht="24" customHeight="1">
      <c r="G2032" s="414" t="s">
        <v>358</v>
      </c>
      <c r="H2032" s="412" t="s">
        <v>359</v>
      </c>
      <c r="J2032" s="412" t="s">
        <v>358</v>
      </c>
      <c r="K2032" s="414">
        <v>0.7</v>
      </c>
      <c r="O2032" s="415" t="s">
        <v>2572</v>
      </c>
      <c r="P2032" s="414">
        <f>I2032</f>
        <v>0</v>
      </c>
      <c r="Q2032" s="412"/>
      <c r="R2032" s="414">
        <v>-164</v>
      </c>
      <c r="W2032" s="413"/>
    </row>
    <row r="2033" spans="6:23" ht="24" customHeight="1">
      <c r="K2033" s="418" t="s">
        <v>1288</v>
      </c>
      <c r="O2033" s="415" t="s">
        <v>2573</v>
      </c>
      <c r="Q2033" s="412"/>
      <c r="R2033" s="414">
        <v>134.1</v>
      </c>
      <c r="W2033" s="413"/>
    </row>
    <row r="2034" spans="6:23" ht="24" customHeight="1">
      <c r="H2034" s="412" t="s">
        <v>1428</v>
      </c>
      <c r="K2034" s="414">
        <f>SUM(K2024:K2032)</f>
        <v>7508.2</v>
      </c>
      <c r="N2034" s="414" t="s">
        <v>358</v>
      </c>
      <c r="O2034" s="412" t="s">
        <v>359</v>
      </c>
      <c r="Q2034" s="412" t="s">
        <v>358</v>
      </c>
      <c r="R2034" s="414">
        <v>0.7</v>
      </c>
      <c r="W2034" s="413"/>
    </row>
    <row r="2035" spans="6:23" ht="24" hidden="1" customHeight="1">
      <c r="H2035" s="412"/>
      <c r="Q2035" s="412"/>
      <c r="R2035" s="418" t="s">
        <v>1288</v>
      </c>
      <c r="W2035" s="413"/>
    </row>
    <row r="2036" spans="6:23" ht="24" customHeight="1">
      <c r="H2036" s="412"/>
      <c r="K2036" s="418" t="s">
        <v>1288</v>
      </c>
      <c r="O2036" s="412" t="s">
        <v>1428</v>
      </c>
      <c r="Q2036" s="412"/>
      <c r="W2036" s="413"/>
    </row>
    <row r="2037" spans="6:23" ht="24" customHeight="1">
      <c r="H2037" s="412"/>
      <c r="M2037" s="412" t="s">
        <v>790</v>
      </c>
      <c r="Q2037" s="412"/>
      <c r="R2037" s="417">
        <f>SUM(R2024:R2036)</f>
        <v>7478.3</v>
      </c>
      <c r="W2037" s="413"/>
    </row>
    <row r="2038" spans="6:23" ht="24" customHeight="1">
      <c r="F2038" s="413" t="s">
        <v>570</v>
      </c>
      <c r="G2038" s="414" t="s">
        <v>1833</v>
      </c>
      <c r="H2038" s="412" t="s">
        <v>653</v>
      </c>
      <c r="Q2038" s="412"/>
      <c r="R2038" s="418" t="s">
        <v>1288</v>
      </c>
      <c r="W2038" s="413"/>
    </row>
    <row r="2039" spans="6:23" ht="24" customHeight="1">
      <c r="H2039" s="412" t="s">
        <v>131</v>
      </c>
      <c r="W2039" s="413"/>
    </row>
    <row r="2040" spans="6:23" ht="24" customHeight="1">
      <c r="H2040" s="418" t="s">
        <v>1288</v>
      </c>
      <c r="W2040" s="413"/>
    </row>
    <row r="2041" spans="6:23" ht="24" customHeight="1">
      <c r="G2041" s="414" t="s">
        <v>550</v>
      </c>
      <c r="H2041" s="412" t="s">
        <v>29</v>
      </c>
      <c r="W2041" s="413"/>
    </row>
    <row r="2042" spans="6:23" ht="24" customHeight="1">
      <c r="H2042" s="412" t="s">
        <v>4349</v>
      </c>
      <c r="W2042" s="413"/>
    </row>
    <row r="2043" spans="6:23" ht="24" customHeight="1">
      <c r="H2043" s="412" t="s">
        <v>765</v>
      </c>
      <c r="M2043" s="427"/>
      <c r="O2043" s="412" t="s">
        <v>1627</v>
      </c>
      <c r="Q2043" s="412"/>
      <c r="W2043" s="413"/>
    </row>
    <row r="2044" spans="6:23" ht="24" customHeight="1">
      <c r="H2044" s="412" t="s">
        <v>766</v>
      </c>
      <c r="M2044" s="427"/>
      <c r="O2044" s="412" t="s">
        <v>2896</v>
      </c>
      <c r="Q2044" s="412"/>
      <c r="W2044" s="413"/>
    </row>
    <row r="2045" spans="6:23" ht="24" customHeight="1">
      <c r="H2045" s="412" t="s">
        <v>1712</v>
      </c>
      <c r="O2045" s="418" t="s">
        <v>1288</v>
      </c>
      <c r="P2045" s="418" t="s">
        <v>1288</v>
      </c>
      <c r="Q2045" s="412" t="s">
        <v>1288</v>
      </c>
      <c r="W2045" s="413"/>
    </row>
    <row r="2046" spans="6:23" ht="24" customHeight="1">
      <c r="H2046" s="412" t="s">
        <v>1713</v>
      </c>
      <c r="Q2046" s="412"/>
      <c r="W2046" s="413"/>
    </row>
    <row r="2047" spans="6:23" ht="24" customHeight="1">
      <c r="H2047" s="412" t="s">
        <v>160</v>
      </c>
      <c r="O2047" s="415" t="s">
        <v>2897</v>
      </c>
      <c r="P2047" s="414">
        <f>3.93*2.1</f>
        <v>8.25</v>
      </c>
      <c r="Q2047" s="412" t="s">
        <v>1749</v>
      </c>
      <c r="W2047" s="413"/>
    </row>
    <row r="2048" spans="6:23" ht="24" customHeight="1">
      <c r="H2048" s="418" t="s">
        <v>1288</v>
      </c>
      <c r="O2048" s="412" t="s">
        <v>2898</v>
      </c>
      <c r="Q2048" s="412"/>
      <c r="W2048" s="413"/>
    </row>
    <row r="2049" spans="6:23" ht="24" customHeight="1">
      <c r="F2049" s="414">
        <v>3</v>
      </c>
      <c r="G2049" s="414" t="s">
        <v>1443</v>
      </c>
      <c r="H2049" s="412" t="s">
        <v>1714</v>
      </c>
      <c r="I2049" s="414">
        <f>(C620)</f>
        <v>193.05</v>
      </c>
      <c r="J2049" s="412" t="s">
        <v>1443</v>
      </c>
      <c r="K2049" s="414">
        <f t="shared" ref="K2049:K2055" si="240">(F2049*I2049)</f>
        <v>579.15</v>
      </c>
      <c r="O2049" s="412" t="s">
        <v>2899</v>
      </c>
      <c r="P2049" s="416">
        <f>1*7*2.1*0.075*0.0375</f>
        <v>4.1000000000000002E-2</v>
      </c>
      <c r="Q2049" s="412"/>
      <c r="W2049" s="413"/>
    </row>
    <row r="2050" spans="6:23" ht="24" customHeight="1">
      <c r="F2050" s="414">
        <v>1</v>
      </c>
      <c r="G2050" s="414" t="s">
        <v>619</v>
      </c>
      <c r="H2050" s="412" t="s">
        <v>540</v>
      </c>
      <c r="I2050" s="414">
        <v>76</v>
      </c>
      <c r="J2050" s="412" t="s">
        <v>1395</v>
      </c>
      <c r="K2050" s="414">
        <f t="shared" si="240"/>
        <v>76</v>
      </c>
      <c r="O2050" s="412" t="s">
        <v>2900</v>
      </c>
      <c r="P2050" s="416">
        <f>5*3.93*0.075*0.0375</f>
        <v>5.5E-2</v>
      </c>
      <c r="Q2050" s="412"/>
      <c r="W2050" s="413"/>
    </row>
    <row r="2051" spans="6:23" ht="24" customHeight="1">
      <c r="F2051" s="414">
        <v>1</v>
      </c>
      <c r="G2051" s="414" t="s">
        <v>619</v>
      </c>
      <c r="H2051" s="412" t="s">
        <v>541</v>
      </c>
      <c r="I2051" s="414">
        <f>C648</f>
        <v>82.3</v>
      </c>
      <c r="J2051" s="412" t="s">
        <v>1395</v>
      </c>
      <c r="K2051" s="414">
        <f t="shared" si="240"/>
        <v>82.3</v>
      </c>
      <c r="O2051" s="412"/>
      <c r="P2051" s="474">
        <f>SUM(P2049:P2050)</f>
        <v>9.6000000000000002E-2</v>
      </c>
      <c r="Q2051" s="412" t="s">
        <v>1749</v>
      </c>
      <c r="W2051" s="413"/>
    </row>
    <row r="2052" spans="6:23" ht="24" customHeight="1">
      <c r="F2052" s="414">
        <v>1</v>
      </c>
      <c r="G2052" s="414" t="s">
        <v>619</v>
      </c>
      <c r="H2052" s="412" t="s">
        <v>2526</v>
      </c>
      <c r="I2052" s="414">
        <f>C645</f>
        <v>187.8</v>
      </c>
      <c r="J2052" s="412" t="s">
        <v>1395</v>
      </c>
      <c r="K2052" s="414">
        <f t="shared" si="240"/>
        <v>187.8</v>
      </c>
      <c r="O2052" s="412" t="s">
        <v>2901</v>
      </c>
      <c r="Q2052" s="412"/>
      <c r="W2052" s="413"/>
    </row>
    <row r="2053" spans="6:23" ht="24" customHeight="1">
      <c r="F2053" s="414">
        <v>0.5</v>
      </c>
      <c r="G2053" s="414" t="s">
        <v>701</v>
      </c>
      <c r="H2053" s="412" t="s">
        <v>1711</v>
      </c>
      <c r="I2053" s="414">
        <f>(C15)</f>
        <v>866</v>
      </c>
      <c r="J2053" s="412" t="s">
        <v>1395</v>
      </c>
      <c r="K2053" s="414">
        <f t="shared" si="240"/>
        <v>433</v>
      </c>
      <c r="O2053" s="412" t="s">
        <v>2902</v>
      </c>
      <c r="Q2053" s="412"/>
      <c r="W2053" s="413"/>
    </row>
    <row r="2054" spans="6:23" ht="24" customHeight="1">
      <c r="F2054" s="414">
        <v>0.5</v>
      </c>
      <c r="G2054" s="414" t="s">
        <v>701</v>
      </c>
      <c r="H2054" s="412" t="s">
        <v>1392</v>
      </c>
      <c r="I2054" s="414">
        <f>(C11)</f>
        <v>932</v>
      </c>
      <c r="J2054" s="412" t="s">
        <v>1395</v>
      </c>
      <c r="K2054" s="414">
        <f t="shared" si="240"/>
        <v>466</v>
      </c>
      <c r="O2054" s="412" t="s">
        <v>2903</v>
      </c>
      <c r="P2054" s="416">
        <f>2*18*0.6*0.075*0.0375</f>
        <v>6.0999999999999999E-2</v>
      </c>
      <c r="Q2054" s="412"/>
      <c r="W2054" s="413"/>
    </row>
    <row r="2055" spans="6:23" ht="24" customHeight="1">
      <c r="F2055" s="414">
        <v>0.5</v>
      </c>
      <c r="G2055" s="414" t="s">
        <v>701</v>
      </c>
      <c r="H2055" s="412" t="s">
        <v>1550</v>
      </c>
      <c r="I2055" s="414">
        <f>(C12)</f>
        <v>651</v>
      </c>
      <c r="J2055" s="412" t="s">
        <v>1395</v>
      </c>
      <c r="K2055" s="414">
        <f t="shared" si="240"/>
        <v>325.5</v>
      </c>
      <c r="O2055" s="412" t="s">
        <v>2904</v>
      </c>
      <c r="P2055" s="416">
        <f>2*18*0.69*0.075*0.0375</f>
        <v>7.0000000000000007E-2</v>
      </c>
      <c r="Q2055" s="412"/>
      <c r="W2055" s="413"/>
    </row>
    <row r="2056" spans="6:23" ht="24" customHeight="1">
      <c r="G2056" s="414" t="s">
        <v>358</v>
      </c>
      <c r="H2056" s="412" t="s">
        <v>1236</v>
      </c>
      <c r="I2056" s="414">
        <v>2.79</v>
      </c>
      <c r="J2056" s="412" t="s">
        <v>358</v>
      </c>
      <c r="K2056" s="414">
        <v>2.79</v>
      </c>
      <c r="O2056" s="412"/>
      <c r="P2056" s="474">
        <f>SUM(P2054:P2055)</f>
        <v>0.13100000000000001</v>
      </c>
      <c r="Q2056" s="412"/>
      <c r="W2056" s="413"/>
    </row>
    <row r="2057" spans="6:23" ht="24" customHeight="1">
      <c r="H2057" s="412" t="s">
        <v>63</v>
      </c>
      <c r="O2057" s="412" t="s">
        <v>2905</v>
      </c>
      <c r="Q2057" s="412"/>
      <c r="W2057" s="413"/>
    </row>
    <row r="2058" spans="6:23" ht="24" customHeight="1">
      <c r="H2058" s="412" t="s">
        <v>154</v>
      </c>
      <c r="O2058" s="412" t="s">
        <v>2906</v>
      </c>
      <c r="P2058" s="416">
        <f>2*6*0.66*0.075*0.0375</f>
        <v>2.1999999999999999E-2</v>
      </c>
      <c r="Q2058" s="412"/>
      <c r="W2058" s="413"/>
    </row>
    <row r="2059" spans="6:23" ht="24" customHeight="1">
      <c r="H2059" s="412" t="s">
        <v>589</v>
      </c>
      <c r="J2059" s="412" t="s">
        <v>358</v>
      </c>
      <c r="K2059" s="414">
        <v>0.12</v>
      </c>
      <c r="O2059" s="412" t="s">
        <v>2907</v>
      </c>
      <c r="P2059" s="416">
        <f>2*6*0.69*0.075*0.0375</f>
        <v>2.3E-2</v>
      </c>
      <c r="Q2059" s="412"/>
      <c r="W2059" s="413"/>
    </row>
    <row r="2060" spans="6:23" ht="24" customHeight="1">
      <c r="K2060" s="418" t="s">
        <v>1288</v>
      </c>
      <c r="O2060" s="412"/>
      <c r="P2060" s="474">
        <f>SUM(P2058:P2059)</f>
        <v>4.4999999999999998E-2</v>
      </c>
      <c r="Q2060" s="412"/>
      <c r="W2060" s="413"/>
    </row>
    <row r="2061" spans="6:23" ht="24" customHeight="1">
      <c r="H2061" s="412" t="s">
        <v>1072</v>
      </c>
      <c r="K2061" s="414">
        <f>SUM(K2049:K2059)</f>
        <v>2152.66</v>
      </c>
      <c r="O2061" s="412"/>
      <c r="P2061" s="474">
        <f>P2056+P2060</f>
        <v>0.17599999999999999</v>
      </c>
      <c r="Q2061" s="412" t="s">
        <v>1749</v>
      </c>
      <c r="R2061" s="416">
        <f>P2061+P2051</f>
        <v>0.27200000000000002</v>
      </c>
      <c r="W2061" s="413"/>
    </row>
    <row r="2062" spans="6:23" ht="24" customHeight="1">
      <c r="K2062" s="418" t="s">
        <v>1288</v>
      </c>
      <c r="O2062" s="412" t="s">
        <v>2908</v>
      </c>
      <c r="Q2062" s="412"/>
      <c r="W2062" s="413"/>
    </row>
    <row r="2063" spans="6:23" ht="24" customHeight="1">
      <c r="H2063" s="412" t="s">
        <v>1253</v>
      </c>
      <c r="K2063" s="414">
        <f>(K2061/3)</f>
        <v>717.55</v>
      </c>
      <c r="O2063" s="412" t="s">
        <v>2909</v>
      </c>
      <c r="P2063" s="414">
        <f>1*18*0.54*0.45</f>
        <v>4.37</v>
      </c>
      <c r="Q2063" s="412"/>
      <c r="W2063" s="413"/>
    </row>
    <row r="2064" spans="6:23" ht="24" customHeight="1">
      <c r="K2064" s="418" t="s">
        <v>1288</v>
      </c>
      <c r="O2064" s="412" t="s">
        <v>2910</v>
      </c>
      <c r="P2064" s="414">
        <f>1*6*0.54*0.51</f>
        <v>1.65</v>
      </c>
      <c r="Q2064" s="412"/>
      <c r="W2064" s="413"/>
    </row>
    <row r="2065" spans="6:23" ht="24" customHeight="1">
      <c r="F2065" s="413" t="s">
        <v>590</v>
      </c>
      <c r="G2065" s="414" t="s">
        <v>223</v>
      </c>
      <c r="H2065" s="412" t="s">
        <v>591</v>
      </c>
      <c r="O2065" s="412"/>
      <c r="P2065" s="417">
        <f>SUM(P2063:P2064)</f>
        <v>6.02</v>
      </c>
      <c r="Q2065" s="412" t="s">
        <v>1861</v>
      </c>
      <c r="W2065" s="413"/>
    </row>
    <row r="2066" spans="6:23" ht="24" customHeight="1">
      <c r="H2066" s="412" t="s">
        <v>4350</v>
      </c>
      <c r="O2066" s="412"/>
      <c r="Q2066" s="412"/>
      <c r="W2066" s="413"/>
    </row>
    <row r="2067" spans="6:23" ht="24" customHeight="1">
      <c r="H2067" s="412" t="s">
        <v>765</v>
      </c>
      <c r="O2067" s="412" t="s">
        <v>2911</v>
      </c>
      <c r="P2067" s="414">
        <f>3.78*1.95</f>
        <v>7.37</v>
      </c>
      <c r="Q2067" s="412" t="s">
        <v>1861</v>
      </c>
      <c r="R2067" s="449" t="s">
        <v>790</v>
      </c>
      <c r="W2067" s="413"/>
    </row>
    <row r="2068" spans="6:23" ht="24" customHeight="1">
      <c r="H2068" s="412" t="s">
        <v>592</v>
      </c>
      <c r="O2068" s="412"/>
      <c r="Q2068" s="412"/>
      <c r="R2068" s="449"/>
      <c r="W2068" s="413"/>
    </row>
    <row r="2069" spans="6:23" ht="24" customHeight="1">
      <c r="H2069" s="412" t="s">
        <v>439</v>
      </c>
      <c r="O2069" s="412" t="s">
        <v>2912</v>
      </c>
      <c r="P2069" s="414">
        <f>18*2</f>
        <v>36</v>
      </c>
      <c r="Q2069" s="412" t="s">
        <v>1130</v>
      </c>
      <c r="R2069" s="449"/>
      <c r="W2069" s="413"/>
    </row>
    <row r="2070" spans="6:23" ht="24" customHeight="1">
      <c r="H2070" s="412" t="s">
        <v>1713</v>
      </c>
      <c r="O2070" s="412" t="s">
        <v>2913</v>
      </c>
      <c r="P2070" s="414">
        <f>18*1</f>
        <v>18</v>
      </c>
      <c r="Q2070" s="412" t="s">
        <v>1130</v>
      </c>
      <c r="R2070" s="449"/>
      <c r="W2070" s="413"/>
    </row>
    <row r="2071" spans="6:23" ht="24" customHeight="1">
      <c r="H2071" s="412" t="s">
        <v>160</v>
      </c>
      <c r="O2071" s="414" t="s">
        <v>2571</v>
      </c>
      <c r="P2071" s="414">
        <f>18*1</f>
        <v>18</v>
      </c>
      <c r="Q2071" s="412" t="s">
        <v>1130</v>
      </c>
      <c r="R2071" s="449"/>
      <c r="W2071" s="413"/>
    </row>
    <row r="2072" spans="6:23" ht="24" customHeight="1">
      <c r="H2072" s="418" t="s">
        <v>1288</v>
      </c>
      <c r="O2072" s="412" t="s">
        <v>2914</v>
      </c>
      <c r="P2072" s="414">
        <f>3.93*2.6*2.1</f>
        <v>21.46</v>
      </c>
      <c r="Q2072" s="412" t="s">
        <v>1861</v>
      </c>
      <c r="R2072" s="449"/>
      <c r="W2072" s="413"/>
    </row>
    <row r="2073" spans="6:23" ht="24" customHeight="1">
      <c r="F2073" s="414">
        <v>3</v>
      </c>
      <c r="G2073" s="414" t="s">
        <v>1443</v>
      </c>
      <c r="H2073" s="412" t="s">
        <v>814</v>
      </c>
      <c r="I2073" s="414">
        <f>C621</f>
        <v>115.85</v>
      </c>
      <c r="J2073" s="412" t="s">
        <v>1443</v>
      </c>
      <c r="K2073" s="414">
        <f t="shared" ref="K2073:K2079" si="241">(F2073*I2073)</f>
        <v>347.55</v>
      </c>
      <c r="Q2073" s="412"/>
      <c r="W2073" s="413"/>
    </row>
    <row r="2074" spans="6:23" ht="24" customHeight="1">
      <c r="F2074" s="414">
        <v>1</v>
      </c>
      <c r="G2074" s="414" t="s">
        <v>619</v>
      </c>
      <c r="H2074" s="412" t="s">
        <v>815</v>
      </c>
      <c r="I2074" s="414">
        <f>C624</f>
        <v>45</v>
      </c>
      <c r="J2074" s="412" t="s">
        <v>1395</v>
      </c>
      <c r="K2074" s="414">
        <f t="shared" si="241"/>
        <v>45</v>
      </c>
      <c r="M2074" s="450">
        <f>P2051</f>
        <v>9.6000000000000002E-2</v>
      </c>
      <c r="N2074" s="414" t="s">
        <v>702</v>
      </c>
      <c r="O2074" s="412" t="s">
        <v>553</v>
      </c>
      <c r="P2074" s="414" t="e">
        <f>I3100</f>
        <v>#REF!</v>
      </c>
      <c r="Q2074" s="412" t="s">
        <v>702</v>
      </c>
      <c r="R2074" s="414" t="e">
        <f t="shared" ref="R2074:R2083" si="242">(M2074*P2074)</f>
        <v>#REF!</v>
      </c>
      <c r="W2074" s="413"/>
    </row>
    <row r="2075" spans="6:23" ht="24" customHeight="1">
      <c r="F2075" s="414">
        <v>1</v>
      </c>
      <c r="G2075" s="414" t="s">
        <v>619</v>
      </c>
      <c r="H2075" s="412" t="s">
        <v>816</v>
      </c>
      <c r="I2075" s="414">
        <f>C649</f>
        <v>55.5</v>
      </c>
      <c r="J2075" s="412" t="s">
        <v>1395</v>
      </c>
      <c r="K2075" s="414">
        <f t="shared" si="241"/>
        <v>55.5</v>
      </c>
      <c r="M2075" s="450">
        <f>P2061</f>
        <v>0.17599999999999999</v>
      </c>
      <c r="N2075" s="414" t="s">
        <v>702</v>
      </c>
      <c r="O2075" s="412" t="s">
        <v>554</v>
      </c>
      <c r="P2075" s="414" t="e">
        <f t="shared" ref="P2075:P2083" si="243">I3101</f>
        <v>#REF!</v>
      </c>
      <c r="Q2075" s="412" t="s">
        <v>702</v>
      </c>
      <c r="R2075" s="414" t="e">
        <f t="shared" si="242"/>
        <v>#REF!</v>
      </c>
      <c r="W2075" s="413"/>
    </row>
    <row r="2076" spans="6:23" ht="24" customHeight="1">
      <c r="F2076" s="414">
        <v>1</v>
      </c>
      <c r="G2076" s="414" t="s">
        <v>619</v>
      </c>
      <c r="H2076" s="412" t="s">
        <v>64</v>
      </c>
      <c r="I2076" s="414">
        <f>C646</f>
        <v>125.2</v>
      </c>
      <c r="J2076" s="412" t="s">
        <v>1395</v>
      </c>
      <c r="K2076" s="414">
        <f t="shared" si="241"/>
        <v>125.2</v>
      </c>
      <c r="M2076" s="450">
        <f>SUM(M2074:M2075)</f>
        <v>0.27200000000000002</v>
      </c>
      <c r="N2076" s="414" t="s">
        <v>702</v>
      </c>
      <c r="O2076" s="412" t="s">
        <v>717</v>
      </c>
      <c r="P2076" s="414">
        <f t="shared" si="243"/>
        <v>13690</v>
      </c>
      <c r="Q2076" s="412" t="s">
        <v>702</v>
      </c>
      <c r="R2076" s="414">
        <f t="shared" si="242"/>
        <v>3723.68</v>
      </c>
      <c r="W2076" s="413"/>
    </row>
    <row r="2077" spans="6:23" ht="24" customHeight="1">
      <c r="F2077" s="414">
        <v>0.5</v>
      </c>
      <c r="G2077" s="414" t="s">
        <v>701</v>
      </c>
      <c r="H2077" s="412" t="s">
        <v>1711</v>
      </c>
      <c r="I2077" s="414">
        <f>(C15)</f>
        <v>866</v>
      </c>
      <c r="J2077" s="412" t="s">
        <v>1395</v>
      </c>
      <c r="K2077" s="414">
        <f t="shared" si="241"/>
        <v>433</v>
      </c>
      <c r="M2077" s="450">
        <f>P2065</f>
        <v>6.02</v>
      </c>
      <c r="N2077" s="414" t="s">
        <v>488</v>
      </c>
      <c r="O2077" s="412" t="s">
        <v>2915</v>
      </c>
      <c r="P2077" s="414">
        <f t="shared" si="243"/>
        <v>387.4</v>
      </c>
      <c r="Q2077" s="412" t="s">
        <v>488</v>
      </c>
      <c r="R2077" s="414">
        <f t="shared" si="242"/>
        <v>2332.15</v>
      </c>
      <c r="W2077" s="413"/>
    </row>
    <row r="2078" spans="6:23" ht="24" customHeight="1">
      <c r="F2078" s="414">
        <v>0.5</v>
      </c>
      <c r="G2078" s="414" t="s">
        <v>701</v>
      </c>
      <c r="H2078" s="412" t="s">
        <v>1392</v>
      </c>
      <c r="I2078" s="414">
        <f>(C11)</f>
        <v>932</v>
      </c>
      <c r="J2078" s="412" t="s">
        <v>1395</v>
      </c>
      <c r="K2078" s="414">
        <f t="shared" si="241"/>
        <v>466</v>
      </c>
      <c r="M2078" s="450">
        <f>P2067</f>
        <v>7.37</v>
      </c>
      <c r="N2078" s="414" t="s">
        <v>488</v>
      </c>
      <c r="O2078" s="412" t="s">
        <v>1225</v>
      </c>
      <c r="P2078" s="414">
        <f t="shared" si="243"/>
        <v>1281</v>
      </c>
      <c r="Q2078" s="412" t="s">
        <v>488</v>
      </c>
      <c r="R2078" s="414">
        <f t="shared" si="242"/>
        <v>9440.9699999999993</v>
      </c>
      <c r="W2078" s="413"/>
    </row>
    <row r="2079" spans="6:23" ht="24" customHeight="1">
      <c r="F2079" s="414">
        <v>0.5</v>
      </c>
      <c r="G2079" s="414" t="s">
        <v>701</v>
      </c>
      <c r="H2079" s="412" t="s">
        <v>1550</v>
      </c>
      <c r="I2079" s="414">
        <f>(C12)</f>
        <v>651</v>
      </c>
      <c r="J2079" s="412" t="s">
        <v>1395</v>
      </c>
      <c r="K2079" s="414">
        <f t="shared" si="241"/>
        <v>325.5</v>
      </c>
      <c r="M2079" s="414">
        <f>P2069</f>
        <v>36</v>
      </c>
      <c r="N2079" s="414" t="s">
        <v>701</v>
      </c>
      <c r="O2079" s="412" t="s">
        <v>1091</v>
      </c>
      <c r="P2079" s="414">
        <f t="shared" si="243"/>
        <v>57</v>
      </c>
      <c r="Q2079" s="412" t="s">
        <v>701</v>
      </c>
      <c r="R2079" s="414">
        <f t="shared" si="242"/>
        <v>2052</v>
      </c>
      <c r="W2079" s="413"/>
    </row>
    <row r="2080" spans="6:23" ht="24" customHeight="1">
      <c r="G2080" s="414" t="s">
        <v>358</v>
      </c>
      <c r="H2080" s="412" t="s">
        <v>1236</v>
      </c>
      <c r="I2080" s="412" t="s">
        <v>790</v>
      </c>
      <c r="J2080" s="412" t="s">
        <v>358</v>
      </c>
      <c r="K2080" s="414">
        <v>2.73</v>
      </c>
      <c r="M2080" s="414">
        <f>P2070</f>
        <v>18</v>
      </c>
      <c r="N2080" s="414" t="s">
        <v>701</v>
      </c>
      <c r="O2080" s="412" t="s">
        <v>2849</v>
      </c>
      <c r="P2080" s="414">
        <f t="shared" si="243"/>
        <v>49.35</v>
      </c>
      <c r="Q2080" s="412" t="s">
        <v>701</v>
      </c>
      <c r="R2080" s="414">
        <f t="shared" si="242"/>
        <v>888.3</v>
      </c>
      <c r="W2080" s="413"/>
    </row>
    <row r="2081" spans="6:23" ht="24" customHeight="1">
      <c r="H2081" s="412" t="s">
        <v>63</v>
      </c>
      <c r="M2081" s="414">
        <f>P2071</f>
        <v>18</v>
      </c>
      <c r="N2081" s="414" t="s">
        <v>701</v>
      </c>
      <c r="O2081" s="414" t="s">
        <v>2916</v>
      </c>
      <c r="P2081" s="414">
        <f t="shared" si="243"/>
        <v>60.9</v>
      </c>
      <c r="Q2081" s="412" t="s">
        <v>701</v>
      </c>
      <c r="R2081" s="414">
        <f t="shared" si="242"/>
        <v>1096.2</v>
      </c>
      <c r="W2081" s="413"/>
    </row>
    <row r="2082" spans="6:23" ht="24" customHeight="1">
      <c r="H2082" s="412" t="s">
        <v>154</v>
      </c>
      <c r="M2082" s="414">
        <f>P2072</f>
        <v>21.46</v>
      </c>
      <c r="N2082" s="414" t="s">
        <v>488</v>
      </c>
      <c r="O2082" s="412" t="s">
        <v>2917</v>
      </c>
      <c r="P2082" s="414">
        <f t="shared" si="243"/>
        <v>63.2</v>
      </c>
      <c r="Q2082" s="412" t="s">
        <v>488</v>
      </c>
      <c r="R2082" s="414">
        <f t="shared" si="242"/>
        <v>1356.27</v>
      </c>
      <c r="W2082" s="413"/>
    </row>
    <row r="2083" spans="6:23" ht="24" customHeight="1">
      <c r="H2083" s="412" t="s">
        <v>589</v>
      </c>
      <c r="J2083" s="412" t="s">
        <v>358</v>
      </c>
      <c r="K2083" s="414">
        <v>0.27</v>
      </c>
      <c r="M2083" s="414">
        <v>50</v>
      </c>
      <c r="N2083" s="414" t="s">
        <v>1166</v>
      </c>
      <c r="O2083" s="412" t="s">
        <v>1149</v>
      </c>
      <c r="P2083" s="414">
        <f t="shared" si="243"/>
        <v>233.74</v>
      </c>
      <c r="Q2083" s="412" t="s">
        <v>701</v>
      </c>
      <c r="R2083" s="414">
        <f t="shared" si="242"/>
        <v>11687</v>
      </c>
      <c r="W2083" s="413"/>
    </row>
    <row r="2084" spans="6:23" ht="24" customHeight="1">
      <c r="K2084" s="418" t="s">
        <v>1288</v>
      </c>
      <c r="Q2084" s="412"/>
      <c r="R2084" s="418" t="s">
        <v>1288</v>
      </c>
      <c r="W2084" s="413"/>
    </row>
    <row r="2085" spans="6:23" ht="24" customHeight="1">
      <c r="H2085" s="412" t="s">
        <v>1072</v>
      </c>
      <c r="K2085" s="414">
        <f>SUM(K2073:K2083)</f>
        <v>1800.75</v>
      </c>
      <c r="O2085" s="413" t="s">
        <v>1150</v>
      </c>
      <c r="Q2085" s="412"/>
      <c r="R2085" s="414" t="e">
        <f>SUM(R2074:R2083)</f>
        <v>#REF!</v>
      </c>
      <c r="W2085" s="413"/>
    </row>
    <row r="2086" spans="6:23" ht="24" customHeight="1">
      <c r="K2086" s="418" t="s">
        <v>1288</v>
      </c>
      <c r="N2086" s="414" t="s">
        <v>790</v>
      </c>
      <c r="Q2086" s="412"/>
      <c r="R2086" s="418" t="s">
        <v>1288</v>
      </c>
      <c r="W2086" s="413"/>
    </row>
    <row r="2087" spans="6:23" ht="24" customHeight="1">
      <c r="H2087" s="412" t="s">
        <v>1253</v>
      </c>
      <c r="K2087" s="414">
        <f>(K2085/3)</f>
        <v>600.25</v>
      </c>
      <c r="O2087" s="420" t="s">
        <v>447</v>
      </c>
      <c r="Q2087" s="412"/>
      <c r="R2087" s="417" t="e">
        <f>R2085/P2047</f>
        <v>#REF!</v>
      </c>
      <c r="W2087" s="413"/>
    </row>
    <row r="2088" spans="6:23" ht="24" customHeight="1">
      <c r="K2088" s="418" t="s">
        <v>1288</v>
      </c>
      <c r="Q2088" s="412"/>
      <c r="R2088" s="418" t="s">
        <v>1676</v>
      </c>
      <c r="W2088" s="413"/>
    </row>
    <row r="2089" spans="6:23" ht="24" customHeight="1">
      <c r="F2089" s="413" t="s">
        <v>65</v>
      </c>
      <c r="H2089" s="412" t="s">
        <v>165</v>
      </c>
      <c r="W2089" s="413"/>
    </row>
    <row r="2090" spans="6:23" ht="24" customHeight="1">
      <c r="H2090" s="412" t="s">
        <v>1476</v>
      </c>
      <c r="W2090" s="413"/>
    </row>
    <row r="2091" spans="6:23" ht="24" customHeight="1">
      <c r="F2091" s="412" t="s">
        <v>790</v>
      </c>
      <c r="H2091" s="412" t="s">
        <v>1789</v>
      </c>
      <c r="W2091" s="413"/>
    </row>
    <row r="2092" spans="6:23" ht="48" customHeight="1">
      <c r="H2092" s="418" t="s">
        <v>1288</v>
      </c>
      <c r="M2092" s="431"/>
      <c r="N2092" s="431"/>
      <c r="O2092" s="431" t="s">
        <v>2918</v>
      </c>
      <c r="P2092" s="431"/>
      <c r="Q2092" s="431"/>
      <c r="R2092" s="431"/>
      <c r="W2092" s="413"/>
    </row>
    <row r="2093" spans="6:23" ht="24" customHeight="1">
      <c r="F2093" s="414">
        <v>3</v>
      </c>
      <c r="G2093" s="414" t="s">
        <v>1790</v>
      </c>
      <c r="H2093" s="412" t="s">
        <v>1791</v>
      </c>
      <c r="I2093" s="414">
        <f>D620</f>
        <v>120.54</v>
      </c>
      <c r="J2093" s="412" t="s">
        <v>1790</v>
      </c>
      <c r="K2093" s="414">
        <f>(F2093*I2093)</f>
        <v>361.62</v>
      </c>
      <c r="M2093" s="475">
        <v>8.5000000000000006E-2</v>
      </c>
      <c r="N2093" s="431" t="s">
        <v>1749</v>
      </c>
      <c r="O2093" s="431" t="s">
        <v>2919</v>
      </c>
      <c r="P2093" s="431" t="e">
        <f>Z718</f>
        <v>#REF!</v>
      </c>
      <c r="Q2093" s="431" t="s">
        <v>1134</v>
      </c>
      <c r="R2093" s="431" t="e">
        <f>M2093*P2093</f>
        <v>#REF!</v>
      </c>
      <c r="W2093" s="413"/>
    </row>
    <row r="2094" spans="6:23" ht="24" customHeight="1">
      <c r="F2094" s="414">
        <v>1</v>
      </c>
      <c r="G2094" s="414" t="s">
        <v>1435</v>
      </c>
      <c r="H2094" s="412" t="s">
        <v>1792</v>
      </c>
      <c r="I2094" s="414">
        <f>C648</f>
        <v>82.3</v>
      </c>
      <c r="J2094" s="412" t="s">
        <v>1435</v>
      </c>
      <c r="K2094" s="414">
        <f>(F2094*I2094)</f>
        <v>82.3</v>
      </c>
      <c r="M2094" s="431">
        <v>8.5</v>
      </c>
      <c r="N2094" s="431" t="s">
        <v>1341</v>
      </c>
      <c r="O2094" s="431" t="s">
        <v>2920</v>
      </c>
      <c r="P2094" s="431" t="e">
        <f>K1608/1000</f>
        <v>#REF!</v>
      </c>
      <c r="Q2094" s="431" t="s">
        <v>1341</v>
      </c>
      <c r="R2094" s="431" t="e">
        <f>M2094*P2094</f>
        <v>#REF!</v>
      </c>
      <c r="W2094" s="413"/>
    </row>
    <row r="2095" spans="6:23" ht="24" customHeight="1">
      <c r="F2095" s="414">
        <v>1</v>
      </c>
      <c r="G2095" s="414" t="s">
        <v>1435</v>
      </c>
      <c r="H2095" s="412" t="s">
        <v>1793</v>
      </c>
      <c r="I2095" s="414">
        <v>8</v>
      </c>
      <c r="J2095" s="412" t="s">
        <v>1435</v>
      </c>
      <c r="K2095" s="414">
        <f>(F2095*I2095)</f>
        <v>8</v>
      </c>
      <c r="M2095" s="431"/>
      <c r="N2095" s="431"/>
      <c r="O2095" s="431" t="s">
        <v>1850</v>
      </c>
      <c r="P2095" s="431"/>
      <c r="Q2095" s="431"/>
      <c r="R2095" s="476" t="s">
        <v>1288</v>
      </c>
      <c r="W2095" s="413"/>
    </row>
    <row r="2096" spans="6:23" ht="24" customHeight="1">
      <c r="F2096" s="413" t="s">
        <v>588</v>
      </c>
      <c r="H2096" s="412" t="s">
        <v>1794</v>
      </c>
      <c r="I2096" s="413" t="s">
        <v>588</v>
      </c>
      <c r="K2096" s="414">
        <f>1.21+0.47+0.4</f>
        <v>2.08</v>
      </c>
      <c r="M2096" s="431"/>
      <c r="N2096" s="431"/>
      <c r="O2096" s="431"/>
      <c r="P2096" s="431"/>
      <c r="Q2096" s="431"/>
      <c r="R2096" s="431" t="e">
        <f>SUM(R2093:R2095)</f>
        <v>#REF!</v>
      </c>
      <c r="W2096" s="413"/>
    </row>
    <row r="2097" spans="6:23" ht="24" customHeight="1">
      <c r="K2097" s="418" t="s">
        <v>1288</v>
      </c>
      <c r="W2097" s="413"/>
    </row>
    <row r="2098" spans="6:23" ht="24" customHeight="1">
      <c r="H2098" s="412" t="s">
        <v>312</v>
      </c>
      <c r="K2098" s="414">
        <f>SUM(K2093:K2096)</f>
        <v>454</v>
      </c>
      <c r="M2098" s="431"/>
      <c r="N2098" s="431"/>
      <c r="O2098" s="431" t="s">
        <v>2918</v>
      </c>
      <c r="P2098" s="431"/>
      <c r="Q2098" s="431"/>
      <c r="R2098" s="431"/>
      <c r="W2098" s="413"/>
    </row>
    <row r="2099" spans="6:23" ht="24" customHeight="1">
      <c r="K2099" s="418" t="s">
        <v>1288</v>
      </c>
      <c r="M2099" s="475">
        <v>4.4999999999999998E-2</v>
      </c>
      <c r="N2099" s="431" t="s">
        <v>1749</v>
      </c>
      <c r="O2099" s="431" t="s">
        <v>2922</v>
      </c>
      <c r="P2099" s="431" t="e">
        <f>P2093</f>
        <v>#REF!</v>
      </c>
      <c r="Q2099" s="431" t="s">
        <v>1134</v>
      </c>
      <c r="R2099" s="431" t="e">
        <f>M2099*P2099</f>
        <v>#REF!</v>
      </c>
      <c r="W2099" s="413"/>
    </row>
    <row r="2100" spans="6:23" ht="24" customHeight="1">
      <c r="M2100" s="431">
        <v>4.5</v>
      </c>
      <c r="N2100" s="431" t="s">
        <v>1341</v>
      </c>
      <c r="O2100" s="431" t="s">
        <v>2920</v>
      </c>
      <c r="P2100" s="431" t="e">
        <f>P2094</f>
        <v>#REF!</v>
      </c>
      <c r="Q2100" s="431" t="s">
        <v>1341</v>
      </c>
      <c r="R2100" s="431" t="e">
        <f>M2100*P2100</f>
        <v>#REF!</v>
      </c>
      <c r="W2100" s="413"/>
    </row>
    <row r="2101" spans="6:23" ht="24" customHeight="1">
      <c r="F2101" s="413" t="s">
        <v>313</v>
      </c>
      <c r="G2101" s="414" t="s">
        <v>1833</v>
      </c>
      <c r="H2101" s="412" t="s">
        <v>922</v>
      </c>
      <c r="M2101" s="431"/>
      <c r="N2101" s="431"/>
      <c r="O2101" s="431" t="s">
        <v>1850</v>
      </c>
      <c r="P2101" s="431"/>
      <c r="Q2101" s="431"/>
      <c r="R2101" s="476" t="s">
        <v>1288</v>
      </c>
      <c r="W2101" s="413"/>
    </row>
    <row r="2102" spans="6:23" ht="24" customHeight="1">
      <c r="H2102" s="412" t="s">
        <v>230</v>
      </c>
      <c r="M2102" s="431"/>
      <c r="N2102" s="431"/>
      <c r="O2102" s="431"/>
      <c r="P2102" s="431"/>
      <c r="Q2102" s="431"/>
      <c r="R2102" s="431" t="e">
        <f>SUM(R2099:R2101)</f>
        <v>#REF!</v>
      </c>
      <c r="W2102" s="413"/>
    </row>
    <row r="2103" spans="6:23" ht="24" customHeight="1">
      <c r="H2103" s="418" t="s">
        <v>1288</v>
      </c>
      <c r="W2103" s="413"/>
    </row>
    <row r="2104" spans="6:23" ht="24" customHeight="1">
      <c r="F2104" s="414">
        <v>1</v>
      </c>
      <c r="G2104" s="414" t="s">
        <v>701</v>
      </c>
      <c r="H2104" s="412" t="s">
        <v>230</v>
      </c>
      <c r="I2104" s="414">
        <f>(C266)</f>
        <v>170.35</v>
      </c>
      <c r="J2104" s="412" t="s">
        <v>701</v>
      </c>
      <c r="K2104" s="414">
        <f>(F2104*I2104)</f>
        <v>170.35</v>
      </c>
      <c r="W2104" s="413"/>
    </row>
    <row r="2105" spans="6:23" ht="24" customHeight="1">
      <c r="F2105" s="414">
        <v>0.05</v>
      </c>
      <c r="G2105" s="414" t="s">
        <v>702</v>
      </c>
      <c r="H2105" s="412" t="s">
        <v>956</v>
      </c>
      <c r="I2105" s="414" t="e">
        <f>(R60)</f>
        <v>#REF!</v>
      </c>
      <c r="J2105" s="412" t="s">
        <v>702</v>
      </c>
      <c r="K2105" s="414" t="e">
        <f>(F2105*I2105)</f>
        <v>#REF!</v>
      </c>
      <c r="M2105" s="431"/>
      <c r="N2105" s="431"/>
      <c r="O2105" s="431" t="s">
        <v>2921</v>
      </c>
      <c r="P2105" s="431"/>
      <c r="Q2105" s="431"/>
      <c r="R2105" s="431"/>
      <c r="W2105" s="413"/>
    </row>
    <row r="2106" spans="6:23" ht="24" customHeight="1">
      <c r="F2106" s="414">
        <v>0.5</v>
      </c>
      <c r="G2106" s="414" t="s">
        <v>701</v>
      </c>
      <c r="H2106" s="412" t="s">
        <v>1711</v>
      </c>
      <c r="I2106" s="414">
        <f>(C15)</f>
        <v>866</v>
      </c>
      <c r="J2106" s="412" t="s">
        <v>701</v>
      </c>
      <c r="K2106" s="414">
        <f>(F2106*I2106)</f>
        <v>433</v>
      </c>
      <c r="M2106" s="475">
        <v>8.5000000000000006E-2</v>
      </c>
      <c r="N2106" s="431" t="s">
        <v>1749</v>
      </c>
      <c r="O2106" s="431" t="s">
        <v>2919</v>
      </c>
      <c r="P2106" s="431" t="e">
        <f>Z718</f>
        <v>#REF!</v>
      </c>
      <c r="Q2106" s="431" t="s">
        <v>1134</v>
      </c>
      <c r="R2106" s="431" t="e">
        <f>M2106*P2106</f>
        <v>#REF!</v>
      </c>
      <c r="W2106" s="413"/>
    </row>
    <row r="2107" spans="6:23" ht="24" customHeight="1">
      <c r="F2107" s="414">
        <v>1</v>
      </c>
      <c r="G2107" s="414" t="s">
        <v>701</v>
      </c>
      <c r="H2107" s="412" t="s">
        <v>1550</v>
      </c>
      <c r="I2107" s="414">
        <f>(C12)</f>
        <v>651</v>
      </c>
      <c r="J2107" s="412" t="s">
        <v>701</v>
      </c>
      <c r="K2107" s="414">
        <f>(F2107*I2107)</f>
        <v>651</v>
      </c>
      <c r="M2107" s="431">
        <v>8.5</v>
      </c>
      <c r="N2107" s="431" t="s">
        <v>1341</v>
      </c>
      <c r="O2107" s="431" t="s">
        <v>2920</v>
      </c>
      <c r="P2107" s="431" t="e">
        <f>P2100</f>
        <v>#REF!</v>
      </c>
      <c r="Q2107" s="431" t="s">
        <v>1341</v>
      </c>
      <c r="R2107" s="431" t="e">
        <f>M2107*P2107</f>
        <v>#REF!</v>
      </c>
      <c r="W2107" s="413"/>
    </row>
    <row r="2108" spans="6:23" ht="24" customHeight="1">
      <c r="F2108" s="414">
        <v>1</v>
      </c>
      <c r="G2108" s="414" t="s">
        <v>701</v>
      </c>
      <c r="H2108" s="412" t="s">
        <v>245</v>
      </c>
      <c r="I2108" s="414">
        <f>(C13)</f>
        <v>534</v>
      </c>
      <c r="J2108" s="412" t="s">
        <v>701</v>
      </c>
      <c r="K2108" s="414">
        <f>(F2108*I2108)</f>
        <v>534</v>
      </c>
      <c r="M2108" s="431"/>
      <c r="N2108" s="431"/>
      <c r="O2108" s="431" t="s">
        <v>1850</v>
      </c>
      <c r="P2108" s="431"/>
      <c r="Q2108" s="431"/>
      <c r="R2108" s="476" t="s">
        <v>1288</v>
      </c>
      <c r="W2108" s="413"/>
    </row>
    <row r="2109" spans="6:23" ht="24" customHeight="1">
      <c r="G2109" s="414" t="s">
        <v>358</v>
      </c>
      <c r="H2109" s="412" t="s">
        <v>359</v>
      </c>
      <c r="I2109" s="412" t="s">
        <v>790</v>
      </c>
      <c r="J2109" s="412" t="s">
        <v>358</v>
      </c>
      <c r="K2109" s="414">
        <v>0.54</v>
      </c>
      <c r="M2109" s="431"/>
      <c r="N2109" s="431"/>
      <c r="O2109" s="431"/>
      <c r="P2109" s="431"/>
      <c r="Q2109" s="431"/>
      <c r="R2109" s="431" t="e">
        <f>SUM(R2106:R2108)</f>
        <v>#REF!</v>
      </c>
      <c r="W2109" s="413"/>
    </row>
    <row r="2110" spans="6:23" ht="24" customHeight="1">
      <c r="H2110" s="412" t="s">
        <v>790</v>
      </c>
      <c r="K2110" s="418" t="s">
        <v>1288</v>
      </c>
      <c r="W2110" s="413"/>
    </row>
    <row r="2111" spans="6:23" ht="24" customHeight="1">
      <c r="H2111" s="412" t="s">
        <v>1428</v>
      </c>
      <c r="K2111" s="414" t="e">
        <f>SUM(K2104:K2109)</f>
        <v>#REF!</v>
      </c>
      <c r="W2111" s="413"/>
    </row>
    <row r="2112" spans="6:23" ht="24" customHeight="1">
      <c r="K2112" s="418" t="s">
        <v>1676</v>
      </c>
      <c r="M2112" s="431"/>
      <c r="N2112" s="431"/>
      <c r="O2112" s="431" t="s">
        <v>2921</v>
      </c>
      <c r="P2112" s="431"/>
      <c r="Q2112" s="431"/>
      <c r="R2112" s="431"/>
      <c r="W2112" s="413"/>
    </row>
    <row r="2113" spans="6:23" ht="24" customHeight="1">
      <c r="F2113" s="413" t="s">
        <v>957</v>
      </c>
      <c r="G2113" s="414" t="s">
        <v>1833</v>
      </c>
      <c r="H2113" s="412" t="s">
        <v>1812</v>
      </c>
      <c r="M2113" s="475">
        <v>8.5000000000000006E-2</v>
      </c>
      <c r="N2113" s="431" t="s">
        <v>1749</v>
      </c>
      <c r="O2113" s="431" t="s">
        <v>2919</v>
      </c>
      <c r="P2113" s="431">
        <f>Z725</f>
        <v>0</v>
      </c>
      <c r="Q2113" s="431" t="s">
        <v>1134</v>
      </c>
      <c r="R2113" s="431">
        <f>M2113*P2113</f>
        <v>0</v>
      </c>
      <c r="W2113" s="413"/>
    </row>
    <row r="2114" spans="6:23" ht="24" customHeight="1">
      <c r="H2114" s="412" t="s">
        <v>1727</v>
      </c>
      <c r="M2114" s="431">
        <v>8.5</v>
      </c>
      <c r="N2114" s="431" t="s">
        <v>1341</v>
      </c>
      <c r="O2114" s="431" t="s">
        <v>2920</v>
      </c>
      <c r="P2114" s="431" t="e">
        <f>P2107</f>
        <v>#REF!</v>
      </c>
      <c r="Q2114" s="431" t="s">
        <v>1341</v>
      </c>
      <c r="R2114" s="431" t="e">
        <f>M2114*P2114</f>
        <v>#REF!</v>
      </c>
      <c r="W2114" s="413"/>
    </row>
    <row r="2115" spans="6:23" ht="24" customHeight="1">
      <c r="H2115" s="418" t="s">
        <v>1288</v>
      </c>
      <c r="M2115" s="431"/>
      <c r="N2115" s="431"/>
      <c r="O2115" s="431" t="s">
        <v>1850</v>
      </c>
      <c r="P2115" s="431"/>
      <c r="Q2115" s="431"/>
      <c r="R2115" s="476" t="s">
        <v>1288</v>
      </c>
      <c r="W2115" s="413"/>
    </row>
    <row r="2116" spans="6:23" ht="24" customHeight="1">
      <c r="F2116" s="414">
        <v>1</v>
      </c>
      <c r="G2116" s="414" t="s">
        <v>701</v>
      </c>
      <c r="H2116" s="412" t="s">
        <v>1813</v>
      </c>
      <c r="I2116" s="414">
        <f>(D267)</f>
        <v>156</v>
      </c>
      <c r="J2116" s="412" t="s">
        <v>701</v>
      </c>
      <c r="K2116" s="414">
        <f>(F2116*I2116)</f>
        <v>156</v>
      </c>
      <c r="M2116" s="431"/>
      <c r="N2116" s="431"/>
      <c r="O2116" s="431"/>
      <c r="P2116" s="431"/>
      <c r="Q2116" s="431"/>
      <c r="R2116" s="431" t="e">
        <f>SUM(R2113:R2115)</f>
        <v>#REF!</v>
      </c>
      <c r="W2116" s="413"/>
    </row>
    <row r="2117" spans="6:23" ht="24" customHeight="1">
      <c r="G2117" s="414" t="s">
        <v>358</v>
      </c>
      <c r="H2117" s="412" t="s">
        <v>1375</v>
      </c>
      <c r="J2117" s="412" t="s">
        <v>358</v>
      </c>
      <c r="K2117" s="414">
        <v>4</v>
      </c>
      <c r="W2117" s="413"/>
    </row>
    <row r="2118" spans="6:23" ht="24" customHeight="1">
      <c r="J2118" s="412" t="s">
        <v>790</v>
      </c>
      <c r="K2118" s="418" t="s">
        <v>1288</v>
      </c>
      <c r="W2118" s="413"/>
    </row>
    <row r="2119" spans="6:23" ht="24" customHeight="1">
      <c r="H2119" s="412" t="s">
        <v>1428</v>
      </c>
      <c r="K2119" s="414">
        <f>SUM(K2116:K2118)</f>
        <v>160</v>
      </c>
      <c r="W2119" s="413"/>
    </row>
    <row r="2120" spans="6:23" ht="24" customHeight="1">
      <c r="K2120" s="418" t="s">
        <v>1288</v>
      </c>
      <c r="W2120" s="413"/>
    </row>
    <row r="2121" spans="6:23" ht="24" customHeight="1">
      <c r="F2121" s="413" t="s">
        <v>1376</v>
      </c>
      <c r="G2121" s="414" t="s">
        <v>1833</v>
      </c>
      <c r="H2121" s="412" t="s">
        <v>35</v>
      </c>
      <c r="W2121" s="413"/>
    </row>
    <row r="2122" spans="6:23" ht="24" customHeight="1">
      <c r="H2122" s="412" t="s">
        <v>36</v>
      </c>
      <c r="W2122" s="413"/>
    </row>
    <row r="2123" spans="6:23" ht="24" customHeight="1">
      <c r="H2123" s="418" t="s">
        <v>1288</v>
      </c>
      <c r="W2123" s="413"/>
    </row>
    <row r="2124" spans="6:23" ht="24" customHeight="1">
      <c r="F2124" s="414">
        <v>50</v>
      </c>
      <c r="G2124" s="414" t="s">
        <v>701</v>
      </c>
      <c r="H2124" s="412" t="s">
        <v>635</v>
      </c>
      <c r="I2124" s="414">
        <f>C204</f>
        <v>63.4</v>
      </c>
      <c r="J2124" s="412" t="s">
        <v>701</v>
      </c>
      <c r="K2124" s="414">
        <f t="shared" ref="K2124:K2133" si="244">(F2124*I2124)</f>
        <v>3170</v>
      </c>
      <c r="W2124" s="413"/>
    </row>
    <row r="2125" spans="6:23" ht="24" customHeight="1">
      <c r="F2125" s="414">
        <v>21.6</v>
      </c>
      <c r="G2125" s="414" t="s">
        <v>702</v>
      </c>
      <c r="H2125" s="412" t="s">
        <v>636</v>
      </c>
      <c r="I2125" s="414">
        <f>(C61*2)</f>
        <v>224.1</v>
      </c>
      <c r="J2125" s="412" t="s">
        <v>702</v>
      </c>
      <c r="K2125" s="414">
        <f t="shared" si="244"/>
        <v>4840.5600000000004</v>
      </c>
      <c r="W2125" s="413"/>
    </row>
    <row r="2126" spans="6:23" ht="24" customHeight="1">
      <c r="F2126" s="414">
        <v>21.6</v>
      </c>
      <c r="G2126" s="414" t="s">
        <v>702</v>
      </c>
      <c r="H2126" s="412" t="s">
        <v>195</v>
      </c>
      <c r="I2126" s="414">
        <f>(C26)</f>
        <v>38.950000000000003</v>
      </c>
      <c r="J2126" s="412" t="s">
        <v>702</v>
      </c>
      <c r="K2126" s="414">
        <f t="shared" si="244"/>
        <v>841.32</v>
      </c>
      <c r="W2126" s="413"/>
    </row>
    <row r="2127" spans="6:23" ht="24" customHeight="1">
      <c r="F2127" s="414">
        <v>45</v>
      </c>
      <c r="G2127" s="414" t="s">
        <v>1341</v>
      </c>
      <c r="H2127" s="412" t="s">
        <v>695</v>
      </c>
      <c r="I2127" s="414" t="e">
        <f>(C67/1000)</f>
        <v>#REF!</v>
      </c>
      <c r="J2127" s="412" t="s">
        <v>1341</v>
      </c>
      <c r="K2127" s="414" t="e">
        <f t="shared" si="244"/>
        <v>#REF!</v>
      </c>
      <c r="W2127" s="413"/>
    </row>
    <row r="2128" spans="6:23" ht="24" customHeight="1">
      <c r="F2128" s="414">
        <v>0.04</v>
      </c>
      <c r="G2128" s="414" t="s">
        <v>702</v>
      </c>
      <c r="H2128" s="412" t="s">
        <v>703</v>
      </c>
      <c r="I2128" s="414" t="e">
        <f>(C78)</f>
        <v>#REF!</v>
      </c>
      <c r="J2128" s="412" t="s">
        <v>702</v>
      </c>
      <c r="K2128" s="414" t="e">
        <f t="shared" si="244"/>
        <v>#REF!</v>
      </c>
      <c r="W2128" s="413"/>
    </row>
    <row r="2129" spans="6:23" ht="24" customHeight="1">
      <c r="F2129" s="414">
        <v>3.63</v>
      </c>
      <c r="G2129" s="414" t="s">
        <v>1341</v>
      </c>
      <c r="H2129" s="412" t="s">
        <v>637</v>
      </c>
      <c r="I2129" s="414">
        <f>(C607)</f>
        <v>11.8</v>
      </c>
      <c r="J2129" s="412" t="s">
        <v>1341</v>
      </c>
      <c r="K2129" s="414">
        <f t="shared" si="244"/>
        <v>42.83</v>
      </c>
      <c r="W2129" s="413"/>
    </row>
    <row r="2130" spans="6:23" ht="24" customHeight="1">
      <c r="F2130" s="414">
        <v>2</v>
      </c>
      <c r="G2130" s="414" t="s">
        <v>701</v>
      </c>
      <c r="H2130" s="412" t="s">
        <v>1637</v>
      </c>
      <c r="I2130" s="414">
        <f>(C10)</f>
        <v>999</v>
      </c>
      <c r="J2130" s="412" t="s">
        <v>701</v>
      </c>
      <c r="K2130" s="414">
        <f t="shared" si="244"/>
        <v>1998</v>
      </c>
      <c r="W2130" s="413"/>
    </row>
    <row r="2131" spans="6:23" ht="24" customHeight="1">
      <c r="F2131" s="414">
        <v>1</v>
      </c>
      <c r="G2131" s="414" t="s">
        <v>701</v>
      </c>
      <c r="H2131" s="412" t="s">
        <v>638</v>
      </c>
      <c r="I2131" s="414">
        <f>AE37</f>
        <v>839</v>
      </c>
      <c r="J2131" s="412" t="s">
        <v>701</v>
      </c>
      <c r="K2131" s="414">
        <f t="shared" si="244"/>
        <v>839</v>
      </c>
      <c r="W2131" s="413"/>
    </row>
    <row r="2132" spans="6:23" ht="24" customHeight="1">
      <c r="F2132" s="414">
        <v>5</v>
      </c>
      <c r="G2132" s="414" t="s">
        <v>701</v>
      </c>
      <c r="H2132" s="412" t="s">
        <v>1550</v>
      </c>
      <c r="I2132" s="414">
        <f>(C12)</f>
        <v>651</v>
      </c>
      <c r="J2132" s="412" t="s">
        <v>701</v>
      </c>
      <c r="K2132" s="414">
        <f t="shared" si="244"/>
        <v>3255</v>
      </c>
      <c r="W2132" s="413"/>
    </row>
    <row r="2133" spans="6:23" ht="24" customHeight="1">
      <c r="F2133" s="414">
        <v>2</v>
      </c>
      <c r="G2133" s="414" t="s">
        <v>701</v>
      </c>
      <c r="H2133" s="412" t="s">
        <v>245</v>
      </c>
      <c r="I2133" s="414">
        <f>(C13)</f>
        <v>534</v>
      </c>
      <c r="J2133" s="412" t="s">
        <v>701</v>
      </c>
      <c r="K2133" s="414">
        <f t="shared" si="244"/>
        <v>1068</v>
      </c>
      <c r="W2133" s="413"/>
    </row>
    <row r="2134" spans="6:23" ht="24" customHeight="1">
      <c r="G2134" s="414" t="s">
        <v>358</v>
      </c>
      <c r="H2134" s="412" t="s">
        <v>1739</v>
      </c>
      <c r="J2134" s="412" t="s">
        <v>358</v>
      </c>
      <c r="K2134" s="414">
        <f>SUM(K2130:K2133)/10+7.5</f>
        <v>723.5</v>
      </c>
      <c r="W2134" s="413"/>
    </row>
    <row r="2135" spans="6:23" ht="24" customHeight="1">
      <c r="K2135" s="418" t="s">
        <v>1288</v>
      </c>
      <c r="W2135" s="413"/>
    </row>
    <row r="2136" spans="6:23" ht="24" customHeight="1">
      <c r="H2136" s="412" t="s">
        <v>1740</v>
      </c>
      <c r="K2136" s="414" t="e">
        <f>SUM(K2124:K2134)</f>
        <v>#REF!</v>
      </c>
      <c r="W2136" s="413"/>
    </row>
    <row r="2137" spans="6:23" ht="24" customHeight="1">
      <c r="K2137" s="418" t="s">
        <v>1288</v>
      </c>
      <c r="W2137" s="413"/>
    </row>
    <row r="2138" spans="6:23" ht="24" customHeight="1">
      <c r="H2138" s="412" t="s">
        <v>912</v>
      </c>
      <c r="K2138" s="414" t="e">
        <f>(K2136/30)</f>
        <v>#REF!</v>
      </c>
      <c r="W2138" s="413"/>
    </row>
    <row r="2139" spans="6:23" ht="24" customHeight="1">
      <c r="K2139" s="418" t="s">
        <v>1676</v>
      </c>
      <c r="W2139" s="413"/>
    </row>
    <row r="2140" spans="6:23" ht="24" customHeight="1">
      <c r="W2140" s="413"/>
    </row>
    <row r="2141" spans="6:23" ht="24" customHeight="1">
      <c r="F2141" s="413" t="s">
        <v>913</v>
      </c>
      <c r="G2141" s="414" t="s">
        <v>1833</v>
      </c>
      <c r="H2141" s="412" t="s">
        <v>827</v>
      </c>
      <c r="W2141" s="413"/>
    </row>
    <row r="2142" spans="6:23" ht="24" customHeight="1">
      <c r="H2142" s="412" t="s">
        <v>36</v>
      </c>
      <c r="W2142" s="413"/>
    </row>
    <row r="2143" spans="6:23" ht="24" customHeight="1">
      <c r="H2143" s="418" t="s">
        <v>1288</v>
      </c>
      <c r="W2143" s="413"/>
    </row>
    <row r="2144" spans="6:23" ht="24" customHeight="1">
      <c r="F2144" s="414">
        <v>50</v>
      </c>
      <c r="G2144" s="414" t="s">
        <v>701</v>
      </c>
      <c r="H2144" s="412" t="s">
        <v>460</v>
      </c>
      <c r="I2144" s="414">
        <f>C205</f>
        <v>102</v>
      </c>
      <c r="J2144" s="412" t="s">
        <v>701</v>
      </c>
      <c r="K2144" s="414">
        <f t="shared" ref="K2144:K2153" si="245">(F2144*I2144)</f>
        <v>5100</v>
      </c>
      <c r="W2144" s="413"/>
    </row>
    <row r="2145" spans="6:23" ht="24" customHeight="1">
      <c r="F2145" s="414">
        <v>21.6</v>
      </c>
      <c r="G2145" s="414" t="s">
        <v>702</v>
      </c>
      <c r="H2145" s="412" t="s">
        <v>636</v>
      </c>
      <c r="I2145" s="414">
        <f>(C61*2)</f>
        <v>224.1</v>
      </c>
      <c r="J2145" s="412" t="s">
        <v>702</v>
      </c>
      <c r="K2145" s="414">
        <f t="shared" si="245"/>
        <v>4840.5600000000004</v>
      </c>
      <c r="W2145" s="413"/>
    </row>
    <row r="2146" spans="6:23" ht="24" customHeight="1">
      <c r="F2146" s="414">
        <v>21.6</v>
      </c>
      <c r="G2146" s="414" t="s">
        <v>702</v>
      </c>
      <c r="H2146" s="412" t="s">
        <v>195</v>
      </c>
      <c r="I2146" s="414">
        <f>(C26)</f>
        <v>38.950000000000003</v>
      </c>
      <c r="J2146" s="412" t="s">
        <v>702</v>
      </c>
      <c r="K2146" s="414">
        <f t="shared" si="245"/>
        <v>841.32</v>
      </c>
      <c r="W2146" s="413"/>
    </row>
    <row r="2147" spans="6:23" ht="24" customHeight="1">
      <c r="F2147" s="414">
        <v>68</v>
      </c>
      <c r="G2147" s="414" t="s">
        <v>1341</v>
      </c>
      <c r="H2147" s="412" t="s">
        <v>695</v>
      </c>
      <c r="I2147" s="414" t="e">
        <f>(C67/1000)</f>
        <v>#REF!</v>
      </c>
      <c r="J2147" s="412" t="s">
        <v>1341</v>
      </c>
      <c r="K2147" s="414" t="e">
        <f t="shared" si="245"/>
        <v>#REF!</v>
      </c>
      <c r="W2147" s="413"/>
    </row>
    <row r="2148" spans="6:23" ht="24" customHeight="1">
      <c r="F2148" s="414">
        <v>7.0000000000000007E-2</v>
      </c>
      <c r="G2148" s="414" t="s">
        <v>702</v>
      </c>
      <c r="H2148" s="412" t="s">
        <v>703</v>
      </c>
      <c r="I2148" s="414" t="e">
        <f>(C78)</f>
        <v>#REF!</v>
      </c>
      <c r="J2148" s="412" t="s">
        <v>702</v>
      </c>
      <c r="K2148" s="414" t="e">
        <f t="shared" si="245"/>
        <v>#REF!</v>
      </c>
      <c r="M2148" s="413" t="s">
        <v>913</v>
      </c>
      <c r="N2148" s="414" t="s">
        <v>1833</v>
      </c>
      <c r="O2148" s="412" t="s">
        <v>593</v>
      </c>
      <c r="Q2148" s="412"/>
      <c r="W2148" s="413"/>
    </row>
    <row r="2149" spans="6:23" ht="24" customHeight="1">
      <c r="F2149" s="414">
        <v>5.45</v>
      </c>
      <c r="G2149" s="414" t="s">
        <v>1341</v>
      </c>
      <c r="H2149" s="412" t="s">
        <v>637</v>
      </c>
      <c r="I2149" s="414">
        <f>(C607)</f>
        <v>11.8</v>
      </c>
      <c r="J2149" s="412" t="s">
        <v>1341</v>
      </c>
      <c r="K2149" s="414">
        <f t="shared" si="245"/>
        <v>64.31</v>
      </c>
      <c r="O2149" s="412" t="s">
        <v>36</v>
      </c>
      <c r="Q2149" s="412"/>
      <c r="W2149" s="413"/>
    </row>
    <row r="2150" spans="6:23" ht="24" customHeight="1">
      <c r="F2150" s="414">
        <v>3</v>
      </c>
      <c r="G2150" s="414" t="s">
        <v>701</v>
      </c>
      <c r="H2150" s="412" t="s">
        <v>1637</v>
      </c>
      <c r="I2150" s="414">
        <f>(C10)</f>
        <v>999</v>
      </c>
      <c r="J2150" s="412" t="s">
        <v>701</v>
      </c>
      <c r="K2150" s="414">
        <f t="shared" si="245"/>
        <v>2997</v>
      </c>
      <c r="O2150" s="418" t="s">
        <v>1288</v>
      </c>
      <c r="Q2150" s="412"/>
      <c r="W2150" s="413"/>
    </row>
    <row r="2151" spans="6:23" ht="39" customHeight="1">
      <c r="F2151" s="414">
        <v>2</v>
      </c>
      <c r="G2151" s="414" t="s">
        <v>701</v>
      </c>
      <c r="H2151" s="412" t="s">
        <v>638</v>
      </c>
      <c r="I2151" s="414">
        <f>AE37</f>
        <v>839</v>
      </c>
      <c r="J2151" s="412" t="s">
        <v>701</v>
      </c>
      <c r="K2151" s="414">
        <f t="shared" si="245"/>
        <v>1678</v>
      </c>
      <c r="M2151" s="414">
        <v>50</v>
      </c>
      <c r="N2151" s="414" t="s">
        <v>701</v>
      </c>
      <c r="O2151" s="426" t="s">
        <v>4351</v>
      </c>
      <c r="P2151" s="414">
        <v>455</v>
      </c>
      <c r="Q2151" s="412" t="s">
        <v>701</v>
      </c>
      <c r="R2151" s="414">
        <f t="shared" ref="R2151:R2160" si="246">(M2151*P2151)</f>
        <v>22750</v>
      </c>
      <c r="W2151" s="413"/>
    </row>
    <row r="2152" spans="6:23" ht="24" customHeight="1">
      <c r="F2152" s="414">
        <v>6</v>
      </c>
      <c r="G2152" s="414" t="s">
        <v>701</v>
      </c>
      <c r="H2152" s="412" t="s">
        <v>1550</v>
      </c>
      <c r="I2152" s="414">
        <f>(C12)</f>
        <v>651</v>
      </c>
      <c r="J2152" s="412" t="s">
        <v>701</v>
      </c>
      <c r="K2152" s="414">
        <f t="shared" si="245"/>
        <v>3906</v>
      </c>
      <c r="M2152" s="414">
        <v>21.6</v>
      </c>
      <c r="N2152" s="414" t="s">
        <v>702</v>
      </c>
      <c r="O2152" s="412" t="s">
        <v>636</v>
      </c>
      <c r="P2152" s="414">
        <f>I2145</f>
        <v>224.1</v>
      </c>
      <c r="Q2152" s="412" t="s">
        <v>702</v>
      </c>
      <c r="R2152" s="414">
        <f t="shared" si="246"/>
        <v>4840.5600000000004</v>
      </c>
      <c r="W2152" s="413"/>
    </row>
    <row r="2153" spans="6:23" ht="24" customHeight="1">
      <c r="F2153" s="414">
        <v>3</v>
      </c>
      <c r="G2153" s="414" t="s">
        <v>701</v>
      </c>
      <c r="H2153" s="412" t="s">
        <v>245</v>
      </c>
      <c r="I2153" s="414">
        <f>(C13)</f>
        <v>534</v>
      </c>
      <c r="J2153" s="412" t="s">
        <v>701</v>
      </c>
      <c r="K2153" s="414">
        <f t="shared" si="245"/>
        <v>1602</v>
      </c>
      <c r="M2153" s="414">
        <v>21.6</v>
      </c>
      <c r="N2153" s="414" t="s">
        <v>702</v>
      </c>
      <c r="O2153" s="412" t="s">
        <v>195</v>
      </c>
      <c r="P2153" s="414">
        <f t="shared" ref="P2153:P2160" si="247">I2146</f>
        <v>38.950000000000003</v>
      </c>
      <c r="Q2153" s="412" t="s">
        <v>702</v>
      </c>
      <c r="R2153" s="414">
        <f t="shared" si="246"/>
        <v>841.32</v>
      </c>
      <c r="W2153" s="413"/>
    </row>
    <row r="2154" spans="6:23" ht="24" customHeight="1">
      <c r="G2154" s="414" t="s">
        <v>358</v>
      </c>
      <c r="H2154" s="412" t="s">
        <v>1739</v>
      </c>
      <c r="J2154" s="412" t="s">
        <v>358</v>
      </c>
      <c r="K2154" s="414">
        <f>SUM(K2150:K2153)/10+4.8</f>
        <v>1023.1</v>
      </c>
      <c r="M2154" s="414">
        <v>115</v>
      </c>
      <c r="N2154" s="414" t="s">
        <v>1341</v>
      </c>
      <c r="O2154" s="412" t="s">
        <v>695</v>
      </c>
      <c r="P2154" s="414" t="e">
        <f t="shared" si="247"/>
        <v>#REF!</v>
      </c>
      <c r="Q2154" s="412" t="s">
        <v>1341</v>
      </c>
      <c r="R2154" s="414" t="e">
        <f t="shared" si="246"/>
        <v>#REF!</v>
      </c>
      <c r="W2154" s="413"/>
    </row>
    <row r="2155" spans="6:23" ht="24" customHeight="1">
      <c r="K2155" s="418" t="s">
        <v>1288</v>
      </c>
      <c r="M2155" s="414">
        <v>0.11</v>
      </c>
      <c r="N2155" s="414" t="s">
        <v>702</v>
      </c>
      <c r="O2155" s="412" t="s">
        <v>703</v>
      </c>
      <c r="P2155" s="414" t="e">
        <f t="shared" si="247"/>
        <v>#REF!</v>
      </c>
      <c r="Q2155" s="412" t="s">
        <v>702</v>
      </c>
      <c r="R2155" s="414" t="e">
        <f t="shared" si="246"/>
        <v>#REF!</v>
      </c>
      <c r="W2155" s="413"/>
    </row>
    <row r="2156" spans="6:23" ht="24" customHeight="1">
      <c r="H2156" s="412" t="s">
        <v>1740</v>
      </c>
      <c r="K2156" s="414" t="e">
        <f>SUM(K2144:K2154)</f>
        <v>#REF!</v>
      </c>
      <c r="M2156" s="414">
        <v>8.35</v>
      </c>
      <c r="N2156" s="414" t="s">
        <v>1341</v>
      </c>
      <c r="O2156" s="412" t="s">
        <v>637</v>
      </c>
      <c r="P2156" s="414">
        <f t="shared" si="247"/>
        <v>11.8</v>
      </c>
      <c r="Q2156" s="412" t="s">
        <v>1341</v>
      </c>
      <c r="R2156" s="414">
        <f t="shared" si="246"/>
        <v>98.53</v>
      </c>
      <c r="W2156" s="413"/>
    </row>
    <row r="2157" spans="6:23" ht="24" customHeight="1">
      <c r="K2157" s="418" t="s">
        <v>1288</v>
      </c>
      <c r="M2157" s="414">
        <v>5</v>
      </c>
      <c r="N2157" s="414" t="s">
        <v>701</v>
      </c>
      <c r="O2157" s="412" t="s">
        <v>1637</v>
      </c>
      <c r="P2157" s="414">
        <f t="shared" si="247"/>
        <v>999</v>
      </c>
      <c r="Q2157" s="412" t="s">
        <v>701</v>
      </c>
      <c r="R2157" s="414">
        <f t="shared" si="246"/>
        <v>4995</v>
      </c>
      <c r="W2157" s="413"/>
    </row>
    <row r="2158" spans="6:23" ht="24" customHeight="1">
      <c r="H2158" s="412" t="s">
        <v>912</v>
      </c>
      <c r="K2158" s="414" t="e">
        <f>(K2156/30)</f>
        <v>#REF!</v>
      </c>
      <c r="M2158" s="414">
        <v>3</v>
      </c>
      <c r="N2158" s="414" t="s">
        <v>701</v>
      </c>
      <c r="O2158" s="412" t="s">
        <v>638</v>
      </c>
      <c r="P2158" s="414">
        <f t="shared" si="247"/>
        <v>839</v>
      </c>
      <c r="Q2158" s="412" t="s">
        <v>701</v>
      </c>
      <c r="R2158" s="414">
        <f t="shared" si="246"/>
        <v>2517</v>
      </c>
      <c r="W2158" s="413"/>
    </row>
    <row r="2159" spans="6:23" ht="24" customHeight="1">
      <c r="K2159" s="418" t="s">
        <v>1676</v>
      </c>
      <c r="M2159" s="414">
        <v>7</v>
      </c>
      <c r="N2159" s="414" t="s">
        <v>701</v>
      </c>
      <c r="O2159" s="412" t="s">
        <v>1550</v>
      </c>
      <c r="P2159" s="414">
        <f t="shared" si="247"/>
        <v>651</v>
      </c>
      <c r="Q2159" s="412" t="s">
        <v>701</v>
      </c>
      <c r="R2159" s="414">
        <f t="shared" si="246"/>
        <v>4557</v>
      </c>
      <c r="W2159" s="413"/>
    </row>
    <row r="2160" spans="6:23" ht="24" customHeight="1">
      <c r="F2160" s="413" t="s">
        <v>461</v>
      </c>
      <c r="G2160" s="414" t="s">
        <v>1833</v>
      </c>
      <c r="H2160" s="412" t="s">
        <v>35</v>
      </c>
      <c r="M2160" s="414">
        <v>5</v>
      </c>
      <c r="N2160" s="414" t="s">
        <v>701</v>
      </c>
      <c r="O2160" s="412" t="s">
        <v>245</v>
      </c>
      <c r="P2160" s="414">
        <f t="shared" si="247"/>
        <v>534</v>
      </c>
      <c r="Q2160" s="412" t="s">
        <v>701</v>
      </c>
      <c r="R2160" s="414">
        <f t="shared" si="246"/>
        <v>2670</v>
      </c>
      <c r="W2160" s="413"/>
    </row>
    <row r="2161" spans="6:23" ht="24" customHeight="1">
      <c r="H2161" s="412" t="s">
        <v>177</v>
      </c>
      <c r="N2161" s="414" t="s">
        <v>358</v>
      </c>
      <c r="O2161" s="412" t="s">
        <v>1739</v>
      </c>
      <c r="Q2161" s="412" t="s">
        <v>358</v>
      </c>
      <c r="R2161" s="414">
        <v>234</v>
      </c>
      <c r="W2161" s="413"/>
    </row>
    <row r="2162" spans="6:23" ht="24" customHeight="1">
      <c r="H2162" s="418" t="s">
        <v>1288</v>
      </c>
      <c r="Q2162" s="412"/>
      <c r="R2162" s="418" t="s">
        <v>1288</v>
      </c>
      <c r="W2162" s="413"/>
    </row>
    <row r="2163" spans="6:23" ht="24" customHeight="1">
      <c r="F2163" s="414">
        <v>50</v>
      </c>
      <c r="G2163" s="414" t="s">
        <v>701</v>
      </c>
      <c r="H2163" s="412" t="s">
        <v>178</v>
      </c>
      <c r="I2163" s="414">
        <f>C204</f>
        <v>63.4</v>
      </c>
      <c r="J2163" s="412" t="s">
        <v>701</v>
      </c>
      <c r="K2163" s="414">
        <f>(F2163*I2163)</f>
        <v>3170</v>
      </c>
      <c r="O2163" s="412" t="s">
        <v>1740</v>
      </c>
      <c r="Q2163" s="412"/>
      <c r="R2163" s="414" t="e">
        <f>SUM(R2151:R2161)</f>
        <v>#REF!</v>
      </c>
      <c r="W2163" s="413"/>
    </row>
    <row r="2164" spans="6:23" ht="24" customHeight="1">
      <c r="F2164" s="414">
        <v>1</v>
      </c>
      <c r="G2164" s="414" t="s">
        <v>701</v>
      </c>
      <c r="H2164" s="412" t="s">
        <v>638</v>
      </c>
      <c r="I2164" s="414">
        <f>AE37</f>
        <v>839</v>
      </c>
      <c r="J2164" s="412" t="s">
        <v>701</v>
      </c>
      <c r="K2164" s="414">
        <f>(F2164*I2164)</f>
        <v>839</v>
      </c>
      <c r="Q2164" s="412"/>
      <c r="R2164" s="418" t="s">
        <v>1288</v>
      </c>
      <c r="W2164" s="413"/>
    </row>
    <row r="2165" spans="6:23" ht="24" customHeight="1">
      <c r="F2165" s="414">
        <v>5</v>
      </c>
      <c r="G2165" s="414" t="s">
        <v>701</v>
      </c>
      <c r="H2165" s="412" t="s">
        <v>1550</v>
      </c>
      <c r="I2165" s="414">
        <f>C12</f>
        <v>651</v>
      </c>
      <c r="J2165" s="412" t="s">
        <v>701</v>
      </c>
      <c r="K2165" s="414">
        <f>(F2165*I2165)</f>
        <v>3255</v>
      </c>
      <c r="O2165" s="412" t="s">
        <v>912</v>
      </c>
      <c r="Q2165" s="412"/>
      <c r="R2165" s="414" t="e">
        <f>(R2163/30)</f>
        <v>#REF!</v>
      </c>
      <c r="W2165" s="413"/>
    </row>
    <row r="2166" spans="6:23" ht="24" customHeight="1">
      <c r="H2166" s="412" t="s">
        <v>1850</v>
      </c>
      <c r="K2166" s="423">
        <v>1.8</v>
      </c>
      <c r="Q2166" s="412"/>
      <c r="R2166" s="418" t="s">
        <v>1676</v>
      </c>
      <c r="W2166" s="413"/>
    </row>
    <row r="2167" spans="6:23" ht="24" customHeight="1">
      <c r="H2167" s="412" t="s">
        <v>1740</v>
      </c>
      <c r="K2167" s="414">
        <f>SUM(K2163:K2166)</f>
        <v>7265.8</v>
      </c>
      <c r="W2167" s="413"/>
    </row>
    <row r="2168" spans="6:23" ht="24" customHeight="1">
      <c r="F2168" s="412" t="s">
        <v>790</v>
      </c>
      <c r="K2168" s="418" t="s">
        <v>1288</v>
      </c>
      <c r="W2168" s="413"/>
    </row>
    <row r="2169" spans="6:23" ht="24" customHeight="1">
      <c r="H2169" s="412" t="s">
        <v>912</v>
      </c>
      <c r="K2169" s="414">
        <f>(K2167/30)</f>
        <v>242.19</v>
      </c>
      <c r="W2169" s="413"/>
    </row>
    <row r="2170" spans="6:23" ht="24" hidden="1" customHeight="1">
      <c r="F2170" s="412" t="s">
        <v>790</v>
      </c>
      <c r="W2170" s="413"/>
    </row>
    <row r="2171" spans="6:23" ht="24" hidden="1" customHeight="1">
      <c r="F2171" s="412" t="s">
        <v>790</v>
      </c>
      <c r="W2171" s="413"/>
    </row>
    <row r="2172" spans="6:23" ht="24" customHeight="1">
      <c r="K2172" s="418" t="s">
        <v>1676</v>
      </c>
      <c r="W2172" s="413"/>
    </row>
    <row r="2173" spans="6:23" ht="24" customHeight="1">
      <c r="F2173" s="413" t="s">
        <v>913</v>
      </c>
      <c r="G2173" s="414" t="s">
        <v>1833</v>
      </c>
      <c r="H2173" s="412" t="s">
        <v>827</v>
      </c>
      <c r="W2173" s="413"/>
    </row>
    <row r="2174" spans="6:23" ht="24" customHeight="1">
      <c r="H2174" s="414" t="str">
        <f>H2161</f>
        <v>DIA S.W.PIPE(LOOSE JOINTING)</v>
      </c>
      <c r="W2174" s="413"/>
    </row>
    <row r="2175" spans="6:23" ht="24" customHeight="1">
      <c r="H2175" s="418" t="s">
        <v>1288</v>
      </c>
      <c r="W2175" s="413"/>
    </row>
    <row r="2176" spans="6:23" ht="24" customHeight="1">
      <c r="F2176" s="414">
        <v>50</v>
      </c>
      <c r="G2176" s="414" t="s">
        <v>701</v>
      </c>
      <c r="H2176" s="412" t="s">
        <v>179</v>
      </c>
      <c r="I2176" s="414">
        <f>C205</f>
        <v>102</v>
      </c>
      <c r="J2176" s="412" t="s">
        <v>701</v>
      </c>
      <c r="K2176" s="414">
        <f>(F2176*I2176)</f>
        <v>5100</v>
      </c>
      <c r="W2176" s="413"/>
    </row>
    <row r="2177" spans="6:23" ht="24" customHeight="1">
      <c r="F2177" s="414">
        <v>2</v>
      </c>
      <c r="G2177" s="414" t="s">
        <v>701</v>
      </c>
      <c r="H2177" s="412" t="s">
        <v>638</v>
      </c>
      <c r="I2177" s="414">
        <f>AE37</f>
        <v>839</v>
      </c>
      <c r="J2177" s="412" t="s">
        <v>701</v>
      </c>
      <c r="K2177" s="414">
        <f>(F2177*I2177)</f>
        <v>1678</v>
      </c>
      <c r="W2177" s="413"/>
    </row>
    <row r="2178" spans="6:23" ht="24" customHeight="1">
      <c r="F2178" s="414">
        <v>6</v>
      </c>
      <c r="G2178" s="414" t="s">
        <v>701</v>
      </c>
      <c r="H2178" s="412" t="s">
        <v>1550</v>
      </c>
      <c r="I2178" s="414">
        <f>C12</f>
        <v>651</v>
      </c>
      <c r="J2178" s="412" t="s">
        <v>701</v>
      </c>
      <c r="K2178" s="414">
        <f>(F2178*I2178)</f>
        <v>3906</v>
      </c>
      <c r="W2178" s="413"/>
    </row>
    <row r="2179" spans="6:23" ht="24" customHeight="1">
      <c r="H2179" s="412" t="s">
        <v>1850</v>
      </c>
      <c r="K2179" s="423">
        <v>0.6</v>
      </c>
      <c r="W2179" s="413"/>
    </row>
    <row r="2180" spans="6:23" ht="24" customHeight="1">
      <c r="H2180" s="412" t="s">
        <v>1740</v>
      </c>
      <c r="K2180" s="414">
        <f>SUM(K2176:K2179)</f>
        <v>10684.6</v>
      </c>
      <c r="W2180" s="413"/>
    </row>
    <row r="2181" spans="6:23" ht="24" customHeight="1">
      <c r="K2181" s="418" t="s">
        <v>1288</v>
      </c>
      <c r="W2181" s="413"/>
    </row>
    <row r="2182" spans="6:23" ht="24" customHeight="1">
      <c r="H2182" s="412" t="s">
        <v>912</v>
      </c>
      <c r="K2182" s="414">
        <f>(K2180/30)</f>
        <v>356.15</v>
      </c>
      <c r="W2182" s="413"/>
    </row>
    <row r="2183" spans="6:23" ht="24" customHeight="1">
      <c r="K2183" s="418" t="s">
        <v>1676</v>
      </c>
      <c r="W2183" s="413"/>
    </row>
    <row r="2184" spans="6:23" ht="24" customHeight="1">
      <c r="H2184" s="413" t="s">
        <v>180</v>
      </c>
      <c r="K2184" s="414">
        <f>SUM(K2181:K2182)</f>
        <v>356.15</v>
      </c>
      <c r="W2184" s="413"/>
    </row>
    <row r="2185" spans="6:23" ht="24" customHeight="1">
      <c r="K2185" s="418" t="s">
        <v>1676</v>
      </c>
      <c r="W2185" s="413"/>
    </row>
    <row r="2186" spans="6:23" ht="24" customHeight="1">
      <c r="F2186" s="413" t="s">
        <v>1520</v>
      </c>
      <c r="G2186" s="414" t="s">
        <v>1833</v>
      </c>
      <c r="H2186" s="412" t="s">
        <v>35</v>
      </c>
      <c r="W2186" s="413"/>
    </row>
    <row r="2187" spans="6:23" ht="24" customHeight="1">
      <c r="H2187" s="412" t="s">
        <v>39</v>
      </c>
      <c r="W2187" s="413"/>
    </row>
    <row r="2188" spans="6:23" ht="24" customHeight="1">
      <c r="H2188" s="418" t="s">
        <v>1288</v>
      </c>
      <c r="W2188" s="413"/>
    </row>
    <row r="2189" spans="6:23" ht="24" customHeight="1">
      <c r="F2189" s="414">
        <v>1</v>
      </c>
      <c r="G2189" s="414" t="s">
        <v>701</v>
      </c>
      <c r="H2189" s="412" t="s">
        <v>879</v>
      </c>
      <c r="I2189" s="414">
        <f>C206</f>
        <v>101.6</v>
      </c>
      <c r="J2189" s="412" t="s">
        <v>701</v>
      </c>
      <c r="K2189" s="414">
        <f>(F2189*I2189)</f>
        <v>101.6</v>
      </c>
      <c r="W2189" s="413"/>
    </row>
    <row r="2190" spans="6:23" ht="24" customHeight="1">
      <c r="F2190" s="412" t="s">
        <v>790</v>
      </c>
      <c r="H2190" s="412" t="s">
        <v>40</v>
      </c>
      <c r="W2190" s="413"/>
    </row>
    <row r="2191" spans="6:23" ht="24" customHeight="1">
      <c r="F2191" s="412" t="s">
        <v>790</v>
      </c>
      <c r="H2191" s="412" t="s">
        <v>41</v>
      </c>
      <c r="I2191" s="413" t="s">
        <v>358</v>
      </c>
      <c r="K2191" s="414">
        <v>2.5</v>
      </c>
      <c r="W2191" s="413"/>
    </row>
    <row r="2192" spans="6:23" ht="24" customHeight="1">
      <c r="K2192" s="418" t="s">
        <v>1288</v>
      </c>
      <c r="W2192" s="413"/>
    </row>
    <row r="2193" spans="6:23" ht="24" customHeight="1">
      <c r="H2193" s="412" t="s">
        <v>1740</v>
      </c>
      <c r="K2193" s="414">
        <f>SUM(K2189:K2191)</f>
        <v>104.1</v>
      </c>
      <c r="W2193" s="413"/>
    </row>
    <row r="2194" spans="6:23" ht="24" customHeight="1">
      <c r="F2194" s="413" t="s">
        <v>1520</v>
      </c>
      <c r="G2194" s="414" t="s">
        <v>1833</v>
      </c>
      <c r="H2194" s="412" t="s">
        <v>827</v>
      </c>
      <c r="K2194" s="418" t="s">
        <v>1288</v>
      </c>
      <c r="W2194" s="413"/>
    </row>
    <row r="2195" spans="6:23" ht="24" customHeight="1">
      <c r="H2195" s="412" t="s">
        <v>39</v>
      </c>
      <c r="W2195" s="413"/>
    </row>
    <row r="2196" spans="6:23" ht="24" customHeight="1">
      <c r="H2196" s="418" t="s">
        <v>1288</v>
      </c>
      <c r="K2196" s="418" t="s">
        <v>1288</v>
      </c>
      <c r="W2196" s="413"/>
    </row>
    <row r="2197" spans="6:23" ht="24" customHeight="1">
      <c r="F2197" s="414">
        <v>1</v>
      </c>
      <c r="G2197" s="414" t="s">
        <v>619</v>
      </c>
      <c r="H2197" s="412" t="s">
        <v>878</v>
      </c>
      <c r="J2197" s="412">
        <f>E206</f>
        <v>140.65</v>
      </c>
      <c r="K2197" s="414">
        <f>J2197</f>
        <v>140.65</v>
      </c>
      <c r="W2197" s="413"/>
    </row>
    <row r="2198" spans="6:23" ht="24" customHeight="1">
      <c r="H2198" s="412" t="s">
        <v>41</v>
      </c>
      <c r="I2198" s="413" t="s">
        <v>358</v>
      </c>
      <c r="K2198" s="414">
        <v>2.5</v>
      </c>
      <c r="W2198" s="413"/>
    </row>
    <row r="2199" spans="6:23" ht="24" customHeight="1">
      <c r="F2199" s="413" t="s">
        <v>1030</v>
      </c>
      <c r="G2199" s="414" t="s">
        <v>1833</v>
      </c>
      <c r="H2199" s="415" t="s">
        <v>35</v>
      </c>
      <c r="K2199" s="418" t="s">
        <v>1288</v>
      </c>
      <c r="W2199" s="413"/>
    </row>
    <row r="2200" spans="6:23" ht="24" customHeight="1">
      <c r="H2200" s="415" t="s">
        <v>1035</v>
      </c>
      <c r="K2200" s="414">
        <f>SUM(K2196:K2198)</f>
        <v>143.15</v>
      </c>
      <c r="W2200" s="413"/>
    </row>
    <row r="2201" spans="6:23" ht="24" customHeight="1">
      <c r="H2201" s="418" t="s">
        <v>1288</v>
      </c>
      <c r="K2201" s="418" t="s">
        <v>1288</v>
      </c>
      <c r="W2201" s="413"/>
    </row>
    <row r="2202" spans="6:23" ht="24" customHeight="1">
      <c r="F2202" s="414">
        <v>1</v>
      </c>
      <c r="G2202" s="414" t="s">
        <v>701</v>
      </c>
      <c r="H2202" s="412" t="s">
        <v>877</v>
      </c>
      <c r="I2202" s="414">
        <f>C203</f>
        <v>128</v>
      </c>
      <c r="J2202" s="412" t="s">
        <v>701</v>
      </c>
      <c r="K2202" s="414">
        <f>(F2202*I2202)</f>
        <v>128</v>
      </c>
      <c r="W2202" s="413"/>
    </row>
    <row r="2203" spans="6:23" ht="24" customHeight="1">
      <c r="F2203" s="412" t="s">
        <v>790</v>
      </c>
      <c r="H2203" s="412" t="s">
        <v>40</v>
      </c>
      <c r="W2203" s="413"/>
    </row>
    <row r="2204" spans="6:23" ht="24" customHeight="1">
      <c r="F2204" s="412" t="s">
        <v>790</v>
      </c>
      <c r="H2204" s="412" t="s">
        <v>41</v>
      </c>
      <c r="I2204" s="413" t="s">
        <v>358</v>
      </c>
      <c r="K2204" s="414">
        <v>3</v>
      </c>
      <c r="W2204" s="413"/>
    </row>
    <row r="2205" spans="6:23" ht="24" customHeight="1">
      <c r="K2205" s="418" t="s">
        <v>1288</v>
      </c>
      <c r="W2205" s="413"/>
    </row>
    <row r="2206" spans="6:23" ht="24" customHeight="1">
      <c r="H2206" s="412" t="s">
        <v>1740</v>
      </c>
      <c r="K2206" s="414">
        <f>SUM(K2202:K2204)</f>
        <v>131</v>
      </c>
      <c r="W2206" s="413"/>
    </row>
    <row r="2207" spans="6:23" ht="24" customHeight="1">
      <c r="K2207" s="418" t="s">
        <v>1288</v>
      </c>
      <c r="W2207" s="413"/>
    </row>
    <row r="2208" spans="6:23" ht="24" customHeight="1">
      <c r="W2208" s="413"/>
    </row>
    <row r="2209" spans="6:23" ht="24" customHeight="1">
      <c r="F2209" s="413" t="s">
        <v>1464</v>
      </c>
      <c r="G2209" s="414" t="s">
        <v>1833</v>
      </c>
      <c r="H2209" s="415" t="s">
        <v>827</v>
      </c>
      <c r="W2209" s="413"/>
    </row>
    <row r="2210" spans="6:23" ht="24" customHeight="1">
      <c r="H2210" s="415" t="s">
        <v>1035</v>
      </c>
      <c r="W2210" s="413"/>
    </row>
    <row r="2211" spans="6:23" ht="24" customHeight="1">
      <c r="H2211" s="418" t="s">
        <v>1288</v>
      </c>
      <c r="W2211" s="413"/>
    </row>
    <row r="2212" spans="6:23" ht="24" customHeight="1">
      <c r="F2212" s="414">
        <v>1</v>
      </c>
      <c r="G2212" s="414" t="s">
        <v>701</v>
      </c>
      <c r="H2212" s="412" t="s">
        <v>650</v>
      </c>
      <c r="I2212" s="414">
        <f>C208</f>
        <v>166.15</v>
      </c>
      <c r="J2212" s="412" t="s">
        <v>701</v>
      </c>
      <c r="K2212" s="414">
        <f>(F2212*I2212)</f>
        <v>166.15</v>
      </c>
      <c r="W2212" s="413"/>
    </row>
    <row r="2213" spans="6:23" ht="24" customHeight="1">
      <c r="F2213" s="412" t="s">
        <v>790</v>
      </c>
      <c r="H2213" s="412" t="s">
        <v>40</v>
      </c>
      <c r="W2213" s="413"/>
    </row>
    <row r="2214" spans="6:23" ht="24" customHeight="1">
      <c r="F2214" s="412" t="s">
        <v>790</v>
      </c>
      <c r="H2214" s="412" t="s">
        <v>41</v>
      </c>
      <c r="I2214" s="413" t="s">
        <v>358</v>
      </c>
      <c r="K2214" s="414">
        <v>3</v>
      </c>
      <c r="W2214" s="413"/>
    </row>
    <row r="2215" spans="6:23" ht="24" customHeight="1">
      <c r="K2215" s="418" t="s">
        <v>1288</v>
      </c>
      <c r="W2215" s="413"/>
    </row>
    <row r="2216" spans="6:23" ht="24" customHeight="1">
      <c r="H2216" s="415" t="s">
        <v>1740</v>
      </c>
      <c r="K2216" s="414">
        <f>SUM(K2212:K2214)</f>
        <v>169.15</v>
      </c>
      <c r="W2216" s="413"/>
    </row>
    <row r="2217" spans="6:23" ht="24" customHeight="1">
      <c r="K2217" s="418" t="s">
        <v>1288</v>
      </c>
      <c r="W2217" s="413"/>
    </row>
    <row r="2218" spans="6:23" ht="24" customHeight="1">
      <c r="F2218" s="413" t="s">
        <v>1250</v>
      </c>
      <c r="H2218" s="415" t="s">
        <v>1251</v>
      </c>
      <c r="W2218" s="413"/>
    </row>
    <row r="2219" spans="6:23" ht="24" customHeight="1">
      <c r="H2219" s="415" t="s">
        <v>864</v>
      </c>
      <c r="W2219" s="413"/>
    </row>
    <row r="2220" spans="6:23" ht="24" customHeight="1">
      <c r="H2220" s="418" t="s">
        <v>1288</v>
      </c>
      <c r="W2220" s="413"/>
    </row>
    <row r="2221" spans="6:23" ht="24" customHeight="1">
      <c r="F2221" s="414">
        <v>2.5</v>
      </c>
      <c r="G2221" s="414" t="s">
        <v>865</v>
      </c>
      <c r="H2221" s="412" t="s">
        <v>1251</v>
      </c>
      <c r="I2221" s="414">
        <f>C588</f>
        <v>30</v>
      </c>
      <c r="J2221" s="412">
        <v>2.5</v>
      </c>
      <c r="K2221" s="414">
        <f>(F2221*I2221)/F2221</f>
        <v>30</v>
      </c>
      <c r="L2221" s="414" t="e">
        <f>1394*1.62-K2252</f>
        <v>#REF!</v>
      </c>
      <c r="W2221" s="413"/>
    </row>
    <row r="2222" spans="6:23" ht="24" customHeight="1">
      <c r="H2222" s="412" t="s">
        <v>866</v>
      </c>
      <c r="J2222" s="412" t="s">
        <v>865</v>
      </c>
      <c r="W2222" s="413"/>
    </row>
    <row r="2223" spans="6:23" ht="24" customHeight="1">
      <c r="G2223" s="414" t="s">
        <v>358</v>
      </c>
      <c r="H2223" s="412" t="s">
        <v>867</v>
      </c>
      <c r="J2223" s="412" t="s">
        <v>358</v>
      </c>
      <c r="K2223" s="414">
        <v>1.87</v>
      </c>
      <c r="W2223" s="413"/>
    </row>
    <row r="2224" spans="6:23" ht="24" customHeight="1">
      <c r="K2224" s="418" t="s">
        <v>1288</v>
      </c>
      <c r="W2224" s="413"/>
    </row>
    <row r="2225" spans="6:23" ht="24" customHeight="1">
      <c r="H2225" s="420" t="s">
        <v>180</v>
      </c>
      <c r="K2225" s="417">
        <f>SUM(K2221:K2223)</f>
        <v>31.87</v>
      </c>
      <c r="W2225" s="413"/>
    </row>
    <row r="2226" spans="6:23" ht="24" customHeight="1">
      <c r="K2226" s="418" t="s">
        <v>1676</v>
      </c>
      <c r="W2226" s="413"/>
    </row>
    <row r="2227" spans="6:23" ht="24" customHeight="1">
      <c r="W2227" s="413"/>
    </row>
    <row r="2228" spans="6:23" ht="24" customHeight="1">
      <c r="F2228" s="413" t="s">
        <v>868</v>
      </c>
      <c r="G2228" s="414" t="s">
        <v>1833</v>
      </c>
      <c r="H2228" s="412" t="s">
        <v>213</v>
      </c>
      <c r="W2228" s="413"/>
    </row>
    <row r="2229" spans="6:23" ht="24" customHeight="1">
      <c r="H2229" s="412" t="s">
        <v>44</v>
      </c>
      <c r="W2229" s="413"/>
    </row>
    <row r="2230" spans="6:23" ht="24" customHeight="1">
      <c r="H2230" s="412" t="s">
        <v>291</v>
      </c>
      <c r="W2230" s="413"/>
    </row>
    <row r="2231" spans="6:23" ht="24" customHeight="1">
      <c r="H2231" s="412" t="s">
        <v>275</v>
      </c>
      <c r="W2231" s="413"/>
    </row>
    <row r="2232" spans="6:23" ht="24" customHeight="1">
      <c r="H2232" s="412" t="s">
        <v>343</v>
      </c>
      <c r="W2232" s="413"/>
    </row>
    <row r="2233" spans="6:23" ht="24" customHeight="1">
      <c r="H2233" s="412" t="s">
        <v>1205</v>
      </c>
      <c r="W2233" s="413"/>
    </row>
    <row r="2234" spans="6:23" ht="24" customHeight="1">
      <c r="H2234" s="412" t="s">
        <v>1518</v>
      </c>
      <c r="W2234" s="413"/>
    </row>
    <row r="2235" spans="6:23" ht="24" customHeight="1">
      <c r="H2235" s="412" t="s">
        <v>1797</v>
      </c>
      <c r="W2235" s="413"/>
    </row>
    <row r="2236" spans="6:23" ht="24" customHeight="1">
      <c r="H2236" s="412" t="s">
        <v>458</v>
      </c>
      <c r="W2236" s="413"/>
    </row>
    <row r="2237" spans="6:23" ht="24" customHeight="1">
      <c r="H2237" s="412" t="s">
        <v>1037</v>
      </c>
      <c r="W2237" s="413"/>
    </row>
    <row r="2238" spans="6:23" ht="24" customHeight="1">
      <c r="H2238" s="412" t="s">
        <v>1038</v>
      </c>
      <c r="W2238" s="413"/>
    </row>
    <row r="2239" spans="6:23" ht="24" customHeight="1">
      <c r="H2239" s="412" t="s">
        <v>1039</v>
      </c>
      <c r="W2239" s="413"/>
    </row>
    <row r="2240" spans="6:23" ht="24" customHeight="1">
      <c r="H2240" s="418" t="s">
        <v>1288</v>
      </c>
      <c r="I2240" s="418" t="s">
        <v>1288</v>
      </c>
      <c r="W2240" s="413"/>
    </row>
    <row r="2241" spans="6:23" ht="24" hidden="1" customHeight="1">
      <c r="F2241" s="412" t="s">
        <v>790</v>
      </c>
      <c r="W2241" s="413"/>
    </row>
    <row r="2242" spans="6:23" ht="24" customHeight="1">
      <c r="F2242" s="440">
        <v>1.7399999999999999E-2</v>
      </c>
      <c r="G2242" s="414" t="s">
        <v>1749</v>
      </c>
      <c r="H2242" s="412" t="s">
        <v>1040</v>
      </c>
      <c r="I2242" s="414" t="e">
        <f>C86</f>
        <v>#REF!</v>
      </c>
      <c r="J2242" s="412" t="s">
        <v>1749</v>
      </c>
      <c r="K2242" s="414" t="e">
        <f t="shared" ref="K2242:K2249" si="248">F2242*I2242</f>
        <v>#REF!</v>
      </c>
      <c r="W2242" s="413"/>
    </row>
    <row r="2243" spans="6:23" ht="24" customHeight="1">
      <c r="F2243" s="440">
        <v>2.93E-2</v>
      </c>
      <c r="G2243" s="414" t="s">
        <v>1749</v>
      </c>
      <c r="H2243" s="412" t="s">
        <v>1041</v>
      </c>
      <c r="I2243" s="414" t="e">
        <f>C87</f>
        <v>#REF!</v>
      </c>
      <c r="J2243" s="412" t="s">
        <v>1749</v>
      </c>
      <c r="K2243" s="414" t="e">
        <f t="shared" si="248"/>
        <v>#REF!</v>
      </c>
      <c r="W2243" s="413"/>
    </row>
    <row r="2244" spans="6:23" ht="24" customHeight="1">
      <c r="F2244" s="440">
        <v>1.093</v>
      </c>
      <c r="G2244" s="414" t="s">
        <v>1861</v>
      </c>
      <c r="H2244" s="412" t="s">
        <v>1042</v>
      </c>
      <c r="I2244" s="414">
        <f>C199</f>
        <v>379.9</v>
      </c>
      <c r="J2244" s="412" t="s">
        <v>1861</v>
      </c>
      <c r="K2244" s="414">
        <f t="shared" si="248"/>
        <v>415.23</v>
      </c>
      <c r="W2244" s="413"/>
    </row>
    <row r="2245" spans="6:23" ht="24" customHeight="1">
      <c r="F2245" s="414">
        <v>6</v>
      </c>
      <c r="G2245" s="414" t="s">
        <v>453</v>
      </c>
      <c r="H2245" s="412" t="s">
        <v>933</v>
      </c>
      <c r="I2245" s="414">
        <f>C297</f>
        <v>7</v>
      </c>
      <c r="J2245" s="412" t="s">
        <v>1134</v>
      </c>
      <c r="K2245" s="414">
        <f t="shared" si="248"/>
        <v>42</v>
      </c>
      <c r="W2245" s="413"/>
    </row>
    <row r="2246" spans="6:23" ht="24" customHeight="1">
      <c r="F2246" s="414">
        <v>1</v>
      </c>
      <c r="G2246" s="414" t="s">
        <v>453</v>
      </c>
      <c r="H2246" s="412" t="s">
        <v>1805</v>
      </c>
      <c r="I2246" s="414">
        <f>C287</f>
        <v>101.6</v>
      </c>
      <c r="J2246" s="412" t="s">
        <v>1134</v>
      </c>
      <c r="K2246" s="414">
        <f t="shared" si="248"/>
        <v>101.6</v>
      </c>
      <c r="W2246" s="413"/>
    </row>
    <row r="2247" spans="6:23" ht="24" customHeight="1">
      <c r="F2247" s="414">
        <v>2</v>
      </c>
      <c r="G2247" s="414" t="s">
        <v>453</v>
      </c>
      <c r="H2247" s="412" t="s">
        <v>1426</v>
      </c>
      <c r="I2247" s="414">
        <f>C308</f>
        <v>3</v>
      </c>
      <c r="J2247" s="412" t="s">
        <v>1134</v>
      </c>
      <c r="K2247" s="414">
        <f t="shared" si="248"/>
        <v>6</v>
      </c>
      <c r="W2247" s="413"/>
    </row>
    <row r="2248" spans="6:23" ht="24" customHeight="1">
      <c r="F2248" s="414">
        <v>6</v>
      </c>
      <c r="G2248" s="414" t="s">
        <v>453</v>
      </c>
      <c r="H2248" s="412" t="s">
        <v>112</v>
      </c>
      <c r="I2248" s="414">
        <v>10.5</v>
      </c>
      <c r="J2248" s="412" t="s">
        <v>1134</v>
      </c>
      <c r="K2248" s="414">
        <f t="shared" si="248"/>
        <v>63</v>
      </c>
      <c r="W2248" s="413"/>
    </row>
    <row r="2249" spans="6:23" ht="24" customHeight="1">
      <c r="F2249" s="416">
        <v>1.62</v>
      </c>
      <c r="G2249" s="414" t="s">
        <v>1861</v>
      </c>
      <c r="H2249" s="412" t="s">
        <v>113</v>
      </c>
      <c r="I2249" s="414">
        <f>D33</f>
        <v>1072</v>
      </c>
      <c r="J2249" s="412" t="s">
        <v>1861</v>
      </c>
      <c r="K2249" s="414">
        <f t="shared" si="248"/>
        <v>1736.64</v>
      </c>
      <c r="W2249" s="413"/>
    </row>
    <row r="2250" spans="6:23" ht="24" customHeight="1">
      <c r="G2250" s="414" t="s">
        <v>358</v>
      </c>
      <c r="H2250" s="412" t="s">
        <v>408</v>
      </c>
      <c r="J2250" s="412" t="s">
        <v>358</v>
      </c>
      <c r="K2250" s="414">
        <v>4.2699999999999996</v>
      </c>
      <c r="W2250" s="413"/>
    </row>
    <row r="2251" spans="6:23" ht="24" customHeight="1">
      <c r="K2251" s="418" t="s">
        <v>1288</v>
      </c>
      <c r="W2251" s="413"/>
    </row>
    <row r="2252" spans="6:23" ht="24" customHeight="1">
      <c r="H2252" s="420" t="s">
        <v>114</v>
      </c>
      <c r="K2252" s="417" t="e">
        <f>SUM(K2242:K2250)</f>
        <v>#REF!</v>
      </c>
      <c r="W2252" s="413"/>
    </row>
    <row r="2253" spans="6:23" ht="24" customHeight="1">
      <c r="K2253" s="436" t="s">
        <v>1288</v>
      </c>
      <c r="W2253" s="413"/>
    </row>
    <row r="2254" spans="6:23" ht="24" hidden="1" customHeight="1">
      <c r="K2254" s="417"/>
      <c r="W2254" s="413"/>
    </row>
    <row r="2255" spans="6:23" ht="24" customHeight="1">
      <c r="H2255" s="420" t="s">
        <v>115</v>
      </c>
      <c r="I2255" s="412" t="s">
        <v>790</v>
      </c>
      <c r="K2255" s="417" t="e">
        <f>K2252/1.62</f>
        <v>#REF!</v>
      </c>
      <c r="M2255" s="414">
        <f>1921*1.62</f>
        <v>3112.02</v>
      </c>
      <c r="W2255" s="413"/>
    </row>
    <row r="2256" spans="6:23" ht="24" customHeight="1">
      <c r="F2256" s="412" t="s">
        <v>790</v>
      </c>
      <c r="G2256" s="414" t="s">
        <v>790</v>
      </c>
      <c r="H2256" s="412" t="s">
        <v>790</v>
      </c>
      <c r="I2256" s="412" t="s">
        <v>790</v>
      </c>
      <c r="J2256" s="412" t="s">
        <v>790</v>
      </c>
      <c r="M2256" s="414" t="e">
        <f>M2255-K2252</f>
        <v>#REF!</v>
      </c>
      <c r="W2256" s="413"/>
    </row>
    <row r="2257" spans="6:23" ht="24" hidden="1" customHeight="1">
      <c r="W2257" s="413"/>
    </row>
    <row r="2258" spans="6:23" ht="24" customHeight="1">
      <c r="G2258" s="414" t="s">
        <v>1249</v>
      </c>
      <c r="H2258" s="415" t="s">
        <v>1129</v>
      </c>
      <c r="W2258" s="413"/>
    </row>
    <row r="2259" spans="6:23" ht="24" customHeight="1">
      <c r="H2259" s="412" t="s">
        <v>642</v>
      </c>
      <c r="L2259" s="414">
        <f>3.6*1.1</f>
        <v>3.96</v>
      </c>
      <c r="W2259" s="413"/>
    </row>
    <row r="2260" spans="6:23" ht="24" customHeight="1">
      <c r="F2260" s="412" t="s">
        <v>790</v>
      </c>
      <c r="H2260" s="412" t="s">
        <v>643</v>
      </c>
      <c r="L2260" s="414">
        <f>3.6*1.6</f>
        <v>5.76</v>
      </c>
      <c r="W2260" s="413"/>
    </row>
    <row r="2261" spans="6:23" ht="35.25" customHeight="1">
      <c r="F2261" s="413" t="s">
        <v>644</v>
      </c>
      <c r="H2261" s="412" t="s">
        <v>1773</v>
      </c>
      <c r="K2261" s="414" t="e">
        <f>#REF!</f>
        <v>#REF!</v>
      </c>
      <c r="W2261" s="413"/>
    </row>
    <row r="2262" spans="6:23" ht="30.75" customHeight="1">
      <c r="F2262" s="413" t="s">
        <v>645</v>
      </c>
      <c r="H2262" s="413" t="s">
        <v>622</v>
      </c>
      <c r="K2262" s="414" t="e">
        <f>#REF!</f>
        <v>#REF!</v>
      </c>
      <c r="W2262" s="413"/>
    </row>
    <row r="2263" spans="6:23" ht="30.75" customHeight="1">
      <c r="F2263" s="413" t="s">
        <v>646</v>
      </c>
      <c r="H2263" s="412" t="s">
        <v>1034</v>
      </c>
      <c r="K2263" s="414" t="e">
        <f>#REF!</f>
        <v>#REF!</v>
      </c>
      <c r="W2263" s="413"/>
    </row>
    <row r="2264" spans="6:23" ht="30.75" customHeight="1">
      <c r="F2264" s="425">
        <v>65</v>
      </c>
      <c r="H2264" s="412" t="s">
        <v>624</v>
      </c>
      <c r="K2264" s="414" t="e">
        <f>#REF!</f>
        <v>#REF!</v>
      </c>
      <c r="W2264" s="413"/>
    </row>
    <row r="2265" spans="6:23" ht="30.75" customHeight="1">
      <c r="F2265" s="425">
        <v>66</v>
      </c>
      <c r="H2265" s="412" t="s">
        <v>491</v>
      </c>
      <c r="K2265" s="414" t="e">
        <f>#REF!</f>
        <v>#REF!</v>
      </c>
      <c r="W2265" s="413"/>
    </row>
    <row r="2266" spans="6:23" ht="30.75" customHeight="1">
      <c r="F2266" s="425">
        <v>67</v>
      </c>
      <c r="H2266" s="412" t="s">
        <v>462</v>
      </c>
      <c r="K2266" s="414" t="e">
        <f>#REF!</f>
        <v>#REF!</v>
      </c>
      <c r="W2266" s="413"/>
    </row>
    <row r="2267" spans="6:23" ht="24" customHeight="1">
      <c r="F2267" s="425">
        <v>68</v>
      </c>
      <c r="H2267" s="412" t="s">
        <v>678</v>
      </c>
      <c r="K2267" s="414" t="e">
        <f>#REF!</f>
        <v>#REF!</v>
      </c>
      <c r="W2267" s="413"/>
    </row>
    <row r="2268" spans="6:23" ht="24" customHeight="1">
      <c r="F2268" s="425">
        <v>69</v>
      </c>
      <c r="H2268" s="412" t="s">
        <v>647</v>
      </c>
      <c r="K2268" s="414" t="e">
        <f>#REF!</f>
        <v>#REF!</v>
      </c>
      <c r="W2268" s="413"/>
    </row>
    <row r="2269" spans="6:23" ht="24" customHeight="1">
      <c r="F2269" s="425" t="s">
        <v>648</v>
      </c>
      <c r="H2269" s="412" t="s">
        <v>397</v>
      </c>
      <c r="K2269" s="414" t="e">
        <f>#REF!</f>
        <v>#REF!</v>
      </c>
      <c r="W2269" s="413"/>
    </row>
    <row r="2270" spans="6:23" ht="24" customHeight="1">
      <c r="F2270" s="425" t="s">
        <v>229</v>
      </c>
      <c r="H2270" s="412" t="s">
        <v>227</v>
      </c>
      <c r="J2270" s="413"/>
      <c r="L2270" s="414">
        <f>37.7*90</f>
        <v>3393</v>
      </c>
      <c r="W2270" s="413"/>
    </row>
    <row r="2271" spans="6:23" ht="24" customHeight="1">
      <c r="F2271" s="425" t="s">
        <v>1582</v>
      </c>
      <c r="H2271" s="412" t="s">
        <v>1222</v>
      </c>
      <c r="K2271" s="414">
        <v>9.4</v>
      </c>
      <c r="W2271" s="413"/>
    </row>
    <row r="2272" spans="6:23" ht="24" customHeight="1">
      <c r="F2272" s="425" t="s">
        <v>1583</v>
      </c>
      <c r="H2272" s="412" t="s">
        <v>472</v>
      </c>
      <c r="K2272" s="414">
        <v>10</v>
      </c>
      <c r="W2272" s="413"/>
    </row>
    <row r="2273" spans="6:23" ht="24" customHeight="1">
      <c r="F2273" s="425">
        <v>71</v>
      </c>
      <c r="H2273" s="412" t="s">
        <v>943</v>
      </c>
      <c r="K2273" s="414" t="e">
        <f>#REF!</f>
        <v>#REF!</v>
      </c>
      <c r="W2273" s="413"/>
    </row>
    <row r="2274" spans="6:23" ht="24" customHeight="1">
      <c r="F2274" s="425">
        <v>72</v>
      </c>
      <c r="H2274" s="412" t="s">
        <v>649</v>
      </c>
      <c r="K2274" s="414">
        <v>33.9</v>
      </c>
      <c r="W2274" s="413"/>
    </row>
    <row r="2275" spans="6:23" ht="24" customHeight="1">
      <c r="F2275" s="425" t="s">
        <v>473</v>
      </c>
      <c r="H2275" s="412" t="s">
        <v>215</v>
      </c>
      <c r="K2275" s="414" t="e">
        <f>#REF!</f>
        <v>#REF!</v>
      </c>
      <c r="W2275" s="413"/>
    </row>
    <row r="2276" spans="6:23" ht="24" customHeight="1">
      <c r="F2276" s="425" t="s">
        <v>474</v>
      </c>
      <c r="H2276" s="412" t="s">
        <v>475</v>
      </c>
      <c r="K2276" s="414" t="e">
        <f>#REF!</f>
        <v>#REF!</v>
      </c>
      <c r="W2276" s="413"/>
    </row>
    <row r="2277" spans="6:23" ht="24" customHeight="1">
      <c r="F2277" s="425">
        <v>74</v>
      </c>
      <c r="H2277" s="412" t="s">
        <v>133</v>
      </c>
      <c r="K2277" s="414" t="e">
        <f>#REF!</f>
        <v>#REF!</v>
      </c>
      <c r="W2277" s="413"/>
    </row>
    <row r="2278" spans="6:23" ht="24" customHeight="1">
      <c r="F2278" s="425" t="s">
        <v>506</v>
      </c>
      <c r="H2278" s="412" t="s">
        <v>1025</v>
      </c>
      <c r="K2278" s="414">
        <v>1265</v>
      </c>
      <c r="W2278" s="413"/>
    </row>
    <row r="2279" spans="6:23" ht="24" customHeight="1">
      <c r="F2279" s="425" t="s">
        <v>507</v>
      </c>
      <c r="H2279" s="412" t="s">
        <v>104</v>
      </c>
      <c r="W2279" s="413"/>
    </row>
    <row r="2280" spans="6:23" ht="24" customHeight="1">
      <c r="F2280" s="425">
        <v>112</v>
      </c>
      <c r="H2280" s="412" t="s">
        <v>600</v>
      </c>
      <c r="K2280" s="414" t="e">
        <f>#REF!</f>
        <v>#REF!</v>
      </c>
      <c r="W2280" s="413"/>
    </row>
    <row r="2281" spans="6:23" ht="24" customHeight="1">
      <c r="F2281" s="425">
        <v>76</v>
      </c>
      <c r="H2281" s="412" t="s">
        <v>1573</v>
      </c>
      <c r="K2281" s="414" t="e">
        <f>#REF!</f>
        <v>#REF!</v>
      </c>
      <c r="W2281" s="413"/>
    </row>
    <row r="2282" spans="6:23" ht="24" customHeight="1">
      <c r="F2282" s="425">
        <v>77</v>
      </c>
      <c r="H2282" s="412" t="s">
        <v>1848</v>
      </c>
      <c r="K2282" s="414" t="e">
        <f>#REF!</f>
        <v>#REF!</v>
      </c>
      <c r="W2282" s="413"/>
    </row>
    <row r="2283" spans="6:23" ht="38.25" customHeight="1">
      <c r="F2283" s="427">
        <v>77.099999999999994</v>
      </c>
      <c r="H2283" s="426" t="s">
        <v>1466</v>
      </c>
      <c r="K2283" s="423" t="e">
        <f>#REF!</f>
        <v>#REF!</v>
      </c>
      <c r="W2283" s="413"/>
    </row>
    <row r="2284" spans="6:23" ht="24" customHeight="1">
      <c r="F2284" s="427">
        <v>77.2</v>
      </c>
      <c r="H2284" s="412" t="s">
        <v>1467</v>
      </c>
      <c r="K2284" s="414">
        <v>500</v>
      </c>
      <c r="W2284" s="413"/>
    </row>
    <row r="2285" spans="6:23" ht="24" customHeight="1">
      <c r="F2285" s="427">
        <v>77.3</v>
      </c>
      <c r="H2285" s="412" t="s">
        <v>1221</v>
      </c>
      <c r="K2285" s="414" t="e">
        <f>#REF!</f>
        <v>#REF!</v>
      </c>
      <c r="W2285" s="413"/>
    </row>
    <row r="2286" spans="6:23" ht="24" customHeight="1">
      <c r="F2286" s="425">
        <v>78</v>
      </c>
      <c r="H2286" s="412" t="s">
        <v>59</v>
      </c>
      <c r="K2286" s="414" t="e">
        <f>#REF!</f>
        <v>#REF!</v>
      </c>
      <c r="W2286" s="413"/>
    </row>
    <row r="2287" spans="6:23" ht="24" customHeight="1">
      <c r="F2287" s="425">
        <v>80</v>
      </c>
      <c r="H2287" s="412" t="s">
        <v>1723</v>
      </c>
      <c r="K2287" s="414" t="e">
        <f>#REF!</f>
        <v>#REF!</v>
      </c>
      <c r="W2287" s="413"/>
    </row>
    <row r="2288" spans="6:23" ht="24" customHeight="1">
      <c r="F2288" s="425">
        <v>81</v>
      </c>
      <c r="H2288" s="412" t="s">
        <v>70</v>
      </c>
      <c r="K2288" s="414" t="e">
        <f>K2255</f>
        <v>#REF!</v>
      </c>
      <c r="W2288" s="413"/>
    </row>
    <row r="2289" spans="6:33" ht="24" customHeight="1">
      <c r="F2289" s="425">
        <v>82</v>
      </c>
      <c r="H2289" s="412" t="s">
        <v>1256</v>
      </c>
      <c r="K2289" s="414" t="e">
        <f>#REF!</f>
        <v>#REF!</v>
      </c>
      <c r="W2289" s="413"/>
    </row>
    <row r="2290" spans="6:33" ht="24" customHeight="1">
      <c r="F2290" s="425">
        <v>87</v>
      </c>
      <c r="H2290" s="412" t="s">
        <v>1437</v>
      </c>
      <c r="K2290" s="414" t="e">
        <f>#REF!</f>
        <v>#REF!</v>
      </c>
      <c r="W2290" s="413"/>
    </row>
    <row r="2291" spans="6:33" ht="24" customHeight="1">
      <c r="H2291" s="477" t="s">
        <v>1563</v>
      </c>
      <c r="K2291" s="414" t="e">
        <f>#REF!</f>
        <v>#REF!</v>
      </c>
      <c r="W2291" s="413"/>
    </row>
    <row r="2292" spans="6:33" ht="24" customHeight="1">
      <c r="H2292" s="412" t="s">
        <v>206</v>
      </c>
      <c r="K2292" s="414">
        <v>137</v>
      </c>
      <c r="W2292" s="413"/>
    </row>
    <row r="2293" spans="6:33" ht="37.9" customHeight="1">
      <c r="F2293" s="447">
        <v>77.400000000000006</v>
      </c>
      <c r="H2293" s="435" t="s">
        <v>1400</v>
      </c>
      <c r="M2293" s="447">
        <v>77.400000000000006</v>
      </c>
      <c r="O2293" s="435" t="s">
        <v>2885</v>
      </c>
      <c r="Q2293" s="412"/>
      <c r="W2293" s="413"/>
    </row>
    <row r="2294" spans="6:33" ht="27" customHeight="1">
      <c r="H2294" s="412" t="s">
        <v>642</v>
      </c>
      <c r="O2294" s="412" t="s">
        <v>642</v>
      </c>
      <c r="Q2294" s="412"/>
      <c r="W2294" s="413"/>
    </row>
    <row r="2295" spans="6:33" ht="42.75" customHeight="1">
      <c r="F2295" s="414">
        <v>90</v>
      </c>
      <c r="G2295" s="414" t="s">
        <v>293</v>
      </c>
      <c r="H2295" s="431" t="s">
        <v>3009</v>
      </c>
      <c r="I2295" s="414">
        <v>20</v>
      </c>
      <c r="J2295" s="412" t="s">
        <v>293</v>
      </c>
      <c r="K2295" s="414">
        <f>I2295*F2295</f>
        <v>1800</v>
      </c>
      <c r="M2295" s="414">
        <v>90</v>
      </c>
      <c r="N2295" s="414" t="s">
        <v>293</v>
      </c>
      <c r="O2295" s="431" t="s">
        <v>2850</v>
      </c>
      <c r="P2295" s="414">
        <v>20</v>
      </c>
      <c r="Q2295" s="412" t="s">
        <v>293</v>
      </c>
      <c r="R2295" s="414">
        <f>P2295*M2295</f>
        <v>1800</v>
      </c>
      <c r="W2295" s="413"/>
    </row>
    <row r="2296" spans="6:33" ht="24" customHeight="1">
      <c r="F2296" s="414">
        <v>0.15</v>
      </c>
      <c r="G2296" s="414" t="s">
        <v>427</v>
      </c>
      <c r="H2296" s="414" t="s">
        <v>695</v>
      </c>
      <c r="I2296" s="414" t="e">
        <f>AC31</f>
        <v>#REF!</v>
      </c>
      <c r="J2296" s="412" t="s">
        <v>427</v>
      </c>
      <c r="K2296" s="414" t="e">
        <f>I2296*F2296</f>
        <v>#REF!</v>
      </c>
      <c r="M2296" s="414">
        <v>0.15</v>
      </c>
      <c r="N2296" s="414" t="s">
        <v>427</v>
      </c>
      <c r="O2296" s="414" t="s">
        <v>695</v>
      </c>
      <c r="P2296" s="414" t="e">
        <f>I2296</f>
        <v>#REF!</v>
      </c>
      <c r="Q2296" s="412" t="s">
        <v>427</v>
      </c>
      <c r="R2296" s="414" t="e">
        <f>P2296*M2296</f>
        <v>#REF!</v>
      </c>
      <c r="W2296" s="413"/>
    </row>
    <row r="2297" spans="6:33" ht="24" customHeight="1">
      <c r="F2297" s="414">
        <v>1</v>
      </c>
      <c r="G2297" s="414" t="s">
        <v>619</v>
      </c>
      <c r="H2297" s="414" t="s">
        <v>292</v>
      </c>
      <c r="I2297" s="414">
        <f>C809</f>
        <v>826</v>
      </c>
      <c r="J2297" s="412" t="s">
        <v>619</v>
      </c>
      <c r="K2297" s="414">
        <f>I2297*F2297</f>
        <v>826</v>
      </c>
      <c r="M2297" s="414">
        <v>1</v>
      </c>
      <c r="N2297" s="414" t="s">
        <v>619</v>
      </c>
      <c r="O2297" s="414" t="s">
        <v>292</v>
      </c>
      <c r="P2297" s="414">
        <f>I2297</f>
        <v>826</v>
      </c>
      <c r="Q2297" s="412" t="s">
        <v>619</v>
      </c>
      <c r="R2297" s="414">
        <f>P2297*M2297</f>
        <v>826</v>
      </c>
      <c r="W2297" s="413"/>
    </row>
    <row r="2298" spans="6:33" ht="24" customHeight="1">
      <c r="F2298" s="414">
        <v>2</v>
      </c>
      <c r="G2298" s="414" t="s">
        <v>619</v>
      </c>
      <c r="H2298" s="414" t="s">
        <v>1392</v>
      </c>
      <c r="I2298" s="414">
        <f>AE10</f>
        <v>932</v>
      </c>
      <c r="J2298" s="412" t="s">
        <v>619</v>
      </c>
      <c r="K2298" s="414">
        <f>I2298*F2298</f>
        <v>1864</v>
      </c>
      <c r="M2298" s="414">
        <v>2</v>
      </c>
      <c r="N2298" s="414" t="s">
        <v>619</v>
      </c>
      <c r="O2298" s="414" t="s">
        <v>1392</v>
      </c>
      <c r="P2298" s="414">
        <f>I2298</f>
        <v>932</v>
      </c>
      <c r="Q2298" s="412" t="s">
        <v>619</v>
      </c>
      <c r="R2298" s="414">
        <f>P2298*M2298</f>
        <v>1864</v>
      </c>
      <c r="W2298" s="413"/>
    </row>
    <row r="2299" spans="6:33" ht="24" customHeight="1">
      <c r="F2299" s="414">
        <v>4</v>
      </c>
      <c r="G2299" s="414" t="s">
        <v>619</v>
      </c>
      <c r="H2299" s="414" t="str">
        <f>B810</f>
        <v>Electrical HELPERp-15 it-100</v>
      </c>
      <c r="I2299" s="414">
        <f>C810</f>
        <v>644</v>
      </c>
      <c r="J2299" s="412" t="s">
        <v>619</v>
      </c>
      <c r="K2299" s="414">
        <f>I2299*F2299</f>
        <v>2576</v>
      </c>
      <c r="M2299" s="414">
        <v>4</v>
      </c>
      <c r="N2299" s="414" t="s">
        <v>619</v>
      </c>
      <c r="O2299" s="414" t="str">
        <f>H2299</f>
        <v>Electrical HELPERp-15 it-100</v>
      </c>
      <c r="P2299" s="414">
        <f>I2299</f>
        <v>644</v>
      </c>
      <c r="Q2299" s="412" t="s">
        <v>619</v>
      </c>
      <c r="R2299" s="414">
        <f>P2299*M2299</f>
        <v>2576</v>
      </c>
      <c r="W2299" s="413"/>
    </row>
    <row r="2300" spans="6:33" ht="24" customHeight="1">
      <c r="H2300" s="414" t="s">
        <v>294</v>
      </c>
      <c r="K2300" s="414">
        <v>11.5</v>
      </c>
      <c r="O2300" s="414" t="s">
        <v>294</v>
      </c>
      <c r="Q2300" s="412"/>
      <c r="R2300" s="414">
        <v>11.5</v>
      </c>
      <c r="W2300" s="413"/>
    </row>
    <row r="2301" spans="6:33" ht="24" customHeight="1">
      <c r="K2301" s="418" t="s">
        <v>1288</v>
      </c>
      <c r="Q2301" s="412"/>
      <c r="R2301" s="418" t="s">
        <v>1288</v>
      </c>
      <c r="W2301" s="413"/>
    </row>
    <row r="2302" spans="6:33" ht="24" customHeight="1">
      <c r="H2302" s="412" t="s">
        <v>1847</v>
      </c>
      <c r="K2302" s="414" t="e">
        <f>SUM(K2295:K2300)</f>
        <v>#REF!</v>
      </c>
      <c r="O2302" s="412" t="s">
        <v>1847</v>
      </c>
      <c r="Q2302" s="412"/>
      <c r="R2302" s="414" t="e">
        <f>SUM(R2295:R2300)</f>
        <v>#REF!</v>
      </c>
      <c r="W2302" s="413"/>
    </row>
    <row r="2303" spans="6:33" ht="24" customHeight="1">
      <c r="K2303" s="418" t="s">
        <v>1288</v>
      </c>
      <c r="Q2303" s="412"/>
      <c r="R2303" s="418" t="s">
        <v>1288</v>
      </c>
      <c r="W2303" s="413"/>
    </row>
    <row r="2304" spans="6:33" ht="24" customHeight="1">
      <c r="H2304" s="412" t="s">
        <v>912</v>
      </c>
      <c r="K2304" s="414" t="e">
        <f>(K2302/90)</f>
        <v>#REF!</v>
      </c>
      <c r="O2304" s="412" t="s">
        <v>912</v>
      </c>
      <c r="Q2304" s="412"/>
      <c r="R2304" s="414" t="e">
        <f>(R2302/90)</f>
        <v>#REF!</v>
      </c>
      <c r="W2304" s="413"/>
      <c r="AG2304" s="414">
        <v>0</v>
      </c>
    </row>
    <row r="2305" spans="5:253" ht="24" customHeight="1">
      <c r="K2305" s="418" t="s">
        <v>1676</v>
      </c>
      <c r="W2305" s="413"/>
      <c r="IS2305" s="414">
        <v>0</v>
      </c>
    </row>
    <row r="2306" spans="5:253" ht="24" customHeight="1">
      <c r="W2306" s="413"/>
    </row>
    <row r="2307" spans="5:253" ht="24" customHeight="1">
      <c r="F2307" s="427">
        <v>78.099999999999994</v>
      </c>
      <c r="H2307" s="415" t="s">
        <v>1266</v>
      </c>
      <c r="L2307" s="414">
        <f>31.5+85</f>
        <v>116.5</v>
      </c>
      <c r="W2307" s="413"/>
    </row>
    <row r="2308" spans="5:253" ht="24" customHeight="1">
      <c r="H2308" s="412" t="s">
        <v>642</v>
      </c>
      <c r="L2308" s="414">
        <f>L2307*10%</f>
        <v>11.65</v>
      </c>
      <c r="W2308" s="413"/>
    </row>
    <row r="2309" spans="5:253" ht="24" customHeight="1">
      <c r="F2309" s="414">
        <v>2.5</v>
      </c>
      <c r="G2309" s="414" t="s">
        <v>619</v>
      </c>
      <c r="H2309" s="414" t="s">
        <v>1267</v>
      </c>
      <c r="I2309" s="414">
        <f>C395</f>
        <v>163</v>
      </c>
      <c r="J2309" s="412" t="s">
        <v>619</v>
      </c>
      <c r="K2309" s="414">
        <f t="shared" ref="K2309:K2314" si="249">I2309*F2309</f>
        <v>407.5</v>
      </c>
      <c r="W2309" s="413"/>
    </row>
    <row r="2310" spans="5:253" ht="24" customHeight="1">
      <c r="F2310" s="414">
        <v>20</v>
      </c>
      <c r="G2310" s="414" t="s">
        <v>283</v>
      </c>
      <c r="H2310" s="412" t="s">
        <v>3182</v>
      </c>
      <c r="I2310" s="423">
        <v>5</v>
      </c>
      <c r="J2310" s="412" t="s">
        <v>283</v>
      </c>
      <c r="K2310" s="414">
        <f t="shared" si="249"/>
        <v>100</v>
      </c>
      <c r="W2310" s="413"/>
    </row>
    <row r="2311" spans="5:253" ht="24" customHeight="1">
      <c r="F2311" s="414">
        <v>9</v>
      </c>
      <c r="G2311" s="414" t="s">
        <v>283</v>
      </c>
      <c r="H2311" s="414" t="s">
        <v>3183</v>
      </c>
      <c r="I2311" s="414">
        <v>3.7</v>
      </c>
      <c r="J2311" s="412" t="s">
        <v>283</v>
      </c>
      <c r="K2311" s="414">
        <f t="shared" si="249"/>
        <v>33.299999999999997</v>
      </c>
      <c r="W2311" s="413"/>
    </row>
    <row r="2312" spans="5:253" ht="24" customHeight="1">
      <c r="F2312" s="414">
        <v>0.5</v>
      </c>
      <c r="G2312" s="414" t="s">
        <v>283</v>
      </c>
      <c r="H2312" s="414" t="s">
        <v>3184</v>
      </c>
      <c r="I2312" s="414">
        <v>101.5</v>
      </c>
      <c r="J2312" s="412" t="s">
        <v>283</v>
      </c>
      <c r="K2312" s="414">
        <f t="shared" si="249"/>
        <v>50.75</v>
      </c>
      <c r="W2312" s="413"/>
    </row>
    <row r="2313" spans="5:253" ht="24" customHeight="1">
      <c r="E2313" s="416">
        <f>25.2/5</f>
        <v>5.04</v>
      </c>
      <c r="F2313" s="414">
        <v>0.5</v>
      </c>
      <c r="G2313" s="414" t="s">
        <v>619</v>
      </c>
      <c r="H2313" s="414" t="s">
        <v>1043</v>
      </c>
      <c r="I2313" s="414">
        <f>I2297</f>
        <v>826</v>
      </c>
      <c r="J2313" s="412" t="s">
        <v>619</v>
      </c>
      <c r="K2313" s="414">
        <f t="shared" si="249"/>
        <v>413</v>
      </c>
      <c r="W2313" s="413"/>
    </row>
    <row r="2314" spans="5:253" ht="24" customHeight="1">
      <c r="F2314" s="414">
        <v>1</v>
      </c>
      <c r="G2314" s="414" t="s">
        <v>619</v>
      </c>
      <c r="H2314" s="414" t="s">
        <v>1044</v>
      </c>
      <c r="I2314" s="414">
        <f>I2299</f>
        <v>644</v>
      </c>
      <c r="J2314" s="412" t="s">
        <v>619</v>
      </c>
      <c r="K2314" s="414">
        <f t="shared" si="249"/>
        <v>644</v>
      </c>
      <c r="W2314" s="413"/>
    </row>
    <row r="2315" spans="5:253" ht="37.9" customHeight="1">
      <c r="G2315" s="414" t="s">
        <v>528</v>
      </c>
      <c r="H2315" s="431" t="s">
        <v>1045</v>
      </c>
      <c r="J2315" s="412" t="s">
        <v>528</v>
      </c>
      <c r="K2315" s="414">
        <v>200</v>
      </c>
      <c r="W2315" s="413"/>
    </row>
    <row r="2316" spans="5:253" ht="24" customHeight="1">
      <c r="G2316" s="414" t="s">
        <v>528</v>
      </c>
      <c r="H2316" s="414" t="s">
        <v>983</v>
      </c>
      <c r="J2316" s="412" t="s">
        <v>528</v>
      </c>
      <c r="K2316" s="414">
        <v>8.32</v>
      </c>
      <c r="W2316" s="413"/>
    </row>
    <row r="2317" spans="5:253" ht="24" customHeight="1">
      <c r="K2317" s="418" t="s">
        <v>1288</v>
      </c>
      <c r="W2317" s="413"/>
    </row>
    <row r="2318" spans="5:253" ht="24" customHeight="1">
      <c r="H2318" s="414" t="s">
        <v>222</v>
      </c>
      <c r="K2318" s="414">
        <f>SUM(K2309:K2316)</f>
        <v>1856.87</v>
      </c>
      <c r="L2318" s="414">
        <f>K2352/3</f>
        <v>32.85</v>
      </c>
      <c r="W2318" s="413"/>
    </row>
    <row r="2319" spans="5:253" ht="24" customHeight="1">
      <c r="K2319" s="418" t="s">
        <v>1288</v>
      </c>
      <c r="W2319" s="413"/>
    </row>
    <row r="2320" spans="5:253" ht="24" customHeight="1">
      <c r="H2320" s="417" t="s">
        <v>1815</v>
      </c>
      <c r="W2320" s="413"/>
    </row>
    <row r="2321" spans="6:23" ht="24" customHeight="1">
      <c r="F2321" s="414">
        <v>0.7</v>
      </c>
      <c r="G2321" s="414" t="s">
        <v>619</v>
      </c>
      <c r="H2321" s="414" t="s">
        <v>524</v>
      </c>
      <c r="I2321" s="414">
        <f>C17</f>
        <v>881</v>
      </c>
      <c r="J2321" s="412" t="s">
        <v>1134</v>
      </c>
      <c r="K2321" s="414">
        <f>I2321*F2321</f>
        <v>616.70000000000005</v>
      </c>
      <c r="S2321" s="416">
        <f>R2359+R2360</f>
        <v>884</v>
      </c>
      <c r="W2321" s="413"/>
    </row>
    <row r="2322" spans="6:23" ht="24" customHeight="1">
      <c r="F2322" s="414">
        <v>0.5</v>
      </c>
      <c r="G2322" s="414" t="s">
        <v>619</v>
      </c>
      <c r="H2322" s="414" t="s">
        <v>525</v>
      </c>
      <c r="I2322" s="414">
        <f>C12</f>
        <v>651</v>
      </c>
      <c r="J2322" s="412" t="s">
        <v>1134</v>
      </c>
      <c r="K2322" s="414">
        <f>I2322*F2322</f>
        <v>325.5</v>
      </c>
      <c r="W2322" s="413"/>
    </row>
    <row r="2323" spans="6:23" ht="24" customHeight="1">
      <c r="H2323" s="414" t="s">
        <v>1816</v>
      </c>
      <c r="K2323" s="414">
        <f>SUM(K2321:K2322)</f>
        <v>942.2</v>
      </c>
      <c r="W2323" s="413"/>
    </row>
    <row r="2324" spans="6:23" ht="24" customHeight="1">
      <c r="H2324" s="414" t="s">
        <v>347</v>
      </c>
      <c r="K2324" s="417">
        <f>K2323/8.16</f>
        <v>115.47</v>
      </c>
      <c r="W2324" s="413"/>
    </row>
    <row r="2325" spans="6:23" ht="24" customHeight="1">
      <c r="W2325" s="413"/>
    </row>
    <row r="2326" spans="6:23" ht="24" customHeight="1">
      <c r="H2326" s="417" t="s">
        <v>1477</v>
      </c>
      <c r="W2326" s="413"/>
    </row>
    <row r="2327" spans="6:23" ht="24" customHeight="1">
      <c r="F2327" s="414">
        <v>2</v>
      </c>
      <c r="G2327" s="414" t="s">
        <v>734</v>
      </c>
      <c r="H2327" s="414" t="s">
        <v>3010</v>
      </c>
      <c r="I2327" s="414">
        <v>62.1</v>
      </c>
      <c r="J2327" s="412" t="s">
        <v>734</v>
      </c>
      <c r="K2327" s="414">
        <f>I2327*F2327</f>
        <v>124.2</v>
      </c>
      <c r="W2327" s="413"/>
    </row>
    <row r="2328" spans="6:23" ht="24" customHeight="1">
      <c r="F2328" s="414">
        <v>0.2</v>
      </c>
      <c r="G2328" s="414" t="s">
        <v>734</v>
      </c>
      <c r="H2328" s="414" t="s">
        <v>1478</v>
      </c>
      <c r="I2328" s="414">
        <f>C143/1000</f>
        <v>56.35</v>
      </c>
      <c r="J2328" s="412" t="s">
        <v>734</v>
      </c>
      <c r="K2328" s="414">
        <f>I2328*F2328</f>
        <v>11.27</v>
      </c>
      <c r="W2328" s="413"/>
    </row>
    <row r="2329" spans="6:23" ht="24" customHeight="1">
      <c r="F2329" s="414">
        <v>2</v>
      </c>
      <c r="G2329" s="414" t="s">
        <v>734</v>
      </c>
      <c r="H2329" s="414" t="s">
        <v>1479</v>
      </c>
      <c r="I2329" s="414">
        <f>K2324</f>
        <v>115.47</v>
      </c>
      <c r="J2329" s="412" t="s">
        <v>734</v>
      </c>
      <c r="K2329" s="414">
        <f>I2329*F2329</f>
        <v>230.94</v>
      </c>
      <c r="W2329" s="413"/>
    </row>
    <row r="2330" spans="6:23" ht="24" customHeight="1">
      <c r="H2330" s="414" t="s">
        <v>1480</v>
      </c>
      <c r="K2330" s="414">
        <f>SUM(K2327:K2329)</f>
        <v>366.41</v>
      </c>
      <c r="W2330" s="413"/>
    </row>
    <row r="2331" spans="6:23" ht="24" customHeight="1">
      <c r="H2331" s="414" t="s">
        <v>1481</v>
      </c>
      <c r="K2331" s="417">
        <f>K2330/10</f>
        <v>36.64</v>
      </c>
      <c r="W2331" s="413"/>
    </row>
    <row r="2332" spans="6:23" ht="24" customHeight="1">
      <c r="W2332" s="413"/>
    </row>
    <row r="2333" spans="6:23" ht="24" customHeight="1">
      <c r="H2333" s="417" t="s">
        <v>802</v>
      </c>
      <c r="O2333" s="417" t="s">
        <v>741</v>
      </c>
      <c r="Q2333" s="412"/>
      <c r="W2333" s="413"/>
    </row>
    <row r="2334" spans="6:23" ht="24" customHeight="1">
      <c r="F2334" s="414">
        <v>0.25</v>
      </c>
      <c r="G2334" s="414" t="s">
        <v>453</v>
      </c>
      <c r="H2334" s="414" t="s">
        <v>1482</v>
      </c>
      <c r="I2334" s="414">
        <f>C11</f>
        <v>932</v>
      </c>
      <c r="J2334" s="412" t="s">
        <v>1134</v>
      </c>
      <c r="K2334" s="414">
        <f>I2334*F2334</f>
        <v>233</v>
      </c>
      <c r="M2334" s="414">
        <v>15</v>
      </c>
      <c r="N2334" s="414" t="s">
        <v>184</v>
      </c>
      <c r="O2334" s="414" t="s">
        <v>3185</v>
      </c>
      <c r="P2334" s="414">
        <v>160.25</v>
      </c>
      <c r="Q2334" s="412" t="s">
        <v>184</v>
      </c>
      <c r="R2334" s="414">
        <f>P2334*M2334</f>
        <v>2403.75</v>
      </c>
      <c r="W2334" s="413"/>
    </row>
    <row r="2335" spans="6:23" ht="24" customHeight="1">
      <c r="F2335" s="414">
        <v>1</v>
      </c>
      <c r="G2335" s="414" t="s">
        <v>453</v>
      </c>
      <c r="H2335" s="414" t="s">
        <v>525</v>
      </c>
      <c r="I2335" s="414">
        <f>C12</f>
        <v>651</v>
      </c>
      <c r="J2335" s="412" t="s">
        <v>1134</v>
      </c>
      <c r="K2335" s="414">
        <f>I2335*F2335</f>
        <v>651</v>
      </c>
      <c r="M2335" s="414">
        <v>0.5</v>
      </c>
      <c r="N2335" s="414" t="s">
        <v>734</v>
      </c>
      <c r="O2335" s="414" t="s">
        <v>1478</v>
      </c>
      <c r="P2335" s="414">
        <f>C143/1000</f>
        <v>56.35</v>
      </c>
      <c r="Q2335" s="412" t="s">
        <v>734</v>
      </c>
      <c r="R2335" s="414">
        <f>P2335*M2335</f>
        <v>28.18</v>
      </c>
      <c r="W2335" s="413"/>
    </row>
    <row r="2336" spans="6:23" ht="24" customHeight="1">
      <c r="G2336" s="412" t="s">
        <v>358</v>
      </c>
      <c r="H2336" s="414" t="s">
        <v>1646</v>
      </c>
      <c r="I2336" s="414">
        <f>SUM(K2334:K2335)*10/100</f>
        <v>88.4</v>
      </c>
      <c r="J2336" s="412" t="s">
        <v>358</v>
      </c>
      <c r="K2336" s="414">
        <f>I2336</f>
        <v>88.4</v>
      </c>
      <c r="M2336" s="414">
        <v>0.5</v>
      </c>
      <c r="N2336" s="414" t="s">
        <v>453</v>
      </c>
      <c r="O2336" s="414" t="s">
        <v>524</v>
      </c>
      <c r="P2336" s="414">
        <f>C17</f>
        <v>881</v>
      </c>
      <c r="Q2336" s="412" t="s">
        <v>734</v>
      </c>
      <c r="R2336" s="414">
        <f>P2336*M2336</f>
        <v>440.5</v>
      </c>
      <c r="W2336" s="413"/>
    </row>
    <row r="2337" spans="4:23" ht="24" customHeight="1">
      <c r="H2337" s="414" t="s">
        <v>1650</v>
      </c>
      <c r="K2337" s="414">
        <f>SUM(K2334:K2336)</f>
        <v>972.4</v>
      </c>
      <c r="M2337" s="414">
        <v>0.5</v>
      </c>
      <c r="N2337" s="414" t="s">
        <v>453</v>
      </c>
      <c r="O2337" s="414" t="s">
        <v>525</v>
      </c>
      <c r="P2337" s="414">
        <f>C12</f>
        <v>651</v>
      </c>
      <c r="Q2337" s="412" t="s">
        <v>734</v>
      </c>
      <c r="R2337" s="414">
        <f>P2337*M2337</f>
        <v>325.5</v>
      </c>
      <c r="W2337" s="413"/>
    </row>
    <row r="2338" spans="4:23" ht="24" customHeight="1">
      <c r="H2338" s="414" t="s">
        <v>803</v>
      </c>
      <c r="K2338" s="417">
        <f>K2337/2.44</f>
        <v>398.52</v>
      </c>
      <c r="O2338" s="414" t="s">
        <v>28</v>
      </c>
      <c r="Q2338" s="412"/>
      <c r="R2338" s="414">
        <f>SUM(R2334:R2337)</f>
        <v>3197.93</v>
      </c>
      <c r="W2338" s="413"/>
    </row>
    <row r="2339" spans="4:23" ht="24" customHeight="1">
      <c r="K2339" s="414">
        <v>0</v>
      </c>
      <c r="O2339" s="417" t="s">
        <v>1408</v>
      </c>
      <c r="Q2339" s="412"/>
      <c r="R2339" s="417">
        <f>R2338/15</f>
        <v>213.2</v>
      </c>
      <c r="W2339" s="413"/>
    </row>
    <row r="2340" spans="4:23" ht="24" customHeight="1">
      <c r="H2340" s="417" t="s">
        <v>759</v>
      </c>
      <c r="W2340" s="413"/>
    </row>
    <row r="2341" spans="4:23" ht="24" customHeight="1">
      <c r="F2341" s="416">
        <v>7.0999999999999994E-2</v>
      </c>
      <c r="G2341" s="414" t="s">
        <v>288</v>
      </c>
      <c r="H2341" s="414" t="s">
        <v>760</v>
      </c>
      <c r="I2341" s="414" t="e">
        <f>Y688</f>
        <v>#REF!</v>
      </c>
      <c r="J2341" s="412" t="s">
        <v>289</v>
      </c>
      <c r="K2341" s="414" t="e">
        <f>I2341*F2341</f>
        <v>#REF!</v>
      </c>
      <c r="W2341" s="413"/>
    </row>
    <row r="2342" spans="4:23" ht="24" customHeight="1">
      <c r="F2342" s="414">
        <v>1</v>
      </c>
      <c r="G2342" s="414" t="s">
        <v>1790</v>
      </c>
      <c r="H2342" s="414" t="s">
        <v>736</v>
      </c>
      <c r="I2342" s="414">
        <f>K2338</f>
        <v>398.52</v>
      </c>
      <c r="J2342" s="412" t="s">
        <v>1790</v>
      </c>
      <c r="K2342" s="414">
        <f>I2342*F2342</f>
        <v>398.52</v>
      </c>
      <c r="W2342" s="413"/>
    </row>
    <row r="2343" spans="4:23" ht="24" customHeight="1">
      <c r="F2343" s="414" t="s">
        <v>790</v>
      </c>
      <c r="H2343" s="414" t="s">
        <v>290</v>
      </c>
      <c r="K2343" s="417" t="e">
        <f>SUM(K2341:K2342)</f>
        <v>#REF!</v>
      </c>
      <c r="O2343" s="1238" t="s">
        <v>951</v>
      </c>
      <c r="P2343" s="1239"/>
      <c r="Q2343" s="1239"/>
      <c r="W2343" s="413"/>
    </row>
    <row r="2344" spans="4:23" ht="24" customHeight="1">
      <c r="M2344" s="414">
        <v>0.47</v>
      </c>
      <c r="N2344" s="414" t="s">
        <v>1749</v>
      </c>
      <c r="O2344" s="414" t="s">
        <v>281</v>
      </c>
      <c r="P2344" s="414">
        <f>K90</f>
        <v>224.1</v>
      </c>
      <c r="Q2344" s="412" t="s">
        <v>1134</v>
      </c>
      <c r="R2344" s="414">
        <f>P2344*M2344</f>
        <v>105.33</v>
      </c>
      <c r="W2344" s="413"/>
    </row>
    <row r="2345" spans="4:23" ht="24" hidden="1" customHeight="1">
      <c r="M2345" s="414">
        <v>2</v>
      </c>
      <c r="R2345" s="414">
        <f>P2345*M2345</f>
        <v>0</v>
      </c>
      <c r="W2345" s="413"/>
    </row>
    <row r="2346" spans="4:23" ht="37.9" customHeight="1">
      <c r="H2346" s="435" t="s">
        <v>1080</v>
      </c>
      <c r="K2346" s="416"/>
      <c r="M2346" s="414">
        <v>0.24</v>
      </c>
      <c r="N2346" s="414" t="s">
        <v>1749</v>
      </c>
      <c r="O2346" s="414" t="s">
        <v>952</v>
      </c>
      <c r="P2346" s="414" t="e">
        <f>AC15</f>
        <v>#REF!</v>
      </c>
      <c r="Q2346" s="412" t="s">
        <v>1134</v>
      </c>
      <c r="R2346" s="414" t="e">
        <f>P2346*M2346</f>
        <v>#REF!</v>
      </c>
      <c r="W2346" s="413"/>
    </row>
    <row r="2347" spans="4:23" ht="37.9" customHeight="1">
      <c r="D2347" s="414">
        <f>24/5</f>
        <v>4.8</v>
      </c>
      <c r="F2347" s="414">
        <v>98.5</v>
      </c>
      <c r="G2347" s="414" t="s">
        <v>1443</v>
      </c>
      <c r="H2347" s="445" t="s">
        <v>4275</v>
      </c>
      <c r="I2347" s="416">
        <f>25.2/5</f>
        <v>5.04</v>
      </c>
      <c r="J2347" s="412" t="s">
        <v>1443</v>
      </c>
      <c r="K2347" s="414">
        <f>I2347*F2347</f>
        <v>496.44</v>
      </c>
      <c r="M2347" s="414">
        <v>0.79</v>
      </c>
      <c r="N2347" s="412" t="s">
        <v>1861</v>
      </c>
      <c r="O2347" s="445" t="s">
        <v>3011</v>
      </c>
      <c r="P2347" s="414" t="e">
        <f>AD559</f>
        <v>#REF!</v>
      </c>
      <c r="Q2347" s="412" t="s">
        <v>358</v>
      </c>
      <c r="R2347" s="414" t="e">
        <f>P2347*M2347</f>
        <v>#REF!</v>
      </c>
      <c r="W2347" s="413"/>
    </row>
    <row r="2348" spans="4:23" ht="24" customHeight="1">
      <c r="F2348" s="414">
        <v>0.3</v>
      </c>
      <c r="G2348" s="414" t="s">
        <v>1443</v>
      </c>
      <c r="H2348" s="414" t="s">
        <v>214</v>
      </c>
      <c r="I2348" s="414">
        <f>C16</f>
        <v>976</v>
      </c>
      <c r="J2348" s="412" t="s">
        <v>1134</v>
      </c>
      <c r="K2348" s="414">
        <f>I2348*F2348</f>
        <v>292.8</v>
      </c>
      <c r="M2348" s="414">
        <v>0.24</v>
      </c>
      <c r="N2348" s="414" t="s">
        <v>1749</v>
      </c>
      <c r="O2348" s="414" t="s">
        <v>733</v>
      </c>
      <c r="P2348" s="414" t="e">
        <f>I140</f>
        <v>#REF!</v>
      </c>
      <c r="Q2348" s="412"/>
      <c r="R2348" s="414" t="e">
        <f>P2348*M2348</f>
        <v>#REF!</v>
      </c>
      <c r="W2348" s="413"/>
    </row>
    <row r="2349" spans="4:23" ht="24" customHeight="1">
      <c r="F2349" s="414">
        <v>0.3</v>
      </c>
      <c r="G2349" s="414" t="s">
        <v>1443</v>
      </c>
      <c r="H2349" s="414" t="s">
        <v>525</v>
      </c>
      <c r="I2349" s="414">
        <f>C12</f>
        <v>651</v>
      </c>
      <c r="J2349" s="412" t="s">
        <v>1134</v>
      </c>
      <c r="K2349" s="414">
        <f>I2349*F2349</f>
        <v>195.3</v>
      </c>
      <c r="O2349" s="414" t="s">
        <v>1850</v>
      </c>
      <c r="Q2349" s="412"/>
      <c r="R2349" s="414" t="s">
        <v>1064</v>
      </c>
      <c r="W2349" s="413"/>
    </row>
    <row r="2350" spans="4:23" ht="24" customHeight="1">
      <c r="H2350" s="414" t="s">
        <v>10</v>
      </c>
      <c r="K2350" s="414">
        <v>0.9</v>
      </c>
      <c r="R2350" s="417" t="e">
        <f>SUM(R2344:R2348)</f>
        <v>#REF!</v>
      </c>
      <c r="W2350" s="413"/>
    </row>
    <row r="2351" spans="4:23" ht="24" customHeight="1">
      <c r="H2351" s="417" t="s">
        <v>2144</v>
      </c>
      <c r="K2351" s="417">
        <f>SUM(K2347:K2350)</f>
        <v>985.44</v>
      </c>
      <c r="R2351" s="414" t="s">
        <v>2423</v>
      </c>
      <c r="W2351" s="413"/>
    </row>
    <row r="2352" spans="4:23" ht="24" customHeight="1">
      <c r="H2352" s="417" t="s">
        <v>2145</v>
      </c>
      <c r="K2352" s="417">
        <f>K2351/10</f>
        <v>98.54</v>
      </c>
      <c r="R2352" s="414">
        <v>0</v>
      </c>
      <c r="W2352" s="413"/>
    </row>
    <row r="2353" spans="6:23" ht="24" customHeight="1">
      <c r="H2353" s="417" t="s">
        <v>2146</v>
      </c>
      <c r="K2353" s="417">
        <f>K2352/3</f>
        <v>32.85</v>
      </c>
      <c r="O2353" s="1238" t="s">
        <v>1065</v>
      </c>
      <c r="P2353" s="1239"/>
      <c r="Q2353" s="1239"/>
      <c r="W2353" s="413"/>
    </row>
    <row r="2354" spans="6:23" ht="24" customHeight="1">
      <c r="G2354" s="419" t="s">
        <v>583</v>
      </c>
      <c r="H2354" s="414" t="s">
        <v>579</v>
      </c>
      <c r="I2354" s="417">
        <f>I2356-K2352</f>
        <v>848.08</v>
      </c>
      <c r="K2354" s="417"/>
      <c r="M2354" s="414">
        <v>1</v>
      </c>
      <c r="N2354" s="414" t="s">
        <v>1749</v>
      </c>
      <c r="O2354" s="414" t="s">
        <v>736</v>
      </c>
      <c r="P2354" s="414">
        <f>R2365</f>
        <v>398.52</v>
      </c>
      <c r="Q2354" s="412" t="s">
        <v>1134</v>
      </c>
      <c r="R2354" s="414">
        <f>P2354*M2354</f>
        <v>398.52</v>
      </c>
      <c r="W2354" s="413"/>
    </row>
    <row r="2355" spans="6:23" ht="24" customHeight="1">
      <c r="G2355" s="417"/>
      <c r="I2355" s="417"/>
      <c r="K2355" s="417"/>
      <c r="M2355" s="416">
        <v>7.0999999999999994E-2</v>
      </c>
      <c r="N2355" s="414" t="s">
        <v>1749</v>
      </c>
      <c r="O2355" s="414" t="s">
        <v>952</v>
      </c>
      <c r="P2355" s="414" t="e">
        <f>P2346</f>
        <v>#REF!</v>
      </c>
      <c r="Q2355" s="412" t="s">
        <v>1134</v>
      </c>
      <c r="R2355" s="414" t="e">
        <f>P2355*M2355</f>
        <v>#REF!</v>
      </c>
      <c r="W2355" s="413"/>
    </row>
    <row r="2356" spans="6:23" ht="24" customHeight="1">
      <c r="G2356" s="419" t="s">
        <v>419</v>
      </c>
      <c r="H2356" s="414" t="s">
        <v>580</v>
      </c>
      <c r="I2356" s="417">
        <f>K770</f>
        <v>946.62</v>
      </c>
      <c r="K2356" s="417"/>
      <c r="R2356" s="414" t="s">
        <v>1064</v>
      </c>
      <c r="W2356" s="413"/>
    </row>
    <row r="2357" spans="6:23" ht="24" customHeight="1">
      <c r="G2357" s="417"/>
      <c r="I2357" s="417"/>
      <c r="K2357" s="417"/>
      <c r="N2357" s="412"/>
      <c r="Q2357" s="412"/>
      <c r="R2357" s="417" t="e">
        <f>SUM(R2354:R2355)</f>
        <v>#REF!</v>
      </c>
      <c r="W2357" s="413"/>
    </row>
    <row r="2358" spans="6:23" ht="24" customHeight="1">
      <c r="G2358" s="419" t="s">
        <v>242</v>
      </c>
      <c r="H2358" s="431" t="s">
        <v>581</v>
      </c>
      <c r="I2358" s="417">
        <f>I2356*1.2</f>
        <v>1135.94</v>
      </c>
      <c r="K2358" s="417"/>
      <c r="Q2358" s="412"/>
      <c r="R2358" s="414" t="s">
        <v>1064</v>
      </c>
      <c r="W2358" s="413"/>
    </row>
    <row r="2359" spans="6:23" ht="24" customHeight="1">
      <c r="G2359" s="419"/>
      <c r="K2359" s="417"/>
      <c r="M2359" s="414">
        <v>0.25</v>
      </c>
      <c r="N2359" s="414" t="s">
        <v>1130</v>
      </c>
      <c r="O2359" s="414" t="s">
        <v>1066</v>
      </c>
      <c r="P2359" s="414">
        <f>AE10</f>
        <v>932</v>
      </c>
      <c r="Q2359" s="412"/>
      <c r="R2359" s="414">
        <f>P2359*M2359</f>
        <v>233</v>
      </c>
      <c r="W2359" s="413"/>
    </row>
    <row r="2360" spans="6:23" ht="24" customHeight="1">
      <c r="G2360" s="419" t="s">
        <v>584</v>
      </c>
      <c r="H2360" s="414" t="s">
        <v>582</v>
      </c>
      <c r="I2360" s="417">
        <f>I2356*1.1</f>
        <v>1041.28</v>
      </c>
      <c r="K2360" s="417"/>
      <c r="M2360" s="414">
        <v>1</v>
      </c>
      <c r="N2360" s="414" t="s">
        <v>1130</v>
      </c>
      <c r="O2360" s="414" t="s">
        <v>1067</v>
      </c>
      <c r="P2360" s="414">
        <f>AE11</f>
        <v>651</v>
      </c>
      <c r="R2360" s="414">
        <f>P2360*M2360</f>
        <v>651</v>
      </c>
      <c r="W2360" s="413"/>
    </row>
    <row r="2361" spans="6:23" ht="42" hidden="1" customHeight="1">
      <c r="K2361" s="417"/>
      <c r="M2361" s="414">
        <v>1</v>
      </c>
      <c r="N2361" s="414" t="s">
        <v>1130</v>
      </c>
      <c r="O2361" s="431" t="s">
        <v>1068</v>
      </c>
      <c r="P2361" s="414" t="s">
        <v>528</v>
      </c>
      <c r="R2361" s="414">
        <f>(R2359+R2360)*10%</f>
        <v>88.4</v>
      </c>
      <c r="W2361" s="413"/>
    </row>
    <row r="2362" spans="6:23" ht="24" customHeight="1">
      <c r="R2362" s="414" t="s">
        <v>1064</v>
      </c>
      <c r="W2362" s="413"/>
    </row>
    <row r="2363" spans="6:23" ht="24" customHeight="1">
      <c r="H2363" s="417" t="s">
        <v>1786</v>
      </c>
      <c r="R2363" s="417">
        <f>SUM(R2359:R2361)</f>
        <v>972.4</v>
      </c>
      <c r="W2363" s="413"/>
    </row>
    <row r="2364" spans="6:23" ht="24" customHeight="1">
      <c r="F2364" s="414">
        <v>11.5</v>
      </c>
      <c r="G2364" s="414" t="s">
        <v>1861</v>
      </c>
      <c r="H2364" s="414" t="s">
        <v>3012</v>
      </c>
      <c r="I2364" s="414">
        <v>170.15</v>
      </c>
      <c r="J2364" s="412" t="s">
        <v>1861</v>
      </c>
      <c r="K2364" s="414">
        <f t="shared" ref="K2364:K2369" si="250">F2364*I2364</f>
        <v>1956.73</v>
      </c>
      <c r="R2364" s="414" t="s">
        <v>1064</v>
      </c>
      <c r="W2364" s="413"/>
    </row>
    <row r="2365" spans="6:23" ht="24" customHeight="1">
      <c r="F2365" s="414">
        <v>2</v>
      </c>
      <c r="G2365" s="414" t="s">
        <v>1600</v>
      </c>
      <c r="H2365" s="414" t="s">
        <v>3013</v>
      </c>
      <c r="I2365" s="414">
        <v>196.45</v>
      </c>
      <c r="J2365" s="412" t="s">
        <v>1601</v>
      </c>
      <c r="K2365" s="414">
        <f t="shared" si="250"/>
        <v>392.9</v>
      </c>
      <c r="R2365" s="414">
        <f>R2363/2.44</f>
        <v>398.52</v>
      </c>
      <c r="W2365" s="413"/>
    </row>
    <row r="2366" spans="6:23" ht="24" customHeight="1">
      <c r="F2366" s="414">
        <v>20</v>
      </c>
      <c r="G2366" s="414" t="s">
        <v>118</v>
      </c>
      <c r="H2366" s="429" t="s">
        <v>3014</v>
      </c>
      <c r="I2366" s="414">
        <v>3.91</v>
      </c>
      <c r="J2366" s="412" t="s">
        <v>118</v>
      </c>
      <c r="K2366" s="414">
        <f t="shared" si="250"/>
        <v>78.2</v>
      </c>
      <c r="W2366" s="413"/>
    </row>
    <row r="2367" spans="6:23" ht="24" customHeight="1">
      <c r="F2367" s="414">
        <v>2.2000000000000002</v>
      </c>
      <c r="G2367" s="414" t="s">
        <v>1130</v>
      </c>
      <c r="H2367" s="414" t="s">
        <v>780</v>
      </c>
      <c r="I2367" s="414">
        <f>AE18</f>
        <v>856</v>
      </c>
      <c r="J2367" s="412" t="s">
        <v>1134</v>
      </c>
      <c r="K2367" s="414">
        <f t="shared" si="250"/>
        <v>1883.2</v>
      </c>
      <c r="W2367" s="413"/>
    </row>
    <row r="2368" spans="6:23" ht="24" customHeight="1">
      <c r="F2368" s="414">
        <v>1.1000000000000001</v>
      </c>
      <c r="G2368" s="414" t="s">
        <v>1130</v>
      </c>
      <c r="H2368" s="414" t="s">
        <v>116</v>
      </c>
      <c r="I2368" s="414">
        <f>C16</f>
        <v>976</v>
      </c>
      <c r="J2368" s="412" t="s">
        <v>1134</v>
      </c>
      <c r="K2368" s="414">
        <f t="shared" si="250"/>
        <v>1073.5999999999999</v>
      </c>
      <c r="W2368" s="413"/>
    </row>
    <row r="2369" spans="6:23" ht="24" customHeight="1">
      <c r="F2369" s="414">
        <v>3.2</v>
      </c>
      <c r="G2369" s="414" t="s">
        <v>1130</v>
      </c>
      <c r="H2369" s="414" t="s">
        <v>117</v>
      </c>
      <c r="I2369" s="414">
        <f>C12</f>
        <v>651</v>
      </c>
      <c r="J2369" s="412" t="s">
        <v>1134</v>
      </c>
      <c r="K2369" s="414">
        <f t="shared" si="250"/>
        <v>2083.1999999999998</v>
      </c>
      <c r="O2369" s="413"/>
      <c r="W2369" s="413"/>
    </row>
    <row r="2370" spans="6:23" ht="24" customHeight="1">
      <c r="H2370" s="414" t="s">
        <v>1186</v>
      </c>
      <c r="J2370" s="412" t="s">
        <v>358</v>
      </c>
      <c r="K2370" s="414">
        <v>0.5</v>
      </c>
      <c r="O2370" s="420" t="s">
        <v>1787</v>
      </c>
      <c r="Q2370" s="412"/>
      <c r="W2370" s="413"/>
    </row>
    <row r="2371" spans="6:23" ht="24" customHeight="1">
      <c r="K2371" s="429" t="s">
        <v>119</v>
      </c>
      <c r="M2371" s="414">
        <v>11</v>
      </c>
      <c r="N2371" s="414" t="s">
        <v>1861</v>
      </c>
      <c r="O2371" s="414" t="s">
        <v>1978</v>
      </c>
      <c r="P2371" s="414">
        <f>I2364</f>
        <v>170.15</v>
      </c>
      <c r="Q2371" s="412" t="s">
        <v>1861</v>
      </c>
      <c r="R2371" s="414">
        <f>M2371*P2371</f>
        <v>1871.65</v>
      </c>
      <c r="W2371" s="413"/>
    </row>
    <row r="2372" spans="6:23" ht="24" customHeight="1">
      <c r="H2372" s="420" t="s">
        <v>1187</v>
      </c>
      <c r="K2372" s="417">
        <f>SUM(K2364:K2371)</f>
        <v>7468.33</v>
      </c>
      <c r="M2372" s="414">
        <v>20</v>
      </c>
      <c r="N2372" s="412" t="s">
        <v>221</v>
      </c>
      <c r="O2372" s="414" t="s">
        <v>639</v>
      </c>
      <c r="P2372" s="414">
        <f>I2366</f>
        <v>3.91</v>
      </c>
      <c r="Q2372" s="412" t="s">
        <v>221</v>
      </c>
      <c r="R2372" s="414">
        <f>M2372*P2372</f>
        <v>78.2</v>
      </c>
      <c r="W2372" s="413"/>
    </row>
    <row r="2373" spans="6:23" ht="24" customHeight="1">
      <c r="K2373" s="429" t="s">
        <v>119</v>
      </c>
      <c r="M2373" s="414">
        <v>2.2000000000000002</v>
      </c>
      <c r="N2373" s="414" t="s">
        <v>1130</v>
      </c>
      <c r="O2373" s="414" t="s">
        <v>780</v>
      </c>
      <c r="P2373" s="414">
        <f>AE18</f>
        <v>856</v>
      </c>
      <c r="Q2373" s="412" t="s">
        <v>1134</v>
      </c>
      <c r="R2373" s="414">
        <f>M2373*P2373</f>
        <v>1883.2</v>
      </c>
      <c r="W2373" s="413"/>
    </row>
    <row r="2374" spans="6:23" ht="24" customHeight="1">
      <c r="H2374" s="420" t="s">
        <v>1585</v>
      </c>
      <c r="I2374" s="414" t="s">
        <v>790</v>
      </c>
      <c r="K2374" s="417">
        <f>K2372/10</f>
        <v>746.83</v>
      </c>
      <c r="M2374" s="414">
        <v>1.1000000000000001</v>
      </c>
      <c r="N2374" s="414" t="s">
        <v>1130</v>
      </c>
      <c r="O2374" s="414" t="s">
        <v>116</v>
      </c>
      <c r="P2374" s="414">
        <f>I2368</f>
        <v>976</v>
      </c>
      <c r="Q2374" s="412" t="s">
        <v>1134</v>
      </c>
      <c r="R2374" s="414">
        <f>M2374*P2374</f>
        <v>1073.5999999999999</v>
      </c>
      <c r="W2374" s="413"/>
    </row>
    <row r="2375" spans="6:23" ht="24" customHeight="1">
      <c r="K2375" s="429" t="s">
        <v>119</v>
      </c>
      <c r="M2375" s="414">
        <v>3.2</v>
      </c>
      <c r="N2375" s="414" t="s">
        <v>1130</v>
      </c>
      <c r="O2375" s="414" t="s">
        <v>117</v>
      </c>
      <c r="P2375" s="414">
        <f>I2369</f>
        <v>651</v>
      </c>
      <c r="Q2375" s="412" t="s">
        <v>1134</v>
      </c>
      <c r="R2375" s="414">
        <f>M2375*P2375</f>
        <v>2083.1999999999998</v>
      </c>
      <c r="W2375" s="413"/>
    </row>
    <row r="2376" spans="6:23" ht="24" customHeight="1">
      <c r="O2376" s="414" t="s">
        <v>1186</v>
      </c>
      <c r="Q2376" s="412" t="s">
        <v>528</v>
      </c>
      <c r="R2376" s="414">
        <v>0.74</v>
      </c>
      <c r="W2376" s="413"/>
    </row>
    <row r="2377" spans="6:23" ht="24" hidden="1" customHeight="1">
      <c r="W2377" s="413"/>
    </row>
    <row r="2378" spans="6:23" ht="39" customHeight="1">
      <c r="H2378" s="435" t="s">
        <v>1652</v>
      </c>
      <c r="Q2378" s="412"/>
      <c r="R2378" s="429" t="s">
        <v>119</v>
      </c>
      <c r="W2378" s="413"/>
    </row>
    <row r="2379" spans="6:23" ht="24" customHeight="1">
      <c r="O2379" s="420" t="s">
        <v>1187</v>
      </c>
      <c r="Q2379" s="412"/>
      <c r="R2379" s="417">
        <f>SUM(R2371:R2378)</f>
        <v>6990.59</v>
      </c>
      <c r="W2379" s="413"/>
    </row>
    <row r="2380" spans="6:23" ht="24" customHeight="1">
      <c r="F2380" s="414" t="s">
        <v>1653</v>
      </c>
      <c r="H2380" s="414" t="s">
        <v>1654</v>
      </c>
      <c r="Q2380" s="412"/>
      <c r="R2380" s="429" t="s">
        <v>119</v>
      </c>
      <c r="W2380" s="413"/>
    </row>
    <row r="2381" spans="6:23" ht="24" customHeight="1">
      <c r="H2381" s="414" t="s">
        <v>276</v>
      </c>
      <c r="O2381" s="420" t="s">
        <v>1188</v>
      </c>
      <c r="Q2381" s="412"/>
      <c r="R2381" s="417">
        <f>R2379/10</f>
        <v>699.06</v>
      </c>
      <c r="W2381" s="413"/>
    </row>
    <row r="2382" spans="6:23" ht="24" customHeight="1">
      <c r="Q2382" s="412"/>
      <c r="R2382" s="429" t="s">
        <v>119</v>
      </c>
      <c r="W2382" s="413"/>
    </row>
    <row r="2383" spans="6:23" ht="24" customHeight="1">
      <c r="F2383" s="414">
        <v>1.96</v>
      </c>
      <c r="G2383" s="414" t="s">
        <v>1749</v>
      </c>
      <c r="H2383" s="414" t="s">
        <v>277</v>
      </c>
      <c r="I2383" s="414" t="e">
        <f>K1713</f>
        <v>#REF!</v>
      </c>
      <c r="J2383" s="412" t="s">
        <v>702</v>
      </c>
      <c r="K2383" s="414" t="e">
        <f t="shared" ref="K2383:K2388" si="251">(F2383*I2383)</f>
        <v>#REF!</v>
      </c>
      <c r="W2383" s="413"/>
    </row>
    <row r="2384" spans="6:23" ht="24" customHeight="1">
      <c r="F2384" s="414">
        <v>2</v>
      </c>
      <c r="G2384" s="414" t="s">
        <v>1130</v>
      </c>
      <c r="H2384" s="414" t="s">
        <v>278</v>
      </c>
      <c r="I2384" s="414">
        <f>C10</f>
        <v>999</v>
      </c>
      <c r="J2384" s="412" t="s">
        <v>701</v>
      </c>
      <c r="K2384" s="414">
        <f t="shared" si="251"/>
        <v>1998</v>
      </c>
      <c r="W2384" s="413"/>
    </row>
    <row r="2385" spans="5:23" ht="24" customHeight="1">
      <c r="F2385" s="414">
        <v>2</v>
      </c>
      <c r="G2385" s="414" t="s">
        <v>1130</v>
      </c>
      <c r="H2385" s="414" t="s">
        <v>279</v>
      </c>
      <c r="I2385" s="414">
        <f>C13</f>
        <v>534</v>
      </c>
      <c r="J2385" s="412" t="s">
        <v>701</v>
      </c>
      <c r="K2385" s="414">
        <f t="shared" si="251"/>
        <v>1068</v>
      </c>
      <c r="N2385" s="414" t="s">
        <v>1833</v>
      </c>
      <c r="Q2385" s="412"/>
      <c r="W2385" s="413"/>
    </row>
    <row r="2386" spans="5:23" ht="24" customHeight="1">
      <c r="F2386" s="414">
        <v>0.28000000000000003</v>
      </c>
      <c r="G2386" s="414" t="s">
        <v>1861</v>
      </c>
      <c r="H2386" s="414" t="s">
        <v>280</v>
      </c>
      <c r="I2386" s="414">
        <f>I2354</f>
        <v>848.08</v>
      </c>
      <c r="J2386" s="412" t="s">
        <v>701</v>
      </c>
      <c r="K2386" s="414">
        <f t="shared" si="251"/>
        <v>237.46</v>
      </c>
      <c r="O2386" s="412" t="s">
        <v>4352</v>
      </c>
      <c r="Q2386" s="413"/>
      <c r="W2386" s="413"/>
    </row>
    <row r="2387" spans="5:23" ht="24" customHeight="1">
      <c r="F2387" s="414">
        <v>500</v>
      </c>
      <c r="G2387" s="414" t="s">
        <v>1130</v>
      </c>
      <c r="H2387" s="426" t="s">
        <v>1745</v>
      </c>
      <c r="I2387" s="414">
        <v>2</v>
      </c>
      <c r="J2387" s="412" t="s">
        <v>701</v>
      </c>
      <c r="K2387" s="414">
        <f t="shared" si="251"/>
        <v>1000</v>
      </c>
      <c r="O2387" s="412" t="s">
        <v>2210</v>
      </c>
      <c r="Q2387" s="413"/>
      <c r="W2387" s="413"/>
    </row>
    <row r="2388" spans="5:23" ht="24" customHeight="1">
      <c r="F2388" s="414">
        <v>8.5</v>
      </c>
      <c r="G2388" s="414" t="s">
        <v>1746</v>
      </c>
      <c r="H2388" s="414" t="s">
        <v>2568</v>
      </c>
      <c r="I2388" s="414">
        <v>43.6</v>
      </c>
      <c r="J2388" s="412" t="s">
        <v>1746</v>
      </c>
      <c r="K2388" s="414">
        <f t="shared" si="251"/>
        <v>370.6</v>
      </c>
      <c r="O2388" s="412" t="s">
        <v>2211</v>
      </c>
      <c r="Q2388" s="413"/>
      <c r="W2388" s="413"/>
    </row>
    <row r="2389" spans="5:23" ht="24" customHeight="1">
      <c r="H2389" s="414" t="s">
        <v>1850</v>
      </c>
      <c r="K2389" s="423">
        <v>1.96</v>
      </c>
      <c r="O2389" s="412" t="s">
        <v>2212</v>
      </c>
      <c r="Q2389" s="413"/>
      <c r="W2389" s="413"/>
    </row>
    <row r="2390" spans="5:23" ht="24" customHeight="1">
      <c r="I2390" s="414" t="s">
        <v>1407</v>
      </c>
      <c r="K2390" s="414" t="e">
        <f>SUM(K2383:K2389)</f>
        <v>#REF!</v>
      </c>
      <c r="O2390" s="418" t="s">
        <v>1288</v>
      </c>
      <c r="P2390" s="418" t="s">
        <v>1288</v>
      </c>
      <c r="Q2390" s="413"/>
      <c r="W2390" s="413"/>
    </row>
    <row r="2391" spans="5:23" ht="24" customHeight="1">
      <c r="K2391" s="418" t="s">
        <v>1288</v>
      </c>
      <c r="M2391" s="414">
        <v>8</v>
      </c>
      <c r="N2391" s="414" t="s">
        <v>1524</v>
      </c>
      <c r="O2391" s="412" t="s">
        <v>2599</v>
      </c>
      <c r="P2391" s="423">
        <v>4.0999999999999996</v>
      </c>
      <c r="Q2391" s="413" t="s">
        <v>1134</v>
      </c>
      <c r="R2391" s="414">
        <f>P2391*M2391</f>
        <v>32.799999999999997</v>
      </c>
      <c r="W2391" s="413"/>
    </row>
    <row r="2392" spans="5:23" ht="24" customHeight="1">
      <c r="E2392" s="414">
        <f>23+26.65</f>
        <v>49.65</v>
      </c>
      <c r="I2392" s="414" t="s">
        <v>1408</v>
      </c>
      <c r="K2392" s="417" t="e">
        <f>K2390/39.2</f>
        <v>#REF!</v>
      </c>
      <c r="M2392" s="414">
        <v>8</v>
      </c>
      <c r="N2392" s="414" t="s">
        <v>1524</v>
      </c>
      <c r="O2392" s="412" t="s">
        <v>2213</v>
      </c>
      <c r="P2392" s="423">
        <v>3.69</v>
      </c>
      <c r="Q2392" s="413" t="s">
        <v>1134</v>
      </c>
      <c r="R2392" s="414">
        <f>P2392*M2392</f>
        <v>29.52</v>
      </c>
      <c r="W2392" s="413"/>
    </row>
    <row r="2393" spans="5:23" ht="24" customHeight="1">
      <c r="E2393" s="414">
        <f>E2392/2</f>
        <v>24.83</v>
      </c>
      <c r="K2393" s="418" t="s">
        <v>1676</v>
      </c>
      <c r="M2393" s="414">
        <v>8</v>
      </c>
      <c r="N2393" s="414" t="s">
        <v>1524</v>
      </c>
      <c r="O2393" s="412" t="s">
        <v>2214</v>
      </c>
      <c r="P2393" s="423">
        <v>4.0999999999999996</v>
      </c>
      <c r="Q2393" s="413" t="s">
        <v>1134</v>
      </c>
      <c r="R2393" s="414">
        <f>P2393*M2393</f>
        <v>32.799999999999997</v>
      </c>
      <c r="W2393" s="413"/>
    </row>
    <row r="2394" spans="5:23" ht="24" customHeight="1">
      <c r="M2394" s="414">
        <v>0.75</v>
      </c>
      <c r="N2394" s="414" t="s">
        <v>1341</v>
      </c>
      <c r="O2394" s="412" t="s">
        <v>2215</v>
      </c>
      <c r="P2394" s="414">
        <v>176.4</v>
      </c>
      <c r="Q2394" s="413" t="s">
        <v>1134</v>
      </c>
      <c r="R2394" s="414">
        <f t="shared" ref="R2394:R2399" si="252">(M2394*P2394)</f>
        <v>132.30000000000001</v>
      </c>
      <c r="W2394" s="413"/>
    </row>
    <row r="2395" spans="5:23" ht="24" hidden="1" customHeight="1">
      <c r="M2395" s="414">
        <v>2.25</v>
      </c>
      <c r="N2395" s="414" t="s">
        <v>2216</v>
      </c>
      <c r="O2395" s="412" t="s">
        <v>2217</v>
      </c>
      <c r="P2395" s="414">
        <v>140.41</v>
      </c>
      <c r="Q2395" s="413" t="s">
        <v>2216</v>
      </c>
      <c r="R2395" s="414">
        <f t="shared" si="252"/>
        <v>315.92</v>
      </c>
      <c r="W2395" s="413"/>
    </row>
    <row r="2396" spans="5:23" ht="24" hidden="1" customHeight="1">
      <c r="H2396" s="417" t="s">
        <v>790</v>
      </c>
      <c r="M2396" s="414">
        <v>4.5</v>
      </c>
      <c r="N2396" s="414" t="s">
        <v>2216</v>
      </c>
      <c r="O2396" s="412" t="s">
        <v>2218</v>
      </c>
      <c r="P2396" s="414">
        <v>65</v>
      </c>
      <c r="Q2396" s="413" t="s">
        <v>2216</v>
      </c>
      <c r="R2396" s="414">
        <f t="shared" si="252"/>
        <v>292.5</v>
      </c>
      <c r="W2396" s="413"/>
    </row>
    <row r="2397" spans="5:23" ht="34.5" customHeight="1">
      <c r="F2397" s="414">
        <v>1</v>
      </c>
      <c r="G2397" s="414" t="s">
        <v>1130</v>
      </c>
      <c r="H2397" s="431" t="s">
        <v>3186</v>
      </c>
      <c r="I2397" s="414">
        <v>454.5</v>
      </c>
      <c r="J2397" s="412" t="s">
        <v>701</v>
      </c>
      <c r="K2397" s="414">
        <f>(F2397*I2397)</f>
        <v>454.5</v>
      </c>
      <c r="M2397" s="414">
        <v>6</v>
      </c>
      <c r="N2397" s="414" t="s">
        <v>1524</v>
      </c>
      <c r="O2397" s="412" t="s">
        <v>2219</v>
      </c>
      <c r="P2397" s="414">
        <v>8</v>
      </c>
      <c r="Q2397" s="413" t="s">
        <v>1134</v>
      </c>
      <c r="R2397" s="414">
        <f t="shared" si="252"/>
        <v>48</v>
      </c>
      <c r="W2397" s="413"/>
    </row>
    <row r="2398" spans="5:23" ht="24" customHeight="1">
      <c r="F2398" s="414">
        <v>0.25</v>
      </c>
      <c r="G2398" s="414" t="s">
        <v>1130</v>
      </c>
      <c r="H2398" s="414" t="s">
        <v>278</v>
      </c>
      <c r="I2398" s="414">
        <f>I2384</f>
        <v>999</v>
      </c>
      <c r="J2398" s="412" t="s">
        <v>701</v>
      </c>
      <c r="K2398" s="414">
        <f>(F2398*I2398)</f>
        <v>249.75</v>
      </c>
      <c r="M2398" s="414">
        <v>6</v>
      </c>
      <c r="N2398" s="414" t="s">
        <v>1524</v>
      </c>
      <c r="O2398" s="412" t="s">
        <v>2220</v>
      </c>
      <c r="P2398" s="414">
        <v>8.61</v>
      </c>
      <c r="Q2398" s="413" t="s">
        <v>1134</v>
      </c>
      <c r="R2398" s="414">
        <f t="shared" si="252"/>
        <v>51.66</v>
      </c>
      <c r="W2398" s="413"/>
    </row>
    <row r="2399" spans="5:23" ht="24" customHeight="1">
      <c r="F2399" s="414">
        <v>0.28000000000000003</v>
      </c>
      <c r="G2399" s="414" t="s">
        <v>1861</v>
      </c>
      <c r="H2399" s="414" t="s">
        <v>525</v>
      </c>
      <c r="I2399" s="414">
        <f>C12</f>
        <v>651</v>
      </c>
      <c r="J2399" s="412" t="s">
        <v>701</v>
      </c>
      <c r="K2399" s="414">
        <f>(F2399*I2399)</f>
        <v>182.28</v>
      </c>
      <c r="M2399" s="414">
        <v>4</v>
      </c>
      <c r="N2399" s="414" t="s">
        <v>1524</v>
      </c>
      <c r="O2399" s="412" t="s">
        <v>2221</v>
      </c>
      <c r="P2399" s="414">
        <v>8.61</v>
      </c>
      <c r="Q2399" s="413" t="s">
        <v>1134</v>
      </c>
      <c r="R2399" s="414">
        <f t="shared" si="252"/>
        <v>34.44</v>
      </c>
      <c r="W2399" s="413"/>
    </row>
    <row r="2400" spans="5:23" ht="24" hidden="1" customHeight="1">
      <c r="H2400" s="426"/>
      <c r="M2400" s="414">
        <v>300</v>
      </c>
      <c r="N2400" s="414" t="s">
        <v>2222</v>
      </c>
      <c r="O2400" s="412" t="s">
        <v>2223</v>
      </c>
      <c r="P2400" s="414">
        <v>30</v>
      </c>
      <c r="Q2400" s="413" t="s">
        <v>2575</v>
      </c>
      <c r="R2400" s="414">
        <f>P2400*M2400/100</f>
        <v>90</v>
      </c>
      <c r="W2400" s="413"/>
    </row>
    <row r="2401" spans="6:23" ht="24" hidden="1" customHeight="1">
      <c r="M2401" s="414">
        <v>300</v>
      </c>
      <c r="N2401" s="414" t="s">
        <v>2222</v>
      </c>
      <c r="O2401" s="412" t="s">
        <v>2224</v>
      </c>
      <c r="P2401" s="414">
        <v>44.99</v>
      </c>
      <c r="Q2401" s="413" t="s">
        <v>2576</v>
      </c>
      <c r="R2401" s="414">
        <f>P2401*M2401/500</f>
        <v>26.99</v>
      </c>
      <c r="W2401" s="413"/>
    </row>
    <row r="2402" spans="6:23" ht="24" customHeight="1">
      <c r="K2402" s="479" t="s">
        <v>119</v>
      </c>
      <c r="M2402" s="414">
        <v>1.5</v>
      </c>
      <c r="N2402" s="414" t="s">
        <v>1341</v>
      </c>
      <c r="O2402" s="412" t="s">
        <v>2225</v>
      </c>
      <c r="P2402" s="414">
        <v>20.95</v>
      </c>
      <c r="Q2402" s="413" t="s">
        <v>1341</v>
      </c>
      <c r="R2402" s="414">
        <f>P2402*M2402</f>
        <v>31.43</v>
      </c>
      <c r="W2402" s="413"/>
    </row>
    <row r="2403" spans="6:23" ht="24" customHeight="1">
      <c r="K2403" s="417">
        <f>SUM(K2397:K2402)</f>
        <v>886.53</v>
      </c>
      <c r="M2403" s="414">
        <v>2.25</v>
      </c>
      <c r="N2403" s="414" t="s">
        <v>2216</v>
      </c>
      <c r="O2403" s="412" t="s">
        <v>2600</v>
      </c>
      <c r="P2403" s="414">
        <v>212.41</v>
      </c>
      <c r="Q2403" s="413" t="s">
        <v>2216</v>
      </c>
      <c r="R2403" s="414">
        <f>(M2403*P2403)</f>
        <v>477.92</v>
      </c>
      <c r="W2403" s="413"/>
    </row>
    <row r="2404" spans="6:23" ht="24" customHeight="1">
      <c r="K2404" s="479" t="s">
        <v>119</v>
      </c>
      <c r="M2404" s="414">
        <v>0.75</v>
      </c>
      <c r="N2404" s="414" t="s">
        <v>2216</v>
      </c>
      <c r="O2404" s="412" t="s">
        <v>2226</v>
      </c>
      <c r="P2404" s="414">
        <v>205.21</v>
      </c>
      <c r="Q2404" s="413" t="s">
        <v>2216</v>
      </c>
      <c r="R2404" s="414">
        <f>(M2404*P2404)</f>
        <v>153.91</v>
      </c>
      <c r="W2404" s="413"/>
    </row>
    <row r="2405" spans="6:23" ht="24" customHeight="1">
      <c r="M2405" s="414">
        <v>2.25</v>
      </c>
      <c r="N2405" s="414" t="s">
        <v>2216</v>
      </c>
      <c r="O2405" s="412" t="s">
        <v>2227</v>
      </c>
      <c r="P2405" s="414">
        <v>185.21</v>
      </c>
      <c r="Q2405" s="413" t="s">
        <v>2216</v>
      </c>
      <c r="R2405" s="414">
        <f>(M2405*P2405)</f>
        <v>416.72</v>
      </c>
      <c r="W2405" s="413"/>
    </row>
    <row r="2406" spans="6:23" ht="24" hidden="1" customHeight="1">
      <c r="M2406" s="414">
        <v>500</v>
      </c>
      <c r="N2406" s="414" t="s">
        <v>2222</v>
      </c>
      <c r="O2406" s="412" t="s">
        <v>2228</v>
      </c>
      <c r="P2406" s="414">
        <v>52.25</v>
      </c>
      <c r="Q2406" s="413" t="s">
        <v>1341</v>
      </c>
      <c r="R2406" s="414">
        <f>(M2406*P2406)/1000</f>
        <v>26.13</v>
      </c>
      <c r="W2406" s="413"/>
    </row>
    <row r="2407" spans="6:23" ht="24" customHeight="1">
      <c r="H2407" s="417" t="s">
        <v>1728</v>
      </c>
      <c r="M2407" s="414">
        <v>1</v>
      </c>
      <c r="N2407" s="414" t="s">
        <v>1524</v>
      </c>
      <c r="O2407" s="412" t="s">
        <v>2229</v>
      </c>
      <c r="P2407" s="414">
        <v>131.21</v>
      </c>
      <c r="Q2407" s="413" t="s">
        <v>2577</v>
      </c>
      <c r="R2407" s="414">
        <f>P2407/1</f>
        <v>131.21</v>
      </c>
      <c r="W2407" s="413"/>
    </row>
    <row r="2408" spans="6:23" ht="24" customHeight="1">
      <c r="F2408" s="414">
        <v>1</v>
      </c>
      <c r="G2408" s="414" t="s">
        <v>1130</v>
      </c>
      <c r="H2408" s="414" t="s">
        <v>2592</v>
      </c>
      <c r="I2408" s="414">
        <f>C619</f>
        <v>940</v>
      </c>
      <c r="J2408" s="412" t="s">
        <v>701</v>
      </c>
      <c r="K2408" s="414">
        <f>(F2408*I2408)</f>
        <v>940</v>
      </c>
      <c r="M2408" s="414">
        <v>1</v>
      </c>
      <c r="N2408" s="414" t="s">
        <v>1524</v>
      </c>
      <c r="O2408" s="412" t="s">
        <v>2230</v>
      </c>
      <c r="P2408" s="414">
        <v>12.3</v>
      </c>
      <c r="Q2408" s="413" t="s">
        <v>2577</v>
      </c>
      <c r="R2408" s="414">
        <f>P2408/1</f>
        <v>12.3</v>
      </c>
      <c r="W2408" s="413"/>
    </row>
    <row r="2409" spans="6:23" ht="24" customHeight="1">
      <c r="F2409" s="414">
        <v>0.5</v>
      </c>
      <c r="G2409" s="414" t="s">
        <v>1130</v>
      </c>
      <c r="H2409" s="414" t="s">
        <v>1679</v>
      </c>
      <c r="I2409" s="414">
        <f>C15</f>
        <v>866</v>
      </c>
      <c r="J2409" s="412" t="s">
        <v>701</v>
      </c>
      <c r="K2409" s="414">
        <f>(F2409*I2409)</f>
        <v>433</v>
      </c>
      <c r="M2409" s="414">
        <v>4</v>
      </c>
      <c r="N2409" s="414" t="s">
        <v>1524</v>
      </c>
      <c r="O2409" s="412" t="s">
        <v>2231</v>
      </c>
      <c r="P2409" s="414">
        <f>AE13</f>
        <v>797</v>
      </c>
      <c r="Q2409" s="413" t="s">
        <v>1134</v>
      </c>
      <c r="R2409" s="414">
        <f>(M2409*P2409)</f>
        <v>3188</v>
      </c>
      <c r="W2409" s="413"/>
    </row>
    <row r="2410" spans="6:23" ht="24" customHeight="1">
      <c r="F2410" s="414">
        <v>0.5</v>
      </c>
      <c r="G2410" s="414" t="s">
        <v>1130</v>
      </c>
      <c r="H2410" s="414" t="s">
        <v>278</v>
      </c>
      <c r="I2410" s="414">
        <f>I2398</f>
        <v>999</v>
      </c>
      <c r="J2410" s="412" t="s">
        <v>701</v>
      </c>
      <c r="K2410" s="414">
        <f>(F2410*I2410)</f>
        <v>499.5</v>
      </c>
      <c r="M2410" s="414">
        <v>2</v>
      </c>
      <c r="N2410" s="414" t="s">
        <v>1524</v>
      </c>
      <c r="O2410" s="412" t="s">
        <v>2232</v>
      </c>
      <c r="P2410" s="414">
        <f>AE14</f>
        <v>772</v>
      </c>
      <c r="Q2410" s="413" t="s">
        <v>1134</v>
      </c>
      <c r="R2410" s="414">
        <f>(M2410*P2410)</f>
        <v>1544</v>
      </c>
      <c r="W2410" s="413"/>
    </row>
    <row r="2411" spans="6:23" ht="24" customHeight="1">
      <c r="F2411" s="414">
        <v>0.5</v>
      </c>
      <c r="G2411" s="414" t="s">
        <v>1861</v>
      </c>
      <c r="H2411" s="414" t="s">
        <v>525</v>
      </c>
      <c r="I2411" s="414">
        <f>I2399</f>
        <v>651</v>
      </c>
      <c r="J2411" s="412" t="s">
        <v>701</v>
      </c>
      <c r="K2411" s="414">
        <f>(F2411*I2411)</f>
        <v>325.5</v>
      </c>
      <c r="M2411" s="414">
        <v>2</v>
      </c>
      <c r="N2411" s="414" t="s">
        <v>1524</v>
      </c>
      <c r="O2411" s="412" t="s">
        <v>2233</v>
      </c>
      <c r="P2411" s="414">
        <f>AE12</f>
        <v>534</v>
      </c>
      <c r="Q2411" s="413" t="s">
        <v>1134</v>
      </c>
      <c r="R2411" s="414">
        <f>(M2411*P2411)</f>
        <v>1068</v>
      </c>
      <c r="W2411" s="413"/>
    </row>
    <row r="2412" spans="6:23" ht="24" customHeight="1">
      <c r="H2412" s="414" t="s">
        <v>233</v>
      </c>
      <c r="J2412" s="413" t="s">
        <v>49</v>
      </c>
      <c r="K2412" s="414">
        <v>0.25</v>
      </c>
      <c r="O2412" s="412" t="s">
        <v>2234</v>
      </c>
      <c r="Q2412" s="413"/>
      <c r="R2412" s="414">
        <v>20</v>
      </c>
      <c r="W2412" s="413"/>
    </row>
    <row r="2413" spans="6:23" ht="24" customHeight="1">
      <c r="Q2413" s="412"/>
      <c r="R2413" s="429" t="s">
        <v>2235</v>
      </c>
      <c r="W2413" s="413"/>
    </row>
    <row r="2414" spans="6:23" ht="24" customHeight="1">
      <c r="K2414" s="479" t="s">
        <v>119</v>
      </c>
      <c r="O2414" s="412" t="s">
        <v>4353</v>
      </c>
      <c r="Q2414" s="412"/>
      <c r="R2414" s="414">
        <f>SUM(R2391:R2413)</f>
        <v>8156.55</v>
      </c>
      <c r="W2414" s="413"/>
    </row>
    <row r="2415" spans="6:23" ht="24" customHeight="1">
      <c r="K2415" s="417">
        <f>SUM(K2408:K2414)</f>
        <v>2198.25</v>
      </c>
      <c r="O2415" s="417"/>
      <c r="P2415" s="417"/>
      <c r="Q2415" s="415"/>
      <c r="R2415" s="418" t="s">
        <v>1676</v>
      </c>
      <c r="W2415" s="413"/>
    </row>
    <row r="2416" spans="6:23" ht="24" customHeight="1">
      <c r="K2416" s="479" t="s">
        <v>119</v>
      </c>
      <c r="O2416" s="417" t="s">
        <v>2018</v>
      </c>
      <c r="P2416" s="417"/>
      <c r="Q2416" s="415"/>
      <c r="R2416" s="419">
        <f>R2414/5.67</f>
        <v>1438.54</v>
      </c>
      <c r="W2416" s="413"/>
    </row>
    <row r="2417" spans="6:23" ht="24" customHeight="1">
      <c r="K2417" s="413"/>
      <c r="W2417" s="413"/>
    </row>
    <row r="2418" spans="6:23" ht="24" hidden="1" customHeight="1">
      <c r="K2418" s="413"/>
      <c r="W2418" s="413"/>
    </row>
    <row r="2419" spans="6:23" ht="24" hidden="1" customHeight="1">
      <c r="K2419" s="413"/>
      <c r="W2419" s="413"/>
    </row>
    <row r="2420" spans="6:23" ht="24" customHeight="1">
      <c r="F2420" s="413" t="s">
        <v>755</v>
      </c>
      <c r="G2420" s="413"/>
      <c r="H2420" s="1234" t="s">
        <v>268</v>
      </c>
      <c r="I2420" s="1234"/>
      <c r="J2420" s="1234"/>
      <c r="K2420" s="1234"/>
      <c r="W2420" s="413"/>
    </row>
    <row r="2421" spans="6:23" ht="24" customHeight="1">
      <c r="F2421" s="413"/>
      <c r="G2421" s="413"/>
      <c r="H2421" s="413"/>
      <c r="I2421" s="413"/>
      <c r="W2421" s="413"/>
    </row>
    <row r="2422" spans="6:23" ht="24" customHeight="1">
      <c r="F2422" s="414">
        <v>10.5</v>
      </c>
      <c r="G2422" s="414" t="s">
        <v>1861</v>
      </c>
      <c r="H2422" s="1230" t="s">
        <v>3015</v>
      </c>
      <c r="I2422" s="414">
        <v>318</v>
      </c>
      <c r="J2422" s="412" t="s">
        <v>1861</v>
      </c>
      <c r="K2422" s="414">
        <f>(F2422*I2422)</f>
        <v>3339</v>
      </c>
      <c r="W2422" s="413"/>
    </row>
    <row r="2423" spans="6:23" ht="30" customHeight="1">
      <c r="H2423" s="1230"/>
      <c r="I2423" s="412" t="s">
        <v>790</v>
      </c>
      <c r="K2423" s="412" t="s">
        <v>790</v>
      </c>
      <c r="W2423" s="413"/>
    </row>
    <row r="2424" spans="6:23" ht="24" customHeight="1">
      <c r="F2424" s="414">
        <v>0.22</v>
      </c>
      <c r="G2424" s="414" t="s">
        <v>702</v>
      </c>
      <c r="H2424" s="412" t="s">
        <v>1527</v>
      </c>
      <c r="I2424" s="414" t="e">
        <f>K32</f>
        <v>#REF!</v>
      </c>
      <c r="J2424" s="412" t="s">
        <v>702</v>
      </c>
      <c r="K2424" s="414" t="e">
        <f>(F2424*I2424)</f>
        <v>#REF!</v>
      </c>
      <c r="W2424" s="413"/>
    </row>
    <row r="2425" spans="6:23" ht="24" customHeight="1">
      <c r="F2425" s="414">
        <v>64</v>
      </c>
      <c r="G2425" s="414" t="s">
        <v>1341</v>
      </c>
      <c r="H2425" s="412" t="s">
        <v>269</v>
      </c>
      <c r="I2425" s="414" t="e">
        <f>C67</f>
        <v>#REF!</v>
      </c>
      <c r="J2425" s="412" t="s">
        <v>270</v>
      </c>
      <c r="K2425" s="414" t="e">
        <f>I2425*F2425/1000</f>
        <v>#REF!</v>
      </c>
      <c r="W2425" s="413"/>
    </row>
    <row r="2426" spans="6:23" ht="24" customHeight="1">
      <c r="F2426" s="414">
        <v>4.5</v>
      </c>
      <c r="G2426" s="414" t="s">
        <v>1341</v>
      </c>
      <c r="H2426" s="412" t="s">
        <v>2593</v>
      </c>
      <c r="I2426" s="414">
        <f>C608</f>
        <v>24.93</v>
      </c>
      <c r="J2426" s="412" t="s">
        <v>1341</v>
      </c>
      <c r="K2426" s="414">
        <f>F2426*I2426</f>
        <v>112.19</v>
      </c>
      <c r="W2426" s="413"/>
    </row>
    <row r="2427" spans="6:23" ht="24" customHeight="1">
      <c r="F2427" s="414">
        <v>5.4</v>
      </c>
      <c r="G2427" s="414" t="s">
        <v>619</v>
      </c>
      <c r="H2427" s="412" t="s">
        <v>271</v>
      </c>
      <c r="I2427" s="414">
        <f>C11</f>
        <v>932</v>
      </c>
      <c r="J2427" s="412" t="s">
        <v>619</v>
      </c>
      <c r="K2427" s="414">
        <f>(F2427*I2427)</f>
        <v>5032.8</v>
      </c>
      <c r="M2427" s="413" t="s">
        <v>755</v>
      </c>
      <c r="N2427" s="413"/>
      <c r="O2427" s="1240" t="s">
        <v>1958</v>
      </c>
      <c r="P2427" s="1240"/>
      <c r="Q2427" s="1240"/>
      <c r="R2427" s="1240"/>
      <c r="W2427" s="413"/>
    </row>
    <row r="2428" spans="6:23" ht="24" customHeight="1">
      <c r="F2428" s="414">
        <v>2.16</v>
      </c>
      <c r="G2428" s="414" t="s">
        <v>619</v>
      </c>
      <c r="H2428" s="412" t="s">
        <v>272</v>
      </c>
      <c r="I2428" s="414">
        <f>C12</f>
        <v>651</v>
      </c>
      <c r="J2428" s="412" t="s">
        <v>619</v>
      </c>
      <c r="K2428" s="414">
        <f>(F2428*I2428)</f>
        <v>1406.16</v>
      </c>
      <c r="M2428" s="413"/>
      <c r="N2428" s="413"/>
      <c r="O2428" s="413"/>
      <c r="P2428" s="413"/>
      <c r="Q2428" s="412"/>
      <c r="W2428" s="413"/>
    </row>
    <row r="2429" spans="6:23" ht="24" customHeight="1">
      <c r="F2429" s="414">
        <v>6.5</v>
      </c>
      <c r="G2429" s="414" t="s">
        <v>619</v>
      </c>
      <c r="H2429" s="412" t="s">
        <v>993</v>
      </c>
      <c r="I2429" s="414">
        <f>C13</f>
        <v>534</v>
      </c>
      <c r="J2429" s="412" t="s">
        <v>619</v>
      </c>
      <c r="K2429" s="414">
        <f>(F2429*I2429)</f>
        <v>3471</v>
      </c>
      <c r="M2429" s="414">
        <v>10.5</v>
      </c>
      <c r="N2429" s="414" t="s">
        <v>1861</v>
      </c>
      <c r="O2429" s="1230" t="s">
        <v>3016</v>
      </c>
      <c r="P2429" s="414">
        <v>484</v>
      </c>
      <c r="Q2429" s="412" t="s">
        <v>1861</v>
      </c>
      <c r="R2429" s="414">
        <f>(M2429*P2429)</f>
        <v>5082</v>
      </c>
      <c r="W2429" s="413"/>
    </row>
    <row r="2430" spans="6:23" ht="24" customHeight="1">
      <c r="H2430" s="412"/>
      <c r="J2430" s="412" t="s">
        <v>619</v>
      </c>
      <c r="K2430" s="414">
        <v>0</v>
      </c>
      <c r="O2430" s="1230"/>
      <c r="P2430" s="412" t="s">
        <v>790</v>
      </c>
      <c r="Q2430" s="412"/>
      <c r="R2430" s="412" t="s">
        <v>790</v>
      </c>
      <c r="W2430" s="413"/>
    </row>
    <row r="2431" spans="6:23" ht="24" customHeight="1">
      <c r="F2431" s="416"/>
      <c r="M2431" s="414">
        <v>0.22</v>
      </c>
      <c r="N2431" s="414" t="s">
        <v>702</v>
      </c>
      <c r="O2431" s="412" t="s">
        <v>1527</v>
      </c>
      <c r="P2431" s="414" t="e">
        <f t="shared" ref="P2431:P2436" si="253">I2424</f>
        <v>#REF!</v>
      </c>
      <c r="Q2431" s="412" t="s">
        <v>702</v>
      </c>
      <c r="R2431" s="414" t="e">
        <f>(M2431*P2431)</f>
        <v>#REF!</v>
      </c>
      <c r="W2431" s="413"/>
    </row>
    <row r="2432" spans="6:23" ht="24" customHeight="1">
      <c r="H2432" s="415" t="s">
        <v>351</v>
      </c>
      <c r="K2432" s="479" t="s">
        <v>119</v>
      </c>
      <c r="M2432" s="414">
        <v>64</v>
      </c>
      <c r="N2432" s="414" t="s">
        <v>1341</v>
      </c>
      <c r="O2432" s="412" t="s">
        <v>269</v>
      </c>
      <c r="P2432" s="414" t="e">
        <f t="shared" si="253"/>
        <v>#REF!</v>
      </c>
      <c r="Q2432" s="412" t="s">
        <v>270</v>
      </c>
      <c r="R2432" s="414" t="e">
        <f>P2432*M2432/1000</f>
        <v>#REF!</v>
      </c>
      <c r="W2432" s="413"/>
    </row>
    <row r="2433" spans="6:23" ht="24" customHeight="1">
      <c r="H2433" s="415"/>
      <c r="K2433" s="417" t="e">
        <f>SUM(K2422:K2430)</f>
        <v>#REF!</v>
      </c>
      <c r="M2433" s="414">
        <v>4.5</v>
      </c>
      <c r="N2433" s="414" t="s">
        <v>1341</v>
      </c>
      <c r="O2433" s="412" t="s">
        <v>1979</v>
      </c>
      <c r="P2433" s="414">
        <f t="shared" si="253"/>
        <v>24.93</v>
      </c>
      <c r="Q2433" s="412" t="s">
        <v>1341</v>
      </c>
      <c r="R2433" s="414">
        <f>M2433*P2433</f>
        <v>112.19</v>
      </c>
      <c r="W2433" s="413"/>
    </row>
    <row r="2434" spans="6:23" ht="24" customHeight="1">
      <c r="H2434" s="415"/>
      <c r="K2434" s="480" t="s">
        <v>994</v>
      </c>
      <c r="M2434" s="414">
        <v>5.4</v>
      </c>
      <c r="N2434" s="414" t="s">
        <v>619</v>
      </c>
      <c r="O2434" s="412" t="s">
        <v>271</v>
      </c>
      <c r="P2434" s="414">
        <f t="shared" si="253"/>
        <v>932</v>
      </c>
      <c r="Q2434" s="412" t="s">
        <v>619</v>
      </c>
      <c r="R2434" s="414">
        <f>(M2434*P2434)</f>
        <v>5032.8</v>
      </c>
      <c r="W2434" s="413"/>
    </row>
    <row r="2435" spans="6:23" ht="24" customHeight="1">
      <c r="F2435" s="412"/>
      <c r="H2435" s="415" t="s">
        <v>447</v>
      </c>
      <c r="I2435" s="412"/>
      <c r="K2435" s="419" t="e">
        <f>K2433/10</f>
        <v>#REF!</v>
      </c>
      <c r="M2435" s="414">
        <v>2.16</v>
      </c>
      <c r="N2435" s="414" t="s">
        <v>619</v>
      </c>
      <c r="O2435" s="412" t="s">
        <v>272</v>
      </c>
      <c r="P2435" s="414">
        <f t="shared" si="253"/>
        <v>651</v>
      </c>
      <c r="Q2435" s="412" t="s">
        <v>619</v>
      </c>
      <c r="R2435" s="414">
        <f>(M2435*P2435)</f>
        <v>1406.16</v>
      </c>
      <c r="W2435" s="413"/>
    </row>
    <row r="2436" spans="6:23" ht="24" customHeight="1">
      <c r="K2436" s="429" t="s">
        <v>119</v>
      </c>
      <c r="M2436" s="414">
        <v>6.5</v>
      </c>
      <c r="N2436" s="414" t="s">
        <v>619</v>
      </c>
      <c r="O2436" s="412" t="s">
        <v>993</v>
      </c>
      <c r="P2436" s="414">
        <f t="shared" si="253"/>
        <v>534</v>
      </c>
      <c r="Q2436" s="412" t="s">
        <v>619</v>
      </c>
      <c r="R2436" s="414">
        <f>(M2436*P2436)</f>
        <v>3471</v>
      </c>
      <c r="W2436" s="413"/>
    </row>
    <row r="2437" spans="6:23" ht="24" hidden="1" customHeight="1">
      <c r="O2437" s="412"/>
      <c r="Q2437" s="412" t="s">
        <v>619</v>
      </c>
      <c r="R2437" s="414">
        <f>(M2437*P2437)</f>
        <v>0</v>
      </c>
      <c r="W2437" s="413"/>
    </row>
    <row r="2438" spans="6:23" ht="24" customHeight="1">
      <c r="M2438" s="416"/>
      <c r="Q2438" s="412"/>
      <c r="W2438" s="413"/>
    </row>
    <row r="2439" spans="6:23" ht="24" customHeight="1">
      <c r="H2439" s="415" t="s">
        <v>995</v>
      </c>
      <c r="O2439" s="415" t="s">
        <v>351</v>
      </c>
      <c r="Q2439" s="412"/>
      <c r="R2439" s="479" t="s">
        <v>119</v>
      </c>
      <c r="W2439" s="413"/>
    </row>
    <row r="2440" spans="6:23" ht="24" customHeight="1">
      <c r="O2440" s="415"/>
      <c r="Q2440" s="412"/>
      <c r="R2440" s="417" t="e">
        <f>SUM(R2429:R2437)</f>
        <v>#REF!</v>
      </c>
      <c r="W2440" s="413"/>
    </row>
    <row r="2441" spans="6:23" ht="24" customHeight="1">
      <c r="F2441" s="414">
        <v>10</v>
      </c>
      <c r="G2441" s="414" t="s">
        <v>1861</v>
      </c>
      <c r="H2441" s="412" t="s">
        <v>171</v>
      </c>
      <c r="I2441" s="414" t="e">
        <f>K1213</f>
        <v>#REF!</v>
      </c>
      <c r="J2441" s="412" t="s">
        <v>1861</v>
      </c>
      <c r="K2441" s="414" t="e">
        <f>F2441*I2441</f>
        <v>#REF!</v>
      </c>
      <c r="O2441" s="415"/>
      <c r="Q2441" s="412"/>
      <c r="R2441" s="480" t="s">
        <v>994</v>
      </c>
      <c r="W2441" s="413"/>
    </row>
    <row r="2442" spans="6:23" ht="24" customHeight="1">
      <c r="F2442" s="414">
        <v>9.8000000000000007</v>
      </c>
      <c r="G2442" s="414" t="s">
        <v>1341</v>
      </c>
      <c r="H2442" s="414" t="s">
        <v>2304</v>
      </c>
      <c r="I2442" s="414">
        <f>C148</f>
        <v>145.19999999999999</v>
      </c>
      <c r="J2442" s="412" t="s">
        <v>1341</v>
      </c>
      <c r="K2442" s="414">
        <f>F2442*I2442</f>
        <v>1422.96</v>
      </c>
      <c r="M2442" s="412"/>
      <c r="O2442" s="415" t="s">
        <v>447</v>
      </c>
      <c r="P2442" s="412"/>
      <c r="Q2442" s="412"/>
      <c r="R2442" s="419" t="e">
        <f>R2440/10</f>
        <v>#REF!</v>
      </c>
      <c r="W2442" s="413"/>
    </row>
    <row r="2443" spans="6:23" ht="24" customHeight="1">
      <c r="F2443" s="414">
        <v>1.1000000000000001</v>
      </c>
      <c r="G2443" s="414" t="s">
        <v>1524</v>
      </c>
      <c r="H2443" s="412" t="s">
        <v>1637</v>
      </c>
      <c r="I2443" s="414">
        <f>I2410</f>
        <v>999</v>
      </c>
      <c r="J2443" s="412" t="s">
        <v>1134</v>
      </c>
      <c r="K2443" s="414">
        <f>F2443*I2443</f>
        <v>1098.9000000000001</v>
      </c>
      <c r="Q2443" s="412"/>
      <c r="R2443" s="429" t="s">
        <v>119</v>
      </c>
      <c r="W2443" s="413"/>
    </row>
    <row r="2444" spans="6:23" ht="24" customHeight="1">
      <c r="H2444" s="414" t="s">
        <v>1850</v>
      </c>
      <c r="K2444" s="414">
        <v>0.2</v>
      </c>
      <c r="W2444" s="413"/>
    </row>
    <row r="2445" spans="6:23" ht="24" customHeight="1">
      <c r="K2445" s="418" t="s">
        <v>1676</v>
      </c>
      <c r="O2445" s="417" t="s">
        <v>759</v>
      </c>
      <c r="Q2445" s="412"/>
      <c r="W2445" s="413"/>
    </row>
    <row r="2446" spans="6:23" ht="24" customHeight="1">
      <c r="F2446" s="412" t="s">
        <v>790</v>
      </c>
      <c r="H2446" s="415" t="s">
        <v>351</v>
      </c>
      <c r="K2446" s="417" t="e">
        <f>SUM(K2441:K2444)</f>
        <v>#REF!</v>
      </c>
      <c r="M2446" s="416">
        <v>7.0999999999999994E-2</v>
      </c>
      <c r="N2446" s="414" t="s">
        <v>288</v>
      </c>
      <c r="O2446" s="414" t="s">
        <v>760</v>
      </c>
      <c r="P2446" s="414" t="e">
        <f>Z718</f>
        <v>#REF!</v>
      </c>
      <c r="Q2446" s="412" t="s">
        <v>289</v>
      </c>
      <c r="R2446" s="414" t="e">
        <f>P2446*M2446</f>
        <v>#REF!</v>
      </c>
      <c r="W2446" s="413"/>
    </row>
    <row r="2447" spans="6:23" ht="24" customHeight="1">
      <c r="K2447" s="429" t="s">
        <v>119</v>
      </c>
      <c r="M2447" s="414">
        <v>1</v>
      </c>
      <c r="N2447" s="414" t="s">
        <v>1790</v>
      </c>
      <c r="O2447" s="414" t="s">
        <v>736</v>
      </c>
      <c r="P2447" s="414">
        <f>I2342</f>
        <v>398.52</v>
      </c>
      <c r="Q2447" s="412" t="s">
        <v>1790</v>
      </c>
      <c r="R2447" s="414">
        <f>P2447*M2447</f>
        <v>398.52</v>
      </c>
      <c r="W2447" s="413"/>
    </row>
    <row r="2448" spans="6:23" ht="24" customHeight="1">
      <c r="F2448" s="412" t="s">
        <v>790</v>
      </c>
      <c r="H2448" s="415" t="s">
        <v>447</v>
      </c>
      <c r="K2448" s="419" t="e">
        <f>K2446/10</f>
        <v>#REF!</v>
      </c>
      <c r="M2448" s="414" t="s">
        <v>790</v>
      </c>
      <c r="O2448" s="414" t="s">
        <v>290</v>
      </c>
      <c r="Q2448" s="412"/>
      <c r="R2448" s="417" t="e">
        <f>SUM(R2446:R2447)</f>
        <v>#REF!</v>
      </c>
      <c r="W2448" s="413"/>
    </row>
    <row r="2449" spans="6:23" ht="24" customHeight="1">
      <c r="K2449" s="429" t="s">
        <v>119</v>
      </c>
      <c r="W2449" s="413"/>
    </row>
    <row r="2450" spans="6:23" ht="24" customHeight="1">
      <c r="W2450" s="413"/>
    </row>
    <row r="2451" spans="6:23" ht="24" hidden="1" customHeight="1">
      <c r="W2451" s="413"/>
    </row>
    <row r="2452" spans="6:23" ht="24" hidden="1" customHeight="1">
      <c r="W2452" s="413"/>
    </row>
    <row r="2453" spans="6:23" ht="24" hidden="1" customHeight="1">
      <c r="W2453" s="413"/>
    </row>
    <row r="2454" spans="6:23" ht="24" customHeight="1">
      <c r="H2454" s="417" t="s">
        <v>172</v>
      </c>
      <c r="W2454" s="413"/>
    </row>
    <row r="2455" spans="6:23" ht="24" customHeight="1">
      <c r="W2455" s="413"/>
    </row>
    <row r="2456" spans="6:23" ht="24" customHeight="1">
      <c r="F2456" s="412" t="s">
        <v>173</v>
      </c>
      <c r="G2456" s="412"/>
      <c r="H2456" s="412"/>
      <c r="I2456" s="414">
        <v>15.21</v>
      </c>
      <c r="J2456" s="412" t="s">
        <v>283</v>
      </c>
      <c r="W2456" s="413"/>
    </row>
    <row r="2457" spans="6:23" ht="24" customHeight="1">
      <c r="F2457" s="414" t="s">
        <v>174</v>
      </c>
      <c r="I2457" s="414">
        <v>22.61</v>
      </c>
      <c r="J2457" s="412" t="s">
        <v>283</v>
      </c>
      <c r="W2457" s="413"/>
    </row>
    <row r="2458" spans="6:23" ht="24" customHeight="1">
      <c r="F2458" s="414" t="s">
        <v>410</v>
      </c>
      <c r="I2458" s="414">
        <v>3.24</v>
      </c>
      <c r="J2458" s="412" t="s">
        <v>283</v>
      </c>
      <c r="W2458" s="413"/>
    </row>
    <row r="2459" spans="6:23" ht="24" customHeight="1">
      <c r="F2459" s="414" t="s">
        <v>411</v>
      </c>
      <c r="I2459" s="414">
        <v>2.16</v>
      </c>
      <c r="J2459" s="412" t="s">
        <v>283</v>
      </c>
      <c r="W2459" s="413"/>
    </row>
    <row r="2460" spans="6:23" ht="24" customHeight="1">
      <c r="W2460" s="413"/>
    </row>
    <row r="2461" spans="6:23" ht="24" customHeight="1">
      <c r="I2461" s="429" t="s">
        <v>119</v>
      </c>
      <c r="W2461" s="413"/>
    </row>
    <row r="2462" spans="6:23" ht="24" customHeight="1">
      <c r="I2462" s="414">
        <f>SUM(I2456:I2460)</f>
        <v>43.22</v>
      </c>
      <c r="W2462" s="413"/>
    </row>
    <row r="2463" spans="6:23" ht="24" customHeight="1">
      <c r="I2463" s="414" t="s">
        <v>1374</v>
      </c>
      <c r="W2463" s="413"/>
    </row>
    <row r="2464" spans="6:23" ht="24" hidden="1" customHeight="1">
      <c r="W2464" s="413"/>
    </row>
    <row r="2465" spans="6:23" ht="24" customHeight="1">
      <c r="W2465" s="413"/>
    </row>
    <row r="2466" spans="6:23" ht="24" customHeight="1">
      <c r="F2466" s="414">
        <v>43.22</v>
      </c>
      <c r="G2466" s="414" t="s">
        <v>1341</v>
      </c>
      <c r="H2466" s="414" t="s">
        <v>412</v>
      </c>
      <c r="I2466" s="414">
        <f>C660</f>
        <v>70.150000000000006</v>
      </c>
      <c r="J2466" s="412" t="s">
        <v>1341</v>
      </c>
      <c r="K2466" s="414">
        <f>I2466*F2466</f>
        <v>3031.88</v>
      </c>
      <c r="W2466" s="413"/>
    </row>
    <row r="2467" spans="6:23" ht="24" customHeight="1">
      <c r="F2467" s="414">
        <v>0.81</v>
      </c>
      <c r="G2467" s="414" t="s">
        <v>1861</v>
      </c>
      <c r="H2467" s="414" t="s">
        <v>1729</v>
      </c>
      <c r="I2467" s="414">
        <f>C199</f>
        <v>379.9</v>
      </c>
      <c r="J2467" s="412" t="s">
        <v>1861</v>
      </c>
      <c r="K2467" s="414">
        <f>I2467*F2467</f>
        <v>307.72000000000003</v>
      </c>
      <c r="W2467" s="413"/>
    </row>
    <row r="2468" spans="6:23" ht="24" customHeight="1">
      <c r="F2468" s="414">
        <v>0.81</v>
      </c>
      <c r="G2468" s="414" t="s">
        <v>1861</v>
      </c>
      <c r="H2468" s="414" t="s">
        <v>1586</v>
      </c>
      <c r="I2468" s="414">
        <f>D199</f>
        <v>116.55</v>
      </c>
      <c r="J2468" s="412" t="s">
        <v>1861</v>
      </c>
      <c r="K2468" s="414">
        <f>I2468*F2468</f>
        <v>94.41</v>
      </c>
      <c r="W2468" s="413"/>
    </row>
    <row r="2469" spans="6:23" ht="24" customHeight="1">
      <c r="H2469" s="414" t="s">
        <v>414</v>
      </c>
      <c r="I2469" s="414">
        <f>46.61</f>
        <v>46.61</v>
      </c>
      <c r="J2469" s="412" t="s">
        <v>358</v>
      </c>
      <c r="K2469" s="414">
        <f>I2469</f>
        <v>46.61</v>
      </c>
      <c r="W2469" s="413"/>
    </row>
    <row r="2470" spans="6:23" ht="24" customHeight="1">
      <c r="K2470" s="429" t="s">
        <v>119</v>
      </c>
      <c r="W2470" s="413"/>
    </row>
    <row r="2471" spans="6:23" ht="24" customHeight="1">
      <c r="H2471" s="417" t="s">
        <v>415</v>
      </c>
      <c r="K2471" s="417">
        <f>SUM(K2466:K2469)</f>
        <v>3480.62</v>
      </c>
      <c r="W2471" s="413"/>
    </row>
    <row r="2472" spans="6:23" ht="24" customHeight="1">
      <c r="H2472" s="414">
        <f>0.6*1.35</f>
        <v>0.81</v>
      </c>
      <c r="K2472" s="429" t="s">
        <v>119</v>
      </c>
      <c r="W2472" s="413"/>
    </row>
    <row r="2473" spans="6:23" ht="24" customHeight="1">
      <c r="H2473" s="417" t="s">
        <v>409</v>
      </c>
      <c r="K2473" s="417">
        <f>K2471/H2472</f>
        <v>4297.0600000000004</v>
      </c>
      <c r="W2473" s="413"/>
    </row>
    <row r="2474" spans="6:23" ht="24" customHeight="1">
      <c r="W2474" s="413"/>
    </row>
    <row r="2475" spans="6:23" ht="24" customHeight="1">
      <c r="F2475" s="412" t="s">
        <v>1741</v>
      </c>
      <c r="G2475" s="412"/>
      <c r="H2475" s="412"/>
      <c r="I2475" s="414">
        <v>11.78</v>
      </c>
      <c r="J2475" s="412" t="s">
        <v>283</v>
      </c>
      <c r="W2475" s="413"/>
    </row>
    <row r="2476" spans="6:23" ht="24" customHeight="1">
      <c r="F2476" s="414" t="s">
        <v>1097</v>
      </c>
      <c r="I2476" s="414">
        <v>15.07</v>
      </c>
      <c r="J2476" s="412" t="s">
        <v>283</v>
      </c>
      <c r="W2476" s="413"/>
    </row>
    <row r="2477" spans="6:23" ht="24" customHeight="1">
      <c r="F2477" s="414" t="s">
        <v>1659</v>
      </c>
      <c r="I2477" s="414">
        <v>2.16</v>
      </c>
      <c r="J2477" s="412" t="s">
        <v>283</v>
      </c>
      <c r="W2477" s="413"/>
    </row>
    <row r="2478" spans="6:23" ht="24" customHeight="1">
      <c r="F2478" s="414" t="s">
        <v>411</v>
      </c>
      <c r="I2478" s="414">
        <v>2.16</v>
      </c>
      <c r="J2478" s="412" t="s">
        <v>283</v>
      </c>
      <c r="W2478" s="413"/>
    </row>
    <row r="2479" spans="6:23" ht="24" customHeight="1">
      <c r="F2479" s="414" t="s">
        <v>440</v>
      </c>
      <c r="I2479" s="414">
        <f>1.91-0.08</f>
        <v>1.83</v>
      </c>
      <c r="W2479" s="413"/>
    </row>
    <row r="2480" spans="6:23" ht="24" customHeight="1">
      <c r="I2480" s="429" t="s">
        <v>711</v>
      </c>
      <c r="W2480" s="413"/>
    </row>
    <row r="2481" spans="6:23" ht="24" customHeight="1">
      <c r="I2481" s="417">
        <f>SUM(I2475:I2479)</f>
        <v>33</v>
      </c>
      <c r="J2481" s="412" t="s">
        <v>283</v>
      </c>
      <c r="W2481" s="413"/>
    </row>
    <row r="2482" spans="6:23" ht="24" customHeight="1">
      <c r="I2482" s="429" t="s">
        <v>711</v>
      </c>
      <c r="W2482" s="413"/>
    </row>
    <row r="2483" spans="6:23" ht="24" customHeight="1">
      <c r="W2483" s="413"/>
    </row>
    <row r="2484" spans="6:23" ht="24" hidden="1" customHeight="1">
      <c r="W2484" s="413"/>
    </row>
    <row r="2485" spans="6:23" ht="24" customHeight="1">
      <c r="F2485" s="414">
        <f>I2481</f>
        <v>33</v>
      </c>
      <c r="G2485" s="414" t="s">
        <v>1341</v>
      </c>
      <c r="H2485" s="414" t="s">
        <v>412</v>
      </c>
      <c r="I2485" s="414">
        <f>I2466</f>
        <v>70.150000000000006</v>
      </c>
      <c r="J2485" s="412" t="s">
        <v>1341</v>
      </c>
      <c r="K2485" s="414">
        <f>I2485*F2485</f>
        <v>2314.9499999999998</v>
      </c>
      <c r="W2485" s="413"/>
    </row>
    <row r="2486" spans="6:23" ht="24" customHeight="1">
      <c r="F2486" s="414">
        <v>0.54</v>
      </c>
      <c r="G2486" s="414" t="s">
        <v>1861</v>
      </c>
      <c r="H2486" s="414" t="s">
        <v>1729</v>
      </c>
      <c r="I2486" s="414">
        <f>I2467</f>
        <v>379.9</v>
      </c>
      <c r="J2486" s="412" t="s">
        <v>1861</v>
      </c>
      <c r="K2486" s="414">
        <f>I2486*F2486</f>
        <v>205.15</v>
      </c>
      <c r="W2486" s="413"/>
    </row>
    <row r="2487" spans="6:23" ht="24" customHeight="1">
      <c r="F2487" s="414">
        <v>0.54</v>
      </c>
      <c r="G2487" s="414" t="s">
        <v>1861</v>
      </c>
      <c r="H2487" s="414" t="str">
        <f>H2468</f>
        <v>Fly proof  Mesh</v>
      </c>
      <c r="I2487" s="414">
        <f>I2468</f>
        <v>116.55</v>
      </c>
      <c r="J2487" s="412" t="s">
        <v>1861</v>
      </c>
      <c r="K2487" s="414">
        <f>I2487*F2487</f>
        <v>62.94</v>
      </c>
      <c r="W2487" s="413"/>
    </row>
    <row r="2488" spans="6:23" ht="24" customHeight="1">
      <c r="H2488" s="414" t="s">
        <v>414</v>
      </c>
      <c r="I2488" s="414">
        <v>53.5</v>
      </c>
      <c r="J2488" s="412" t="s">
        <v>358</v>
      </c>
      <c r="K2488" s="414">
        <v>52.8</v>
      </c>
      <c r="W2488" s="413"/>
    </row>
    <row r="2489" spans="6:23" ht="24" customHeight="1">
      <c r="K2489" s="429" t="s">
        <v>119</v>
      </c>
      <c r="W2489" s="413"/>
    </row>
    <row r="2490" spans="6:23" ht="24" customHeight="1">
      <c r="H2490" s="417" t="s">
        <v>415</v>
      </c>
      <c r="K2490" s="417">
        <f>SUM(K2485:K2488)</f>
        <v>2635.84</v>
      </c>
      <c r="W2490" s="413"/>
    </row>
    <row r="2491" spans="6:23" ht="24" customHeight="1">
      <c r="K2491" s="429" t="s">
        <v>119</v>
      </c>
      <c r="W2491" s="413"/>
    </row>
    <row r="2492" spans="6:23" ht="24" customHeight="1">
      <c r="I2492" s="417" t="s">
        <v>1957</v>
      </c>
      <c r="K2492" s="417">
        <f>K2490/0.54</f>
        <v>4881.1899999999996</v>
      </c>
      <c r="W2492" s="413"/>
    </row>
    <row r="2493" spans="6:23" ht="24" customHeight="1">
      <c r="W2493" s="413"/>
    </row>
    <row r="2494" spans="6:23" ht="24" hidden="1" customHeight="1">
      <c r="W2494" s="413"/>
    </row>
    <row r="2495" spans="6:23" ht="24" customHeight="1">
      <c r="H2495" s="417" t="s">
        <v>1621</v>
      </c>
      <c r="W2495" s="413"/>
    </row>
    <row r="2496" spans="6:23" ht="24" customHeight="1">
      <c r="W2496" s="413"/>
    </row>
    <row r="2497" spans="6:23" ht="24" customHeight="1">
      <c r="F2497" s="412" t="s">
        <v>1483</v>
      </c>
      <c r="G2497" s="412"/>
      <c r="H2497" s="412"/>
      <c r="I2497" s="414">
        <v>9.42</v>
      </c>
      <c r="J2497" s="412" t="s">
        <v>283</v>
      </c>
      <c r="K2497" s="412"/>
      <c r="W2497" s="413"/>
    </row>
    <row r="2498" spans="6:23" ht="24" customHeight="1">
      <c r="F2498" s="414" t="s">
        <v>1484</v>
      </c>
      <c r="I2498" s="414">
        <v>9.42</v>
      </c>
      <c r="J2498" s="412" t="s">
        <v>283</v>
      </c>
      <c r="K2498" s="412"/>
      <c r="W2498" s="413"/>
    </row>
    <row r="2499" spans="6:23" ht="24" customHeight="1">
      <c r="F2499" s="414" t="s">
        <v>52</v>
      </c>
      <c r="I2499" s="414">
        <v>1.44</v>
      </c>
      <c r="J2499" s="412" t="s">
        <v>283</v>
      </c>
      <c r="K2499" s="412"/>
      <c r="W2499" s="413"/>
    </row>
    <row r="2500" spans="6:23" ht="24" customHeight="1">
      <c r="F2500" s="414" t="s">
        <v>411</v>
      </c>
      <c r="I2500" s="414">
        <v>2.16</v>
      </c>
      <c r="J2500" s="412" t="s">
        <v>283</v>
      </c>
      <c r="K2500" s="412"/>
      <c r="W2500" s="413"/>
    </row>
    <row r="2501" spans="6:23" ht="24" customHeight="1">
      <c r="F2501" s="414" t="s">
        <v>440</v>
      </c>
      <c r="I2501" s="414">
        <v>1.56</v>
      </c>
      <c r="K2501" s="412"/>
      <c r="W2501" s="413"/>
    </row>
    <row r="2502" spans="6:23" ht="24" customHeight="1">
      <c r="I2502" s="429" t="s">
        <v>711</v>
      </c>
      <c r="K2502" s="412"/>
      <c r="O2502" s="417" t="s">
        <v>1925</v>
      </c>
      <c r="Q2502" s="412"/>
      <c r="W2502" s="413"/>
    </row>
    <row r="2503" spans="6:23" ht="24" customHeight="1">
      <c r="I2503" s="414">
        <f>SUM(I2497:I2501)</f>
        <v>24</v>
      </c>
      <c r="J2503" s="412" t="s">
        <v>283</v>
      </c>
      <c r="K2503" s="412"/>
      <c r="Q2503" s="412"/>
      <c r="W2503" s="413"/>
    </row>
    <row r="2504" spans="6:23" ht="24" customHeight="1">
      <c r="I2504" s="429" t="s">
        <v>711</v>
      </c>
      <c r="M2504" s="412" t="s">
        <v>1926</v>
      </c>
      <c r="N2504" s="412"/>
      <c r="O2504" s="412"/>
      <c r="P2504" s="416">
        <f>3.77*3.9</f>
        <v>14.702999999999999</v>
      </c>
      <c r="Q2504" s="412" t="s">
        <v>283</v>
      </c>
      <c r="R2504" s="412"/>
      <c r="W2504" s="413"/>
    </row>
    <row r="2505" spans="6:23" ht="24" customHeight="1">
      <c r="M2505" s="414" t="s">
        <v>1927</v>
      </c>
      <c r="P2505" s="414">
        <f>12*0.6*3.14</f>
        <v>22.61</v>
      </c>
      <c r="Q2505" s="412" t="s">
        <v>283</v>
      </c>
      <c r="R2505" s="412"/>
      <c r="W2505" s="413"/>
    </row>
    <row r="2506" spans="6:23" ht="24" hidden="1" customHeight="1">
      <c r="M2506" s="414" t="s">
        <v>2020</v>
      </c>
      <c r="P2506" s="414">
        <f>2*1.285*1.2</f>
        <v>3.08</v>
      </c>
      <c r="Q2506" s="412" t="s">
        <v>283</v>
      </c>
      <c r="R2506" s="412"/>
      <c r="W2506" s="413"/>
    </row>
    <row r="2507" spans="6:23" ht="24" customHeight="1">
      <c r="F2507" s="414">
        <v>24</v>
      </c>
      <c r="G2507" s="414" t="s">
        <v>1341</v>
      </c>
      <c r="H2507" s="414" t="s">
        <v>412</v>
      </c>
      <c r="I2507" s="414">
        <f>I2485</f>
        <v>70.150000000000006</v>
      </c>
      <c r="J2507" s="412" t="s">
        <v>1341</v>
      </c>
      <c r="K2507" s="414">
        <f>I2507*F2507</f>
        <v>1683.6</v>
      </c>
      <c r="M2507" s="414" t="s">
        <v>411</v>
      </c>
      <c r="P2507" s="414">
        <f>3*0.6*1.2</f>
        <v>2.16</v>
      </c>
      <c r="Q2507" s="412" t="s">
        <v>283</v>
      </c>
      <c r="R2507" s="412"/>
      <c r="W2507" s="413"/>
    </row>
    <row r="2508" spans="6:23" ht="24" customHeight="1">
      <c r="F2508" s="414">
        <v>0.36</v>
      </c>
      <c r="G2508" s="414" t="s">
        <v>1861</v>
      </c>
      <c r="H2508" s="414" t="s">
        <v>1729</v>
      </c>
      <c r="I2508" s="414">
        <f>I2486</f>
        <v>379.9</v>
      </c>
      <c r="J2508" s="412" t="s">
        <v>1861</v>
      </c>
      <c r="K2508" s="414">
        <f>I2508*F2508</f>
        <v>136.76</v>
      </c>
      <c r="M2508" s="414" t="s">
        <v>440</v>
      </c>
      <c r="P2508" s="414">
        <v>0.16</v>
      </c>
      <c r="Q2508" s="412"/>
      <c r="R2508" s="412"/>
      <c r="W2508" s="413"/>
    </row>
    <row r="2509" spans="6:23" ht="24" customHeight="1">
      <c r="F2509" s="414">
        <v>0.36</v>
      </c>
      <c r="G2509" s="414" t="s">
        <v>1861</v>
      </c>
      <c r="H2509" s="414" t="s">
        <v>413</v>
      </c>
      <c r="I2509" s="414">
        <f>C198</f>
        <v>40.65</v>
      </c>
      <c r="J2509" s="412" t="s">
        <v>1861</v>
      </c>
      <c r="K2509" s="414">
        <f>I2509*F2509</f>
        <v>14.63</v>
      </c>
      <c r="P2509" s="429" t="s">
        <v>711</v>
      </c>
      <c r="Q2509" s="412"/>
      <c r="R2509" s="412"/>
      <c r="W2509" s="413"/>
    </row>
    <row r="2510" spans="6:23" ht="24" customHeight="1">
      <c r="H2510" s="414" t="s">
        <v>463</v>
      </c>
      <c r="I2510" s="414">
        <v>28.34</v>
      </c>
      <c r="J2510" s="412" t="s">
        <v>358</v>
      </c>
      <c r="K2510" s="414">
        <f>28.14</f>
        <v>28.14</v>
      </c>
      <c r="P2510" s="440">
        <f>SUM(P2504:P2508)</f>
        <v>42.713000000000001</v>
      </c>
      <c r="Q2510" s="412" t="s">
        <v>283</v>
      </c>
      <c r="R2510" s="412">
        <f>42.55-42.713</f>
        <v>-0.16</v>
      </c>
      <c r="W2510" s="413"/>
    </row>
    <row r="2511" spans="6:23" ht="24" customHeight="1">
      <c r="K2511" s="429" t="s">
        <v>119</v>
      </c>
      <c r="P2511" s="429" t="s">
        <v>711</v>
      </c>
      <c r="Q2511" s="412"/>
      <c r="W2511" s="413"/>
    </row>
    <row r="2512" spans="6:23" ht="24" customHeight="1">
      <c r="H2512" s="417" t="s">
        <v>415</v>
      </c>
      <c r="K2512" s="417">
        <f>SUM(K2507:K2510)</f>
        <v>1863.13</v>
      </c>
      <c r="Q2512" s="412"/>
      <c r="W2512" s="413"/>
    </row>
    <row r="2513" spans="6:23" ht="24" customHeight="1">
      <c r="K2513" s="429" t="s">
        <v>119</v>
      </c>
      <c r="Q2513" s="412"/>
      <c r="W2513" s="413"/>
    </row>
    <row r="2514" spans="6:23" ht="24" customHeight="1">
      <c r="K2514" s="414">
        <f>0.6*0.6</f>
        <v>0.36</v>
      </c>
      <c r="M2514" s="416">
        <f>P2510</f>
        <v>42.713000000000001</v>
      </c>
      <c r="N2514" s="414" t="s">
        <v>1341</v>
      </c>
      <c r="O2514" s="414" t="s">
        <v>412</v>
      </c>
      <c r="P2514" s="414">
        <f>I2507</f>
        <v>70.150000000000006</v>
      </c>
      <c r="Q2514" s="412" t="s">
        <v>1341</v>
      </c>
      <c r="R2514" s="414">
        <f>P2514*M2514</f>
        <v>2996.32</v>
      </c>
      <c r="W2514" s="413"/>
    </row>
    <row r="2515" spans="6:23" ht="24" customHeight="1">
      <c r="H2515" s="417" t="s">
        <v>1404</v>
      </c>
      <c r="K2515" s="414">
        <f>K2512/K2514</f>
        <v>5175.3599999999997</v>
      </c>
      <c r="M2515" s="414">
        <v>0.77</v>
      </c>
      <c r="N2515" s="414" t="s">
        <v>1861</v>
      </c>
      <c r="O2515" s="414" t="s">
        <v>1729</v>
      </c>
      <c r="P2515" s="414">
        <f>I2508</f>
        <v>379.9</v>
      </c>
      <c r="Q2515" s="412" t="s">
        <v>1861</v>
      </c>
      <c r="R2515" s="414">
        <f>P2515*M2515</f>
        <v>292.52</v>
      </c>
      <c r="W2515" s="413"/>
    </row>
    <row r="2516" spans="6:23" ht="24" customHeight="1">
      <c r="M2516" s="414">
        <v>0.77</v>
      </c>
      <c r="N2516" s="414" t="s">
        <v>1861</v>
      </c>
      <c r="O2516" s="414" t="s">
        <v>413</v>
      </c>
      <c r="P2516" s="414">
        <f>I2509</f>
        <v>40.65</v>
      </c>
      <c r="Q2516" s="412" t="s">
        <v>1861</v>
      </c>
      <c r="R2516" s="414">
        <f>P2516*M2516</f>
        <v>31.3</v>
      </c>
      <c r="W2516" s="413"/>
    </row>
    <row r="2517" spans="6:23" ht="24" customHeight="1">
      <c r="F2517" s="417" t="s">
        <v>348</v>
      </c>
      <c r="G2517" s="417"/>
      <c r="O2517" s="414" t="s">
        <v>463</v>
      </c>
      <c r="P2517" s="414">
        <f>I2510</f>
        <v>28.34</v>
      </c>
      <c r="Q2517" s="412" t="s">
        <v>358</v>
      </c>
      <c r="R2517" s="414">
        <f>28.34+0.11</f>
        <v>28.45</v>
      </c>
      <c r="W2517" s="413"/>
    </row>
    <row r="2518" spans="6:23" ht="24" customHeight="1">
      <c r="Q2518" s="412"/>
      <c r="R2518" s="429" t="s">
        <v>119</v>
      </c>
      <c r="W2518" s="413"/>
    </row>
    <row r="2519" spans="6:23" ht="24" customHeight="1">
      <c r="F2519" s="414" t="s">
        <v>640</v>
      </c>
      <c r="I2519" s="414">
        <v>3.93</v>
      </c>
      <c r="J2519" s="412" t="s">
        <v>1341</v>
      </c>
      <c r="O2519" s="417" t="s">
        <v>415</v>
      </c>
      <c r="Q2519" s="412"/>
      <c r="R2519" s="417">
        <f>SUM(R2514:R2517)</f>
        <v>3348.59</v>
      </c>
      <c r="W2519" s="413"/>
    </row>
    <row r="2520" spans="6:23" ht="24" customHeight="1">
      <c r="F2520" s="414" t="s">
        <v>1817</v>
      </c>
      <c r="I2520" s="414">
        <v>3.14</v>
      </c>
      <c r="J2520" s="412" t="s">
        <v>1341</v>
      </c>
      <c r="Q2520" s="412"/>
      <c r="R2520" s="429" t="s">
        <v>119</v>
      </c>
      <c r="W2520" s="413"/>
    </row>
    <row r="2521" spans="6:23" ht="24" customHeight="1">
      <c r="F2521" s="414" t="s">
        <v>169</v>
      </c>
      <c r="I2521" s="414">
        <v>1.18</v>
      </c>
      <c r="J2521" s="412" t="s">
        <v>1341</v>
      </c>
      <c r="O2521" s="419" t="s">
        <v>1957</v>
      </c>
      <c r="Q2521" s="412"/>
      <c r="R2521" s="417">
        <f>R2519/M2515</f>
        <v>4348.82</v>
      </c>
      <c r="W2521" s="413"/>
    </row>
    <row r="2522" spans="6:23" ht="24" customHeight="1">
      <c r="N2522" s="414">
        <f>1.285*0.6</f>
        <v>0.77</v>
      </c>
      <c r="W2522" s="413"/>
    </row>
    <row r="2523" spans="6:23" ht="24" hidden="1" customHeight="1">
      <c r="W2523" s="413"/>
    </row>
    <row r="2524" spans="6:23" ht="24" customHeight="1">
      <c r="H2524" s="417" t="s">
        <v>1404</v>
      </c>
      <c r="W2524" s="413"/>
    </row>
    <row r="2525" spans="6:23" ht="24" customHeight="1">
      <c r="W2525" s="413"/>
    </row>
    <row r="2526" spans="6:23" ht="24" hidden="1" customHeight="1">
      <c r="W2526" s="413"/>
    </row>
    <row r="2527" spans="6:23" ht="24" customHeight="1">
      <c r="F2527" s="414" t="s">
        <v>1196</v>
      </c>
      <c r="I2527" s="414">
        <v>24.34</v>
      </c>
      <c r="J2527" s="412" t="s">
        <v>1341</v>
      </c>
      <c r="W2527" s="413"/>
    </row>
    <row r="2528" spans="6:23" ht="24" customHeight="1">
      <c r="F2528" s="414" t="s">
        <v>87</v>
      </c>
      <c r="I2528" s="414">
        <v>11.78</v>
      </c>
      <c r="J2528" s="412" t="s">
        <v>1341</v>
      </c>
      <c r="W2528" s="413"/>
    </row>
    <row r="2529" spans="6:23" ht="24" customHeight="1">
      <c r="F2529" s="414" t="s">
        <v>464</v>
      </c>
      <c r="I2529" s="414">
        <v>59.35</v>
      </c>
      <c r="J2529" s="412" t="s">
        <v>1341</v>
      </c>
      <c r="W2529" s="413"/>
    </row>
    <row r="2530" spans="6:23" ht="24" customHeight="1">
      <c r="F2530" s="414" t="s">
        <v>465</v>
      </c>
      <c r="I2530" s="414">
        <v>5.04</v>
      </c>
      <c r="J2530" s="412" t="s">
        <v>1341</v>
      </c>
      <c r="W2530" s="413"/>
    </row>
    <row r="2531" spans="6:23" ht="24" customHeight="1">
      <c r="F2531" s="414" t="s">
        <v>466</v>
      </c>
      <c r="I2531" s="414">
        <v>4.8</v>
      </c>
      <c r="J2531" s="412" t="s">
        <v>1341</v>
      </c>
      <c r="W2531" s="413"/>
    </row>
    <row r="2532" spans="6:23" ht="24" customHeight="1">
      <c r="F2532" s="414" t="s">
        <v>467</v>
      </c>
      <c r="I2532" s="414">
        <v>2.69</v>
      </c>
      <c r="W2532" s="413"/>
    </row>
    <row r="2533" spans="6:23" ht="24" customHeight="1">
      <c r="I2533" s="429" t="s">
        <v>711</v>
      </c>
      <c r="W2533" s="413"/>
    </row>
    <row r="2534" spans="6:23" ht="24" customHeight="1">
      <c r="I2534" s="417">
        <f>SUM(I2527:I2532)</f>
        <v>108</v>
      </c>
      <c r="J2534" s="412" t="s">
        <v>1341</v>
      </c>
      <c r="W2534" s="413"/>
    </row>
    <row r="2535" spans="6:23" ht="24" customHeight="1">
      <c r="I2535" s="429" t="s">
        <v>711</v>
      </c>
      <c r="W2535" s="413"/>
    </row>
    <row r="2536" spans="6:23" ht="24" customHeight="1">
      <c r="L2536" s="414" t="s">
        <v>1383</v>
      </c>
      <c r="W2536" s="413"/>
    </row>
    <row r="2537" spans="6:23" ht="24" customHeight="1">
      <c r="F2537" s="414">
        <v>108</v>
      </c>
      <c r="G2537" s="414" t="s">
        <v>1341</v>
      </c>
      <c r="H2537" s="414" t="s">
        <v>468</v>
      </c>
      <c r="I2537" s="414">
        <f>I2466</f>
        <v>70.150000000000006</v>
      </c>
      <c r="J2537" s="412" t="s">
        <v>1341</v>
      </c>
      <c r="K2537" s="414">
        <f>F2537*I2537</f>
        <v>7576.2</v>
      </c>
      <c r="W2537" s="413"/>
    </row>
    <row r="2538" spans="6:23" ht="24" customHeight="1">
      <c r="F2538" s="414">
        <v>2.1</v>
      </c>
      <c r="G2538" s="414" t="s">
        <v>1861</v>
      </c>
      <c r="H2538" s="414" t="s">
        <v>1729</v>
      </c>
      <c r="I2538" s="414">
        <f>I2467</f>
        <v>379.9</v>
      </c>
      <c r="J2538" s="412" t="s">
        <v>1861</v>
      </c>
      <c r="K2538" s="414">
        <f>F2538*I2538</f>
        <v>797.79</v>
      </c>
      <c r="L2538" s="416">
        <v>42.713000000000001</v>
      </c>
      <c r="W2538" s="413"/>
    </row>
    <row r="2539" spans="6:23" ht="24" customHeight="1">
      <c r="F2539" s="414">
        <v>2.1</v>
      </c>
      <c r="G2539" s="414" t="s">
        <v>1861</v>
      </c>
      <c r="H2539" s="414" t="s">
        <v>1587</v>
      </c>
      <c r="I2539" s="414">
        <f>I2468</f>
        <v>116.55</v>
      </c>
      <c r="J2539" s="412" t="s">
        <v>1861</v>
      </c>
      <c r="K2539" s="414">
        <f>F2539*I2539</f>
        <v>244.76</v>
      </c>
      <c r="L2539" s="414">
        <v>0.77</v>
      </c>
      <c r="W2539" s="413"/>
    </row>
    <row r="2540" spans="6:23" ht="24" customHeight="1">
      <c r="H2540" s="414" t="s">
        <v>97</v>
      </c>
      <c r="I2540" s="414">
        <v>267.10000000000002</v>
      </c>
      <c r="J2540" s="412" t="s">
        <v>358</v>
      </c>
      <c r="K2540" s="414">
        <f>I2540</f>
        <v>267.10000000000002</v>
      </c>
      <c r="L2540" s="414">
        <v>0.77</v>
      </c>
      <c r="W2540" s="413"/>
    </row>
    <row r="2541" spans="6:23" ht="24" customHeight="1">
      <c r="K2541" s="429" t="s">
        <v>119</v>
      </c>
      <c r="W2541" s="413"/>
    </row>
    <row r="2542" spans="6:23" ht="24" customHeight="1">
      <c r="K2542" s="414">
        <f>SUM(K2537:K2540)</f>
        <v>8885.85</v>
      </c>
      <c r="W2542" s="413"/>
    </row>
    <row r="2543" spans="6:23" ht="24" customHeight="1">
      <c r="H2543" s="414" t="s">
        <v>98</v>
      </c>
      <c r="I2543" s="414">
        <v>500</v>
      </c>
      <c r="J2543" s="412" t="s">
        <v>358</v>
      </c>
      <c r="K2543" s="414">
        <f>I2543</f>
        <v>500</v>
      </c>
      <c r="W2543" s="413"/>
    </row>
    <row r="2544" spans="6:23" ht="24" customHeight="1">
      <c r="K2544" s="429" t="s">
        <v>119</v>
      </c>
      <c r="W2544" s="413"/>
    </row>
    <row r="2545" spans="6:23" ht="24" customHeight="1">
      <c r="H2545" s="417" t="s">
        <v>99</v>
      </c>
      <c r="K2545" s="417">
        <f>SUM(K2542:K2543)</f>
        <v>9385.85</v>
      </c>
      <c r="W2545" s="413"/>
    </row>
    <row r="2546" spans="6:23" ht="24" customHeight="1">
      <c r="K2546" s="429" t="s">
        <v>119</v>
      </c>
      <c r="W2546" s="413"/>
    </row>
    <row r="2547" spans="6:23" ht="24" customHeight="1">
      <c r="W2547" s="413"/>
    </row>
    <row r="2548" spans="6:23" ht="24" customHeight="1">
      <c r="K2548" s="414">
        <f>8054-K2545</f>
        <v>-1331.85</v>
      </c>
      <c r="W2548" s="413"/>
    </row>
    <row r="2549" spans="6:23" ht="24" customHeight="1">
      <c r="W2549" s="413"/>
    </row>
    <row r="2550" spans="6:23" ht="24" customHeight="1">
      <c r="H2550" s="417" t="s">
        <v>8</v>
      </c>
      <c r="W2550" s="413"/>
    </row>
    <row r="2551" spans="6:23" ht="24" customHeight="1">
      <c r="W2551" s="413"/>
    </row>
    <row r="2552" spans="6:23" ht="24" customHeight="1">
      <c r="F2552" s="417" t="s">
        <v>348</v>
      </c>
      <c r="G2552" s="417"/>
      <c r="W2552" s="413"/>
    </row>
    <row r="2553" spans="6:23" ht="24" customHeight="1">
      <c r="W2553" s="413"/>
    </row>
    <row r="2554" spans="6:23" ht="24" customHeight="1">
      <c r="F2554" s="414" t="s">
        <v>660</v>
      </c>
      <c r="I2554" s="416">
        <v>2.944</v>
      </c>
      <c r="J2554" s="412" t="s">
        <v>1341</v>
      </c>
      <c r="W2554" s="413"/>
    </row>
    <row r="2555" spans="6:23" ht="24" customHeight="1">
      <c r="F2555" s="414" t="s">
        <v>1029</v>
      </c>
      <c r="I2555" s="416">
        <v>2.355</v>
      </c>
      <c r="J2555" s="412" t="s">
        <v>1341</v>
      </c>
      <c r="W2555" s="413"/>
    </row>
    <row r="2556" spans="6:23" ht="24" customHeight="1">
      <c r="F2556" s="414" t="s">
        <v>1006</v>
      </c>
      <c r="I2556" s="416">
        <v>0.88300000000000001</v>
      </c>
      <c r="J2556" s="412" t="s">
        <v>1341</v>
      </c>
      <c r="W2556" s="413"/>
    </row>
    <row r="2557" spans="6:23" ht="24" customHeight="1">
      <c r="W2557" s="413"/>
    </row>
    <row r="2558" spans="6:23" ht="24" hidden="1" customHeight="1">
      <c r="W2558" s="413"/>
    </row>
    <row r="2559" spans="6:23" ht="24" customHeight="1">
      <c r="H2559" s="417" t="s">
        <v>8</v>
      </c>
      <c r="W2559" s="413"/>
    </row>
    <row r="2560" spans="6:23" ht="24" customHeight="1">
      <c r="W2560" s="413"/>
    </row>
    <row r="2561" spans="6:23" ht="24" hidden="1" customHeight="1">
      <c r="N2561" s="481">
        <v>24.1</v>
      </c>
      <c r="O2561" s="417" t="s">
        <v>1925</v>
      </c>
      <c r="Q2561" s="412"/>
      <c r="W2561" s="413"/>
    </row>
    <row r="2562" spans="6:23" ht="24" customHeight="1">
      <c r="F2562" s="414" t="s">
        <v>992</v>
      </c>
      <c r="I2562" s="414">
        <v>16.38</v>
      </c>
      <c r="J2562" s="412" t="s">
        <v>1341</v>
      </c>
      <c r="N2562" s="418" t="s">
        <v>1676</v>
      </c>
      <c r="O2562" s="479"/>
      <c r="Q2562" s="412"/>
      <c r="W2562" s="413"/>
    </row>
    <row r="2563" spans="6:23" ht="24" customHeight="1">
      <c r="F2563" s="414" t="s">
        <v>999</v>
      </c>
      <c r="I2563" s="414">
        <v>8.7799999999999994</v>
      </c>
      <c r="J2563" s="412" t="s">
        <v>1341</v>
      </c>
      <c r="M2563" s="412" t="s">
        <v>1897</v>
      </c>
      <c r="N2563" s="412"/>
      <c r="O2563" s="412"/>
      <c r="P2563" s="414">
        <v>14.8</v>
      </c>
      <c r="Q2563" s="412" t="s">
        <v>283</v>
      </c>
      <c r="W2563" s="413"/>
    </row>
    <row r="2564" spans="6:23" ht="24" customHeight="1">
      <c r="F2564" s="414" t="s">
        <v>1307</v>
      </c>
      <c r="I2564" s="414">
        <v>37.67</v>
      </c>
      <c r="J2564" s="412" t="s">
        <v>1341</v>
      </c>
      <c r="M2564" s="414" t="s">
        <v>174</v>
      </c>
      <c r="P2564" s="414">
        <v>22.61</v>
      </c>
      <c r="Q2564" s="412" t="s">
        <v>283</v>
      </c>
      <c r="W2564" s="413"/>
    </row>
    <row r="2565" spans="6:23" ht="24" customHeight="1">
      <c r="F2565" s="414" t="s">
        <v>1356</v>
      </c>
      <c r="I2565" s="414">
        <v>3.24</v>
      </c>
      <c r="J2565" s="412" t="s">
        <v>1341</v>
      </c>
      <c r="M2565" s="414" t="s">
        <v>410</v>
      </c>
      <c r="P2565" s="414">
        <v>3.24</v>
      </c>
      <c r="Q2565" s="412" t="s">
        <v>283</v>
      </c>
      <c r="W2565" s="413"/>
    </row>
    <row r="2566" spans="6:23" ht="24" customHeight="1">
      <c r="F2566" s="414" t="s">
        <v>344</v>
      </c>
      <c r="I2566" s="414">
        <v>3.6</v>
      </c>
      <c r="J2566" s="412" t="s">
        <v>1341</v>
      </c>
      <c r="M2566" s="414" t="s">
        <v>411</v>
      </c>
      <c r="P2566" s="414">
        <v>2.16</v>
      </c>
      <c r="Q2566" s="412" t="s">
        <v>283</v>
      </c>
      <c r="W2566" s="413"/>
    </row>
    <row r="2567" spans="6:23" ht="24" customHeight="1">
      <c r="F2567" s="414" t="s">
        <v>467</v>
      </c>
      <c r="I2567" s="414">
        <v>2.88</v>
      </c>
      <c r="Q2567" s="412"/>
      <c r="W2567" s="413"/>
    </row>
    <row r="2568" spans="6:23" ht="24" customHeight="1">
      <c r="I2568" s="429" t="s">
        <v>711</v>
      </c>
      <c r="P2568" s="429" t="s">
        <v>119</v>
      </c>
      <c r="Q2568" s="412"/>
      <c r="W2568" s="413"/>
    </row>
    <row r="2569" spans="6:23" ht="24" customHeight="1">
      <c r="I2569" s="417">
        <f>SUM(I2562:I2567)</f>
        <v>72.55</v>
      </c>
      <c r="J2569" s="412" t="s">
        <v>1341</v>
      </c>
      <c r="P2569" s="414">
        <f>SUM(P2563:P2567)</f>
        <v>42.81</v>
      </c>
      <c r="Q2569" s="412"/>
      <c r="W2569" s="413"/>
    </row>
    <row r="2570" spans="6:23" ht="24" customHeight="1">
      <c r="I2570" s="429" t="s">
        <v>711</v>
      </c>
      <c r="P2570" s="414" t="s">
        <v>1374</v>
      </c>
      <c r="Q2570" s="412"/>
      <c r="W2570" s="413"/>
    </row>
    <row r="2571" spans="6:23" ht="24" customHeight="1">
      <c r="Q2571" s="412"/>
      <c r="W2571" s="413"/>
    </row>
    <row r="2572" spans="6:23" ht="24" customHeight="1">
      <c r="F2572" s="414">
        <v>72.55</v>
      </c>
      <c r="G2572" s="414" t="s">
        <v>1341</v>
      </c>
      <c r="H2572" s="414" t="s">
        <v>468</v>
      </c>
      <c r="I2572" s="414">
        <f>I2537</f>
        <v>70.150000000000006</v>
      </c>
      <c r="J2572" s="412" t="s">
        <v>1341</v>
      </c>
      <c r="K2572" s="414">
        <f>F2572*I2572</f>
        <v>5089.38</v>
      </c>
      <c r="Q2572" s="412"/>
      <c r="W2572" s="413"/>
    </row>
    <row r="2573" spans="6:23" ht="24" customHeight="1">
      <c r="F2573" s="414">
        <v>1.01</v>
      </c>
      <c r="G2573" s="414" t="s">
        <v>1861</v>
      </c>
      <c r="H2573" s="414" t="s">
        <v>1729</v>
      </c>
      <c r="I2573" s="414">
        <f>I2538</f>
        <v>379.9</v>
      </c>
      <c r="J2573" s="412" t="s">
        <v>1861</v>
      </c>
      <c r="K2573" s="414">
        <f>F2573*I2573</f>
        <v>383.7</v>
      </c>
      <c r="M2573" s="414">
        <v>42.81</v>
      </c>
      <c r="N2573" s="414" t="s">
        <v>1341</v>
      </c>
      <c r="O2573" s="414" t="s">
        <v>2484</v>
      </c>
      <c r="P2573" s="414">
        <f>I2572</f>
        <v>70.150000000000006</v>
      </c>
      <c r="Q2573" s="412" t="s">
        <v>1341</v>
      </c>
      <c r="R2573" s="414">
        <f>P2573*M2573</f>
        <v>3003.12</v>
      </c>
      <c r="W2573" s="413"/>
    </row>
    <row r="2574" spans="6:23" ht="24" customHeight="1">
      <c r="F2574" s="414">
        <v>1.01</v>
      </c>
      <c r="G2574" s="414" t="s">
        <v>1861</v>
      </c>
      <c r="H2574" s="414" t="str">
        <f>H2539</f>
        <v>Fly proof mesh</v>
      </c>
      <c r="I2574" s="414">
        <f>I2539</f>
        <v>116.55</v>
      </c>
      <c r="J2574" s="412" t="s">
        <v>1861</v>
      </c>
      <c r="K2574" s="414">
        <f>F2574*I2574</f>
        <v>117.72</v>
      </c>
      <c r="M2574" s="414">
        <v>0.77</v>
      </c>
      <c r="N2574" s="414" t="s">
        <v>1861</v>
      </c>
      <c r="O2574" s="414" t="s">
        <v>1898</v>
      </c>
      <c r="P2574" s="414">
        <f>I2573</f>
        <v>379.9</v>
      </c>
      <c r="Q2574" s="412" t="s">
        <v>1861</v>
      </c>
      <c r="R2574" s="414">
        <f>P2574*M2574</f>
        <v>292.52</v>
      </c>
      <c r="W2574" s="413"/>
    </row>
    <row r="2575" spans="6:23" ht="24" customHeight="1">
      <c r="H2575" s="414" t="s">
        <v>97</v>
      </c>
      <c r="I2575" s="414">
        <v>266.49</v>
      </c>
      <c r="J2575" s="412" t="s">
        <v>358</v>
      </c>
      <c r="K2575" s="414">
        <f>I2575</f>
        <v>266.49</v>
      </c>
      <c r="M2575" s="414">
        <v>0.77</v>
      </c>
      <c r="N2575" s="414" t="s">
        <v>1861</v>
      </c>
      <c r="O2575" s="414" t="s">
        <v>2601</v>
      </c>
      <c r="P2575" s="414">
        <f>I2574</f>
        <v>116.55</v>
      </c>
      <c r="Q2575" s="412" t="s">
        <v>1861</v>
      </c>
      <c r="R2575" s="414">
        <f>P2575*M2575</f>
        <v>89.74</v>
      </c>
      <c r="W2575" s="413"/>
    </row>
    <row r="2576" spans="6:23" ht="24" customHeight="1">
      <c r="K2576" s="429" t="s">
        <v>119</v>
      </c>
      <c r="O2576" s="414" t="s">
        <v>414</v>
      </c>
      <c r="P2576" s="414">
        <f>46.62+0.48</f>
        <v>47.1</v>
      </c>
      <c r="Q2576" s="412" t="s">
        <v>358</v>
      </c>
      <c r="R2576" s="414">
        <f>P2576</f>
        <v>47.1</v>
      </c>
      <c r="W2576" s="413"/>
    </row>
    <row r="2577" spans="6:23" ht="24" customHeight="1">
      <c r="K2577" s="414">
        <f>SUM(K2572:K2575)</f>
        <v>5857.29</v>
      </c>
      <c r="Q2577" s="412"/>
      <c r="R2577" s="429" t="s">
        <v>119</v>
      </c>
      <c r="W2577" s="413"/>
    </row>
    <row r="2578" spans="6:23" ht="24" customHeight="1">
      <c r="H2578" s="414" t="s">
        <v>98</v>
      </c>
      <c r="I2578" s="414">
        <v>255</v>
      </c>
      <c r="J2578" s="412" t="s">
        <v>358</v>
      </c>
      <c r="K2578" s="414">
        <v>255</v>
      </c>
      <c r="O2578" s="417" t="s">
        <v>415</v>
      </c>
      <c r="Q2578" s="412"/>
      <c r="R2578" s="417">
        <f>SUM(R2573:R2576)</f>
        <v>3432.48</v>
      </c>
      <c r="W2578" s="413"/>
    </row>
    <row r="2579" spans="6:23" ht="24" customHeight="1">
      <c r="K2579" s="429" t="s">
        <v>119</v>
      </c>
      <c r="Q2579" s="412"/>
      <c r="R2579" s="429" t="s">
        <v>119</v>
      </c>
      <c r="W2579" s="413"/>
    </row>
    <row r="2580" spans="6:23" ht="24" customHeight="1">
      <c r="H2580" s="417" t="s">
        <v>99</v>
      </c>
      <c r="K2580" s="417">
        <f>SUM(K2577:K2578)</f>
        <v>6112.29</v>
      </c>
      <c r="O2580" s="414">
        <f>1.285*0.6</f>
        <v>0.77</v>
      </c>
      <c r="Q2580" s="412"/>
      <c r="R2580" s="414">
        <f>R2578/O2580</f>
        <v>4457.7700000000004</v>
      </c>
      <c r="W2580" s="413"/>
    </row>
    <row r="2581" spans="6:23" ht="24" customHeight="1">
      <c r="K2581" s="429" t="s">
        <v>119</v>
      </c>
      <c r="M2581" s="414">
        <f>I2574</f>
        <v>116.55</v>
      </c>
      <c r="O2581" s="412">
        <f>M2581*L2540</f>
        <v>89.74</v>
      </c>
      <c r="W2581" s="413"/>
    </row>
    <row r="2582" spans="6:23" ht="24" customHeight="1">
      <c r="O2582" s="412">
        <v>0.8</v>
      </c>
      <c r="W2582" s="413"/>
    </row>
    <row r="2583" spans="6:23" ht="24" customHeight="1">
      <c r="K2583" s="414">
        <f>5261-K2580</f>
        <v>-851.29</v>
      </c>
      <c r="O2583" s="412">
        <f>SUM(O2579:O2582)</f>
        <v>91.31</v>
      </c>
      <c r="W2583" s="413"/>
    </row>
    <row r="2584" spans="6:23" ht="24" customHeight="1">
      <c r="O2584" s="412">
        <f>O2583/0.77</f>
        <v>118.58</v>
      </c>
      <c r="W2584" s="413"/>
    </row>
    <row r="2585" spans="6:23" ht="24" customHeight="1">
      <c r="H2585" s="417" t="s">
        <v>8</v>
      </c>
      <c r="W2585" s="413"/>
    </row>
    <row r="2586" spans="6:23" ht="24" customHeight="1">
      <c r="W2586" s="413"/>
    </row>
    <row r="2587" spans="6:23" ht="24" customHeight="1">
      <c r="F2587" s="417" t="s">
        <v>348</v>
      </c>
      <c r="G2587" s="417"/>
      <c r="U2587" s="414" t="s">
        <v>2265</v>
      </c>
      <c r="W2587" s="413"/>
    </row>
    <row r="2588" spans="6:23" ht="24" customHeight="1">
      <c r="W2588" s="413"/>
    </row>
    <row r="2589" spans="6:23" ht="24" customHeight="1">
      <c r="F2589" s="414" t="s">
        <v>660</v>
      </c>
      <c r="I2589" s="416">
        <v>2.944</v>
      </c>
      <c r="J2589" s="412" t="s">
        <v>1341</v>
      </c>
      <c r="S2589" s="416" t="s">
        <v>1908</v>
      </c>
      <c r="V2589" s="482">
        <f>2*0.85*2.025</f>
        <v>3.4424999999999999</v>
      </c>
      <c r="W2589" s="413"/>
    </row>
    <row r="2590" spans="6:23" ht="24" customHeight="1">
      <c r="F2590" s="414" t="s">
        <v>1029</v>
      </c>
      <c r="I2590" s="416">
        <v>2.355</v>
      </c>
      <c r="J2590" s="412" t="s">
        <v>1341</v>
      </c>
      <c r="S2590" s="416" t="s">
        <v>1574</v>
      </c>
      <c r="V2590" s="482">
        <v>2.2800000000000001E-2</v>
      </c>
      <c r="W2590" s="413"/>
    </row>
    <row r="2591" spans="6:23" ht="24" customHeight="1">
      <c r="F2591" s="414" t="s">
        <v>1006</v>
      </c>
      <c r="I2591" s="416">
        <v>0.88300000000000001</v>
      </c>
      <c r="J2591" s="412" t="s">
        <v>1341</v>
      </c>
      <c r="S2591" s="416" t="s">
        <v>1909</v>
      </c>
      <c r="V2591" s="440">
        <f>2*3*0.85*0.15*0.0375</f>
        <v>2.87E-2</v>
      </c>
      <c r="W2591" s="413"/>
    </row>
    <row r="2592" spans="6:23" ht="24" hidden="1" customHeight="1">
      <c r="T2592" s="414" t="s">
        <v>1910</v>
      </c>
      <c r="V2592" s="440">
        <f>2*3*0.85*0.075*0.0375</f>
        <v>1.43E-2</v>
      </c>
      <c r="W2592" s="413"/>
    </row>
    <row r="2593" spans="6:33" ht="24" customHeight="1">
      <c r="V2593" s="483">
        <f>SUM(V2591:V2592)</f>
        <v>4.2999999999999997E-2</v>
      </c>
      <c r="W2593" s="413"/>
    </row>
    <row r="2594" spans="6:33" ht="24" customHeight="1">
      <c r="H2594" s="417" t="s">
        <v>8</v>
      </c>
      <c r="W2594" s="413"/>
    </row>
    <row r="2595" spans="6:33" ht="24" hidden="1" customHeight="1">
      <c r="W2595" s="413"/>
    </row>
    <row r="2596" spans="6:33" ht="24" customHeight="1">
      <c r="S2596" s="416" t="s">
        <v>1911</v>
      </c>
      <c r="V2596" s="440">
        <f>2*4*0.725*0.3*0.01875</f>
        <v>3.2599999999999997E-2</v>
      </c>
      <c r="W2596" s="413"/>
    </row>
    <row r="2597" spans="6:33" ht="24" customHeight="1">
      <c r="F2597" s="414" t="s">
        <v>992</v>
      </c>
      <c r="I2597" s="414">
        <v>16.38</v>
      </c>
      <c r="J2597" s="412" t="s">
        <v>1341</v>
      </c>
      <c r="S2597" s="416" t="s">
        <v>1912</v>
      </c>
      <c r="V2597" s="440">
        <f>2*0.725*0.3*0.01875</f>
        <v>8.2000000000000007E-3</v>
      </c>
      <c r="W2597" s="413"/>
    </row>
    <row r="2598" spans="6:33" ht="24" customHeight="1">
      <c r="F2598" s="414" t="s">
        <v>999</v>
      </c>
      <c r="I2598" s="414">
        <v>8.7799999999999994</v>
      </c>
      <c r="J2598" s="412" t="s">
        <v>1341</v>
      </c>
      <c r="V2598" s="483">
        <f>SUM(V2596:V2597)</f>
        <v>4.0800000000000003E-2</v>
      </c>
      <c r="W2598" s="413"/>
    </row>
    <row r="2599" spans="6:33" ht="24" customHeight="1">
      <c r="F2599" s="414" t="s">
        <v>1307</v>
      </c>
      <c r="I2599" s="414">
        <v>37.67</v>
      </c>
      <c r="J2599" s="412" t="s">
        <v>1341</v>
      </c>
      <c r="U2599" s="417" t="s">
        <v>1323</v>
      </c>
      <c r="W2599" s="413"/>
      <c r="Y2599" s="440">
        <v>2.3099999999999999E-2</v>
      </c>
      <c r="Z2599" s="414" t="e">
        <f>Y2599*V2601</f>
        <v>#REF!</v>
      </c>
    </row>
    <row r="2600" spans="6:33" ht="24" customHeight="1">
      <c r="F2600" s="414" t="s">
        <v>1356</v>
      </c>
      <c r="I2600" s="414">
        <v>3.24</v>
      </c>
      <c r="J2600" s="412" t="s">
        <v>1341</v>
      </c>
      <c r="W2600" s="413"/>
      <c r="Y2600" s="440">
        <v>4.48E-2</v>
      </c>
      <c r="Z2600" s="414" t="e">
        <f>Y2600*V2602</f>
        <v>#REF!</v>
      </c>
    </row>
    <row r="2601" spans="6:33" ht="24" customHeight="1">
      <c r="F2601" s="414" t="s">
        <v>344</v>
      </c>
      <c r="I2601" s="414">
        <v>3.6</v>
      </c>
      <c r="J2601" s="412" t="s">
        <v>1341</v>
      </c>
      <c r="S2601" s="440">
        <f>V2590</f>
        <v>2.2800000000000001E-2</v>
      </c>
      <c r="T2601" s="414" t="s">
        <v>702</v>
      </c>
      <c r="U2601" s="414" t="s">
        <v>1913</v>
      </c>
      <c r="V2601" s="414" t="e">
        <f>I2633</f>
        <v>#REF!</v>
      </c>
      <c r="W2601" s="413" t="s">
        <v>702</v>
      </c>
      <c r="X2601" s="414" t="e">
        <f>S2601*V2601</f>
        <v>#REF!</v>
      </c>
      <c r="Y2601" s="440">
        <v>2.2690000000000001</v>
      </c>
      <c r="Z2601" s="414">
        <f>Y2601*336</f>
        <v>762.38</v>
      </c>
      <c r="AD2601" s="1242" t="s">
        <v>4354</v>
      </c>
      <c r="AE2601" s="1242"/>
      <c r="AF2601" s="1242"/>
      <c r="AG2601" s="1242"/>
    </row>
    <row r="2602" spans="6:33" ht="24" customHeight="1">
      <c r="F2602" s="414" t="s">
        <v>467</v>
      </c>
      <c r="I2602" s="414">
        <v>2.88</v>
      </c>
      <c r="S2602" s="440">
        <f>V2593</f>
        <v>4.2999999999999997E-2</v>
      </c>
      <c r="T2602" s="414" t="s">
        <v>702</v>
      </c>
      <c r="U2602" s="414" t="s">
        <v>1914</v>
      </c>
      <c r="V2602" s="414" t="e">
        <f t="shared" ref="V2602:V2610" si="254">I2634</f>
        <v>#REF!</v>
      </c>
      <c r="W2602" s="413" t="s">
        <v>702</v>
      </c>
      <c r="X2602" s="414" t="e">
        <f t="shared" ref="X2602:X2612" si="255">S2602*V2602</f>
        <v>#REF!</v>
      </c>
      <c r="Y2602" s="440">
        <v>3.4849999999999999</v>
      </c>
      <c r="Z2602" s="414">
        <f>Y2602*V2604</f>
        <v>5356.45</v>
      </c>
      <c r="AF2602" s="412"/>
    </row>
    <row r="2603" spans="6:33" ht="24" customHeight="1">
      <c r="I2603" s="429" t="s">
        <v>711</v>
      </c>
      <c r="S2603" s="440">
        <f>V2598</f>
        <v>4.0800000000000003E-2</v>
      </c>
      <c r="T2603" s="414" t="s">
        <v>702</v>
      </c>
      <c r="U2603" s="414" t="s">
        <v>756</v>
      </c>
      <c r="V2603" s="414">
        <f t="shared" si="254"/>
        <v>107000</v>
      </c>
      <c r="W2603" s="413" t="s">
        <v>702</v>
      </c>
      <c r="X2603" s="414">
        <f t="shared" si="255"/>
        <v>4365.6000000000004</v>
      </c>
      <c r="Y2603" s="440">
        <v>2</v>
      </c>
      <c r="Z2603" s="414">
        <f>Y2603*V2605</f>
        <v>509</v>
      </c>
      <c r="AB2603" s="414" t="s">
        <v>1647</v>
      </c>
      <c r="AE2603" s="482">
        <f>2*0.95*2.025</f>
        <v>3.8475000000000001</v>
      </c>
      <c r="AF2603" s="412"/>
    </row>
    <row r="2604" spans="6:33" ht="24" customHeight="1">
      <c r="I2604" s="417">
        <f>SUM(I2597:I2602)</f>
        <v>72.55</v>
      </c>
      <c r="J2604" s="412" t="s">
        <v>1341</v>
      </c>
      <c r="S2604" s="440">
        <f>V2589</f>
        <v>3.4424999999999999</v>
      </c>
      <c r="T2604" s="414" t="s">
        <v>488</v>
      </c>
      <c r="U2604" s="414" t="s">
        <v>715</v>
      </c>
      <c r="V2604" s="414">
        <f t="shared" si="254"/>
        <v>1537</v>
      </c>
      <c r="W2604" s="413" t="s">
        <v>488</v>
      </c>
      <c r="X2604" s="414">
        <f t="shared" si="255"/>
        <v>5291.12</v>
      </c>
      <c r="Y2604" s="440">
        <v>6</v>
      </c>
      <c r="Z2604" s="414">
        <f>Y2604*V2606</f>
        <v>1284.5999999999999</v>
      </c>
      <c r="AB2604" s="414" t="s">
        <v>1574</v>
      </c>
      <c r="AE2604" s="482">
        <v>2.2800000000000001E-2</v>
      </c>
      <c r="AF2604" s="412"/>
    </row>
    <row r="2605" spans="6:33" ht="24" customHeight="1">
      <c r="I2605" s="429" t="s">
        <v>711</v>
      </c>
      <c r="S2605" s="416">
        <v>2</v>
      </c>
      <c r="T2605" s="414" t="s">
        <v>1524</v>
      </c>
      <c r="U2605" s="414" t="s">
        <v>1730</v>
      </c>
      <c r="V2605" s="414">
        <f t="shared" si="254"/>
        <v>254.5</v>
      </c>
      <c r="W2605" s="413" t="s">
        <v>1134</v>
      </c>
      <c r="X2605" s="414">
        <f t="shared" si="255"/>
        <v>509</v>
      </c>
      <c r="Y2605" s="440">
        <v>4</v>
      </c>
      <c r="Z2605" s="414">
        <f>Y2605*V2607</f>
        <v>1632</v>
      </c>
      <c r="AB2605" s="414" t="s">
        <v>1648</v>
      </c>
      <c r="AE2605" s="440">
        <f>2*3*0.95*0.15*0.0375</f>
        <v>3.2099999999999997E-2</v>
      </c>
      <c r="AF2605" s="412"/>
    </row>
    <row r="2606" spans="6:33" ht="24" customHeight="1">
      <c r="S2606" s="416">
        <v>6</v>
      </c>
      <c r="T2606" s="414" t="s">
        <v>1524</v>
      </c>
      <c r="U2606" s="414" t="s">
        <v>888</v>
      </c>
      <c r="V2606" s="414">
        <f t="shared" si="254"/>
        <v>214.1</v>
      </c>
      <c r="W2606" s="413" t="s">
        <v>1134</v>
      </c>
      <c r="X2606" s="414">
        <f t="shared" si="255"/>
        <v>1284.5999999999999</v>
      </c>
      <c r="Y2606" s="440">
        <v>1</v>
      </c>
      <c r="Z2606" s="414">
        <f>Y2606*X2608</f>
        <v>836</v>
      </c>
      <c r="AC2606" s="414" t="s">
        <v>1649</v>
      </c>
      <c r="AE2606" s="440">
        <f>2*3*0.95*0.075*0.0375</f>
        <v>1.6E-2</v>
      </c>
      <c r="AF2606" s="412"/>
    </row>
    <row r="2607" spans="6:33" ht="24" customHeight="1">
      <c r="F2607" s="414">
        <v>73</v>
      </c>
      <c r="G2607" s="414" t="s">
        <v>1341</v>
      </c>
      <c r="H2607" s="414" t="s">
        <v>468</v>
      </c>
      <c r="I2607" s="414">
        <f>I2572</f>
        <v>70.150000000000006</v>
      </c>
      <c r="J2607" s="412" t="s">
        <v>1341</v>
      </c>
      <c r="K2607" s="414">
        <f>F2607*I2607</f>
        <v>5120.95</v>
      </c>
      <c r="S2607" s="416">
        <v>4</v>
      </c>
      <c r="T2607" s="414" t="s">
        <v>1524</v>
      </c>
      <c r="U2607" s="414" t="s">
        <v>1095</v>
      </c>
      <c r="V2607" s="414">
        <f t="shared" si="254"/>
        <v>408</v>
      </c>
      <c r="W2607" s="413" t="s">
        <v>1134</v>
      </c>
      <c r="X2607" s="414">
        <f t="shared" si="255"/>
        <v>1632</v>
      </c>
      <c r="Y2607" s="440">
        <v>2</v>
      </c>
      <c r="Z2607" s="414">
        <f>Y2607*V2609</f>
        <v>15</v>
      </c>
      <c r="AE2607" s="483">
        <f>SUM(AE2605:AE2606)</f>
        <v>4.8099999999999997E-2</v>
      </c>
      <c r="AF2607" s="412"/>
    </row>
    <row r="2608" spans="6:33" ht="24" customHeight="1">
      <c r="F2608" s="414">
        <v>1.01</v>
      </c>
      <c r="G2608" s="414" t="s">
        <v>1861</v>
      </c>
      <c r="H2608" s="414" t="s">
        <v>1729</v>
      </c>
      <c r="I2608" s="414">
        <f>I2573</f>
        <v>379.9</v>
      </c>
      <c r="J2608" s="412" t="s">
        <v>1861</v>
      </c>
      <c r="K2608" s="414">
        <f>F2608*I2608</f>
        <v>383.7</v>
      </c>
      <c r="S2608" s="416">
        <v>1</v>
      </c>
      <c r="T2608" s="414" t="s">
        <v>1524</v>
      </c>
      <c r="U2608" s="414" t="s">
        <v>1096</v>
      </c>
      <c r="V2608" s="414">
        <f t="shared" si="254"/>
        <v>836</v>
      </c>
      <c r="W2608" s="413" t="s">
        <v>1134</v>
      </c>
      <c r="X2608" s="414">
        <f t="shared" si="255"/>
        <v>836</v>
      </c>
      <c r="Y2608" s="440">
        <v>2</v>
      </c>
      <c r="Z2608" s="414">
        <f>Y2608*V2610</f>
        <v>99.1</v>
      </c>
      <c r="AF2608" s="412"/>
    </row>
    <row r="2609" spans="6:33" ht="24" customHeight="1">
      <c r="F2609" s="414">
        <v>1.01</v>
      </c>
      <c r="G2609" s="414" t="s">
        <v>1861</v>
      </c>
      <c r="H2609" s="414" t="s">
        <v>469</v>
      </c>
      <c r="I2609" s="414">
        <f>C198</f>
        <v>40.65</v>
      </c>
      <c r="J2609" s="412" t="s">
        <v>1861</v>
      </c>
      <c r="K2609" s="414">
        <f>F2609*I2609</f>
        <v>41.06</v>
      </c>
      <c r="S2609" s="416">
        <v>2</v>
      </c>
      <c r="T2609" s="414" t="s">
        <v>1524</v>
      </c>
      <c r="U2609" s="414" t="s">
        <v>1612</v>
      </c>
      <c r="V2609" s="414">
        <v>7.5</v>
      </c>
      <c r="W2609" s="413" t="s">
        <v>1134</v>
      </c>
      <c r="X2609" s="414">
        <f t="shared" si="255"/>
        <v>15</v>
      </c>
      <c r="Y2609" s="440"/>
      <c r="Z2609" s="414">
        <v>20</v>
      </c>
      <c r="AF2609" s="412"/>
    </row>
    <row r="2610" spans="6:33" ht="24" customHeight="1">
      <c r="H2610" s="414" t="s">
        <v>97</v>
      </c>
      <c r="I2610" s="414">
        <v>266.81</v>
      </c>
      <c r="J2610" s="412" t="s">
        <v>358</v>
      </c>
      <c r="K2610" s="414">
        <f>I2610</f>
        <v>266.81</v>
      </c>
      <c r="S2610" s="416">
        <v>2</v>
      </c>
      <c r="T2610" s="414" t="s">
        <v>1524</v>
      </c>
      <c r="U2610" s="414" t="s">
        <v>1614</v>
      </c>
      <c r="V2610" s="414">
        <f t="shared" si="254"/>
        <v>49.55</v>
      </c>
      <c r="W2610" s="413" t="s">
        <v>1134</v>
      </c>
      <c r="X2610" s="414">
        <f t="shared" si="255"/>
        <v>99.1</v>
      </c>
      <c r="Z2610" s="414" t="e">
        <f>SUM(Z2599:Z2609)</f>
        <v>#REF!</v>
      </c>
      <c r="AB2610" s="414" t="s">
        <v>1696</v>
      </c>
      <c r="AE2610" s="440">
        <f>2*4*0.825*0.3*0.01875</f>
        <v>3.7100000000000001E-2</v>
      </c>
      <c r="AF2610" s="412"/>
    </row>
    <row r="2611" spans="6:33" ht="24" customHeight="1">
      <c r="K2611" s="429" t="s">
        <v>119</v>
      </c>
      <c r="W2611" s="413"/>
      <c r="Z2611" s="414" t="e">
        <f>Z2610/3.485</f>
        <v>#REF!</v>
      </c>
      <c r="AB2611" s="414" t="s">
        <v>1697</v>
      </c>
      <c r="AE2611" s="440">
        <f>2*0.825*0.3*0.01875</f>
        <v>9.2999999999999992E-3</v>
      </c>
      <c r="AF2611" s="412"/>
    </row>
    <row r="2612" spans="6:33" ht="24" customHeight="1">
      <c r="K2612" s="414">
        <f>SUM(K2607:K2610)</f>
        <v>5812.52</v>
      </c>
      <c r="S2612" s="416">
        <v>10</v>
      </c>
      <c r="U2612" s="414" t="s">
        <v>929</v>
      </c>
      <c r="V2612" s="414">
        <f>I2643</f>
        <v>2.41</v>
      </c>
      <c r="W2612" s="413"/>
      <c r="X2612" s="414">
        <f t="shared" si="255"/>
        <v>24.1</v>
      </c>
      <c r="AE2612" s="483">
        <f>SUM(AE2610:AE2611)</f>
        <v>4.6399999999999997E-2</v>
      </c>
      <c r="AF2612" s="412"/>
    </row>
    <row r="2613" spans="6:33" ht="24" customHeight="1">
      <c r="H2613" s="414" t="s">
        <v>98</v>
      </c>
      <c r="I2613" s="414">
        <v>255</v>
      </c>
      <c r="J2613" s="412" t="s">
        <v>358</v>
      </c>
      <c r="K2613" s="414">
        <v>255</v>
      </c>
      <c r="T2613" s="417"/>
      <c r="U2613" s="417" t="s">
        <v>447</v>
      </c>
      <c r="W2613" s="413"/>
      <c r="X2613" s="417" t="e">
        <f>SUM(X2601:X2612)</f>
        <v>#REF!</v>
      </c>
      <c r="AD2613" s="417" t="s">
        <v>1323</v>
      </c>
      <c r="AF2613" s="412"/>
    </row>
    <row r="2614" spans="6:33" ht="24" customHeight="1">
      <c r="K2614" s="429" t="s">
        <v>119</v>
      </c>
      <c r="T2614" s="417"/>
      <c r="U2614" s="417"/>
      <c r="W2614" s="413"/>
      <c r="X2614" s="429" t="s">
        <v>119</v>
      </c>
      <c r="AF2614" s="412"/>
    </row>
    <row r="2615" spans="6:33" ht="24" customHeight="1">
      <c r="H2615" s="417" t="s">
        <v>99</v>
      </c>
      <c r="K2615" s="417">
        <f>SUM(K2612:K2613)</f>
        <v>6067.52</v>
      </c>
      <c r="M2615" s="414">
        <f>5227-K2615</f>
        <v>-840.52</v>
      </c>
      <c r="T2615" s="417"/>
      <c r="U2615" s="417" t="s">
        <v>1915</v>
      </c>
      <c r="W2615" s="413"/>
      <c r="X2615" s="417" t="e">
        <f>X2613/3.4425</f>
        <v>#REF!</v>
      </c>
      <c r="AB2615" s="440">
        <f>AE2604</f>
        <v>2.2800000000000001E-2</v>
      </c>
      <c r="AC2615" s="414" t="s">
        <v>702</v>
      </c>
      <c r="AD2615" s="414" t="s">
        <v>1913</v>
      </c>
      <c r="AE2615" s="414" t="e">
        <f>V2601</f>
        <v>#REF!</v>
      </c>
      <c r="AF2615" s="412" t="s">
        <v>702</v>
      </c>
      <c r="AG2615" s="414" t="e">
        <f>AB2615*AE2615</f>
        <v>#REF!</v>
      </c>
    </row>
    <row r="2616" spans="6:33" ht="24" customHeight="1">
      <c r="K2616" s="429" t="s">
        <v>119</v>
      </c>
      <c r="W2616" s="413"/>
      <c r="AB2616" s="440">
        <f>AE2607</f>
        <v>4.8099999999999997E-2</v>
      </c>
      <c r="AC2616" s="414" t="s">
        <v>702</v>
      </c>
      <c r="AD2616" s="414" t="s">
        <v>1914</v>
      </c>
      <c r="AE2616" s="414" t="e">
        <f t="shared" ref="AE2616:AE2624" si="256">V2602</f>
        <v>#REF!</v>
      </c>
      <c r="AF2616" s="412" t="s">
        <v>702</v>
      </c>
      <c r="AG2616" s="414" t="e">
        <f t="shared" ref="AG2616:AG2624" si="257">AB2616*AE2616</f>
        <v>#REF!</v>
      </c>
    </row>
    <row r="2617" spans="6:33" ht="24" hidden="1" customHeight="1">
      <c r="W2617" s="413"/>
      <c r="AB2617" s="439">
        <f>AE2612</f>
        <v>4.6399999999999997E-2</v>
      </c>
      <c r="AC2617" s="414" t="s">
        <v>702</v>
      </c>
      <c r="AD2617" s="414" t="s">
        <v>756</v>
      </c>
      <c r="AE2617" s="414">
        <f t="shared" si="256"/>
        <v>107000</v>
      </c>
      <c r="AF2617" s="412" t="s">
        <v>702</v>
      </c>
      <c r="AG2617" s="414">
        <f t="shared" si="257"/>
        <v>4964.8</v>
      </c>
    </row>
    <row r="2618" spans="6:33" ht="24" customHeight="1">
      <c r="W2618" s="413"/>
      <c r="AB2618" s="440">
        <f>AE2603</f>
        <v>3.8475000000000001</v>
      </c>
      <c r="AC2618" s="414" t="s">
        <v>488</v>
      </c>
      <c r="AD2618" s="414" t="s">
        <v>715</v>
      </c>
      <c r="AE2618" s="414">
        <f t="shared" si="256"/>
        <v>1537</v>
      </c>
      <c r="AF2618" s="412" t="s">
        <v>488</v>
      </c>
      <c r="AG2618" s="414">
        <f t="shared" si="257"/>
        <v>5913.61</v>
      </c>
    </row>
    <row r="2619" spans="6:33" ht="24" customHeight="1">
      <c r="H2619" s="417" t="s">
        <v>2390</v>
      </c>
      <c r="I2619" s="417"/>
      <c r="W2619" s="413"/>
      <c r="AB2619" s="414">
        <v>2</v>
      </c>
      <c r="AC2619" s="414" t="s">
        <v>1524</v>
      </c>
      <c r="AD2619" s="414" t="s">
        <v>1730</v>
      </c>
      <c r="AE2619" s="414">
        <f t="shared" si="256"/>
        <v>254.5</v>
      </c>
      <c r="AF2619" s="412" t="s">
        <v>1134</v>
      </c>
      <c r="AG2619" s="414">
        <f t="shared" si="257"/>
        <v>509</v>
      </c>
    </row>
    <row r="2620" spans="6:33" ht="24" customHeight="1">
      <c r="W2620" s="413"/>
      <c r="AB2620" s="414">
        <v>6</v>
      </c>
      <c r="AC2620" s="414" t="s">
        <v>1524</v>
      </c>
      <c r="AD2620" s="414" t="s">
        <v>888</v>
      </c>
      <c r="AE2620" s="414">
        <f t="shared" si="256"/>
        <v>214.1</v>
      </c>
      <c r="AF2620" s="412" t="s">
        <v>1134</v>
      </c>
      <c r="AG2620" s="414">
        <f t="shared" si="257"/>
        <v>1284.5999999999999</v>
      </c>
    </row>
    <row r="2621" spans="6:33" ht="24" customHeight="1">
      <c r="F2621" s="414" t="s">
        <v>367</v>
      </c>
      <c r="W2621" s="413"/>
      <c r="AB2621" s="414">
        <v>4</v>
      </c>
      <c r="AC2621" s="414" t="s">
        <v>1524</v>
      </c>
      <c r="AD2621" s="414" t="s">
        <v>1095</v>
      </c>
      <c r="AE2621" s="414">
        <f t="shared" si="256"/>
        <v>408</v>
      </c>
      <c r="AF2621" s="412" t="s">
        <v>1134</v>
      </c>
      <c r="AG2621" s="414">
        <f t="shared" si="257"/>
        <v>1632</v>
      </c>
    </row>
    <row r="2622" spans="6:33" ht="24" customHeight="1">
      <c r="F2622" s="414" t="s">
        <v>1574</v>
      </c>
      <c r="I2622" s="482">
        <v>2.2800000000000001E-2</v>
      </c>
      <c r="W2622" s="413"/>
      <c r="AB2622" s="414">
        <v>1</v>
      </c>
      <c r="AC2622" s="414" t="s">
        <v>1524</v>
      </c>
      <c r="AD2622" s="414" t="s">
        <v>1096</v>
      </c>
      <c r="AE2622" s="414">
        <f t="shared" si="256"/>
        <v>836</v>
      </c>
      <c r="AF2622" s="412" t="s">
        <v>1134</v>
      </c>
      <c r="AG2622" s="414">
        <f t="shared" si="257"/>
        <v>836</v>
      </c>
    </row>
    <row r="2623" spans="6:33" ht="24" customHeight="1">
      <c r="F2623" s="414" t="s">
        <v>1575</v>
      </c>
      <c r="I2623" s="440">
        <v>2.3599999999999999E-2</v>
      </c>
      <c r="W2623" s="413"/>
      <c r="AB2623" s="414">
        <v>2</v>
      </c>
      <c r="AC2623" s="414" t="s">
        <v>1524</v>
      </c>
      <c r="AD2623" s="414" t="s">
        <v>1612</v>
      </c>
      <c r="AE2623" s="414">
        <f t="shared" si="256"/>
        <v>7.5</v>
      </c>
      <c r="AF2623" s="412" t="s">
        <v>1134</v>
      </c>
      <c r="AG2623" s="414">
        <f t="shared" si="257"/>
        <v>15</v>
      </c>
    </row>
    <row r="2624" spans="6:33" ht="24" customHeight="1">
      <c r="G2624" s="414" t="s">
        <v>1687</v>
      </c>
      <c r="I2624" s="440">
        <v>1.18E-2</v>
      </c>
      <c r="W2624" s="413"/>
      <c r="AB2624" s="414">
        <v>2</v>
      </c>
      <c r="AC2624" s="414" t="s">
        <v>1524</v>
      </c>
      <c r="AD2624" s="414" t="s">
        <v>1614</v>
      </c>
      <c r="AE2624" s="414">
        <f t="shared" si="256"/>
        <v>49.55</v>
      </c>
      <c r="AF2624" s="412" t="s">
        <v>1134</v>
      </c>
      <c r="AG2624" s="414">
        <f t="shared" si="257"/>
        <v>99.1</v>
      </c>
    </row>
    <row r="2625" spans="6:33" ht="24" customHeight="1">
      <c r="I2625" s="483">
        <f>SUM(I2623:I2624)</f>
        <v>3.5400000000000001E-2</v>
      </c>
      <c r="W2625" s="413"/>
      <c r="AF2625" s="412"/>
    </row>
    <row r="2626" spans="6:33" ht="24" hidden="1" customHeight="1">
      <c r="O2626" s="417" t="s">
        <v>2391</v>
      </c>
      <c r="Q2626" s="412"/>
      <c r="W2626" s="413"/>
      <c r="AF2626" s="412"/>
      <c r="AG2626" s="429">
        <v>10.54</v>
      </c>
    </row>
    <row r="2627" spans="6:33" ht="24" customHeight="1">
      <c r="Q2627" s="412"/>
      <c r="W2627" s="413"/>
      <c r="AC2627" s="417"/>
      <c r="AD2627" s="417" t="s">
        <v>447</v>
      </c>
      <c r="AF2627" s="412"/>
      <c r="AG2627" s="417" t="e">
        <f>SUM(AG2615:AG2626)</f>
        <v>#REF!</v>
      </c>
    </row>
    <row r="2628" spans="6:33" ht="24" customHeight="1">
      <c r="F2628" s="414" t="s">
        <v>1688</v>
      </c>
      <c r="I2628" s="440">
        <v>2.5899999999999999E-2</v>
      </c>
      <c r="M2628" s="414" t="s">
        <v>1521</v>
      </c>
      <c r="Q2628" s="412"/>
      <c r="W2628" s="413"/>
      <c r="AC2628" s="417"/>
      <c r="AD2628" s="417"/>
      <c r="AF2628" s="412"/>
      <c r="AG2628" s="429" t="s">
        <v>119</v>
      </c>
    </row>
    <row r="2629" spans="6:33" ht="24" customHeight="1">
      <c r="F2629" s="414" t="s">
        <v>333</v>
      </c>
      <c r="I2629" s="440">
        <f>2*0.575*0.3*0.01875</f>
        <v>6.4999999999999997E-3</v>
      </c>
      <c r="K2629" s="414">
        <f>3643035-3769622.98</f>
        <v>-126587.98</v>
      </c>
      <c r="M2629" s="414" t="s">
        <v>1574</v>
      </c>
      <c r="P2629" s="482">
        <v>2.2800000000000001E-2</v>
      </c>
      <c r="Q2629" s="412"/>
      <c r="W2629" s="413"/>
      <c r="AC2629" s="417"/>
      <c r="AD2629" s="417" t="s">
        <v>1698</v>
      </c>
      <c r="AF2629" s="412"/>
      <c r="AG2629" s="417" t="e">
        <f>AG2627/3.8475</f>
        <v>#REF!</v>
      </c>
    </row>
    <row r="2630" spans="6:33" ht="24" customHeight="1">
      <c r="I2630" s="483">
        <f>SUM(I2628:I2629)</f>
        <v>3.2399999999999998E-2</v>
      </c>
      <c r="M2630" s="414" t="s">
        <v>1522</v>
      </c>
      <c r="P2630" s="440">
        <v>1.8599999999999998E-2</v>
      </c>
      <c r="Q2630" s="412"/>
      <c r="W2630" s="413"/>
    </row>
    <row r="2631" spans="6:33" ht="24" customHeight="1">
      <c r="H2631" s="417" t="s">
        <v>1323</v>
      </c>
      <c r="N2631" s="414" t="s">
        <v>320</v>
      </c>
      <c r="P2631" s="440">
        <v>9.2999999999999992E-3</v>
      </c>
      <c r="Q2631" s="412"/>
      <c r="W2631" s="413"/>
    </row>
    <row r="2632" spans="6:33" ht="24" customHeight="1">
      <c r="P2632" s="483">
        <f>SUM(P2630:P2631)</f>
        <v>2.7900000000000001E-2</v>
      </c>
      <c r="Q2632" s="412"/>
      <c r="W2632" s="413"/>
    </row>
    <row r="2633" spans="6:33" ht="24" customHeight="1">
      <c r="F2633" s="440">
        <v>2.2800000000000001E-2</v>
      </c>
      <c r="G2633" s="414" t="s">
        <v>702</v>
      </c>
      <c r="H2633" s="414" t="s">
        <v>2012</v>
      </c>
      <c r="I2633" s="414" t="e">
        <f>AC26</f>
        <v>#REF!</v>
      </c>
      <c r="J2633" s="412" t="s">
        <v>702</v>
      </c>
      <c r="K2633" s="414" t="e">
        <f>F2633*I2633</f>
        <v>#REF!</v>
      </c>
      <c r="Q2633" s="412"/>
      <c r="W2633" s="413"/>
    </row>
    <row r="2634" spans="6:33" ht="24" customHeight="1">
      <c r="F2634" s="440">
        <v>3.5400000000000001E-2</v>
      </c>
      <c r="G2634" s="414" t="s">
        <v>702</v>
      </c>
      <c r="H2634" s="414" t="s">
        <v>1914</v>
      </c>
      <c r="I2634" s="414" t="e">
        <f>AC27</f>
        <v>#REF!</v>
      </c>
      <c r="J2634" s="412" t="s">
        <v>702</v>
      </c>
      <c r="K2634" s="414" t="e">
        <f t="shared" ref="K2634:K2643" si="258">F2634*I2634</f>
        <v>#REF!</v>
      </c>
      <c r="Q2634" s="412"/>
      <c r="W2634" s="413"/>
    </row>
    <row r="2635" spans="6:33" ht="24" customHeight="1">
      <c r="F2635" s="439">
        <v>3.2300000000000002E-2</v>
      </c>
      <c r="G2635" s="414" t="s">
        <v>702</v>
      </c>
      <c r="H2635" s="414" t="s">
        <v>3017</v>
      </c>
      <c r="I2635" s="414">
        <v>107000</v>
      </c>
      <c r="J2635" s="412" t="s">
        <v>702</v>
      </c>
      <c r="K2635" s="414">
        <f t="shared" si="258"/>
        <v>3456.1</v>
      </c>
      <c r="M2635" s="414" t="s">
        <v>319</v>
      </c>
      <c r="P2635" s="440">
        <v>1.9E-2</v>
      </c>
      <c r="Q2635" s="412"/>
      <c r="W2635" s="413"/>
      <c r="AB2635" s="416"/>
      <c r="AD2635" s="417" t="s">
        <v>2265</v>
      </c>
      <c r="AF2635" s="412"/>
    </row>
    <row r="2636" spans="6:33" ht="24" customHeight="1">
      <c r="F2636" s="416">
        <v>2.835</v>
      </c>
      <c r="G2636" s="414" t="s">
        <v>488</v>
      </c>
      <c r="H2636" s="414" t="s">
        <v>715</v>
      </c>
      <c r="I2636" s="414">
        <f>AE30</f>
        <v>1537</v>
      </c>
      <c r="J2636" s="412" t="s">
        <v>488</v>
      </c>
      <c r="K2636" s="414">
        <f t="shared" si="258"/>
        <v>4357.3999999999996</v>
      </c>
      <c r="M2636" s="414" t="s">
        <v>274</v>
      </c>
      <c r="P2636" s="440">
        <v>4.7999999999999996E-3</v>
      </c>
      <c r="Q2636" s="412"/>
      <c r="W2636" s="413"/>
      <c r="AB2636" s="416"/>
      <c r="AD2636" s="417" t="s">
        <v>2329</v>
      </c>
      <c r="AF2636" s="412"/>
    </row>
    <row r="2637" spans="6:33" ht="24" customHeight="1">
      <c r="F2637" s="414">
        <v>2</v>
      </c>
      <c r="G2637" s="414" t="s">
        <v>1524</v>
      </c>
      <c r="H2637" s="414" t="s">
        <v>2266</v>
      </c>
      <c r="I2637" s="414">
        <f>I2818</f>
        <v>254.5</v>
      </c>
      <c r="J2637" s="412" t="s">
        <v>1134</v>
      </c>
      <c r="K2637" s="414">
        <f t="shared" si="258"/>
        <v>509</v>
      </c>
      <c r="P2637" s="483">
        <f>SUM(P2635:P2636)</f>
        <v>2.3800000000000002E-2</v>
      </c>
      <c r="Q2637" s="412"/>
      <c r="W2637" s="413"/>
      <c r="AB2637" s="416" t="s">
        <v>1908</v>
      </c>
      <c r="AE2637" s="482">
        <f>2*0.85*2.025</f>
        <v>3.4424999999999999</v>
      </c>
      <c r="AF2637" s="412"/>
    </row>
    <row r="2638" spans="6:33" ht="24" customHeight="1">
      <c r="F2638" s="414">
        <v>6</v>
      </c>
      <c r="G2638" s="414" t="s">
        <v>1524</v>
      </c>
      <c r="H2638" s="414" t="s">
        <v>2267</v>
      </c>
      <c r="I2638" s="414">
        <f t="shared" ref="I2638:I2643" si="259">I2819</f>
        <v>214.1</v>
      </c>
      <c r="J2638" s="412" t="s">
        <v>1134</v>
      </c>
      <c r="K2638" s="414">
        <f t="shared" si="258"/>
        <v>1284.5999999999999</v>
      </c>
      <c r="O2638" s="417" t="s">
        <v>1323</v>
      </c>
      <c r="Q2638" s="412"/>
      <c r="W2638" s="413"/>
      <c r="AB2638" s="416" t="s">
        <v>1574</v>
      </c>
      <c r="AE2638" s="482">
        <v>2.2800000000000001E-2</v>
      </c>
      <c r="AF2638" s="412"/>
    </row>
    <row r="2639" spans="6:33" ht="24" customHeight="1">
      <c r="F2639" s="414">
        <v>4</v>
      </c>
      <c r="G2639" s="414" t="s">
        <v>1524</v>
      </c>
      <c r="H2639" s="414" t="s">
        <v>2268</v>
      </c>
      <c r="I2639" s="414">
        <f t="shared" si="259"/>
        <v>408</v>
      </c>
      <c r="J2639" s="412" t="s">
        <v>1134</v>
      </c>
      <c r="K2639" s="414">
        <f t="shared" si="258"/>
        <v>1632</v>
      </c>
      <c r="Q2639" s="412"/>
      <c r="W2639" s="413"/>
      <c r="AB2639" s="416" t="s">
        <v>1909</v>
      </c>
      <c r="AE2639" s="440">
        <f>2*3*0.85*0.15*0.0375</f>
        <v>2.87E-2</v>
      </c>
      <c r="AF2639" s="412"/>
    </row>
    <row r="2640" spans="6:33" ht="24" customHeight="1">
      <c r="F2640" s="414">
        <v>1</v>
      </c>
      <c r="G2640" s="414" t="s">
        <v>1524</v>
      </c>
      <c r="H2640" s="414" t="s">
        <v>2269</v>
      </c>
      <c r="I2640" s="414">
        <f t="shared" si="259"/>
        <v>836</v>
      </c>
      <c r="J2640" s="412" t="s">
        <v>1134</v>
      </c>
      <c r="K2640" s="414">
        <f t="shared" si="258"/>
        <v>836</v>
      </c>
      <c r="M2640" s="440">
        <f>P2629</f>
        <v>2.2800000000000001E-2</v>
      </c>
      <c r="N2640" s="414" t="s">
        <v>702</v>
      </c>
      <c r="O2640" s="414" t="s">
        <v>1913</v>
      </c>
      <c r="P2640" s="414" t="e">
        <f>I2633</f>
        <v>#REF!</v>
      </c>
      <c r="Q2640" s="412" t="s">
        <v>702</v>
      </c>
      <c r="R2640" s="414" t="e">
        <f>M2640*P2640</f>
        <v>#REF!</v>
      </c>
      <c r="W2640" s="413"/>
      <c r="AB2640" s="416"/>
      <c r="AC2640" s="414" t="s">
        <v>1910</v>
      </c>
      <c r="AE2640" s="440">
        <f>2*3*0.85*0.075*0.0375</f>
        <v>1.43E-2</v>
      </c>
      <c r="AF2640" s="412"/>
    </row>
    <row r="2641" spans="6:34" ht="24" customHeight="1">
      <c r="F2641" s="414">
        <v>2</v>
      </c>
      <c r="G2641" s="414" t="s">
        <v>1524</v>
      </c>
      <c r="H2641" s="414" t="s">
        <v>3099</v>
      </c>
      <c r="I2641" s="414">
        <f t="shared" si="259"/>
        <v>7.3</v>
      </c>
      <c r="J2641" s="412" t="s">
        <v>1134</v>
      </c>
      <c r="K2641" s="414">
        <f t="shared" si="258"/>
        <v>14.6</v>
      </c>
      <c r="M2641" s="440">
        <f>P2632</f>
        <v>2.7900000000000001E-2</v>
      </c>
      <c r="N2641" s="414" t="s">
        <v>702</v>
      </c>
      <c r="O2641" s="414" t="s">
        <v>1914</v>
      </c>
      <c r="P2641" s="414" t="e">
        <f t="shared" ref="P2641:P2649" si="260">I2634</f>
        <v>#REF!</v>
      </c>
      <c r="Q2641" s="412" t="s">
        <v>702</v>
      </c>
      <c r="R2641" s="414" t="e">
        <f t="shared" ref="R2641:R2650" si="261">M2641*P2641</f>
        <v>#REF!</v>
      </c>
      <c r="W2641" s="413"/>
      <c r="AA2641" s="416"/>
      <c r="AB2641" s="416"/>
      <c r="AE2641" s="483">
        <f>SUM(AE2639:AE2640)</f>
        <v>4.2999999999999997E-2</v>
      </c>
      <c r="AF2641" s="412"/>
    </row>
    <row r="2642" spans="6:34" ht="24" customHeight="1">
      <c r="F2642" s="414">
        <v>2</v>
      </c>
      <c r="G2642" s="414" t="s">
        <v>1524</v>
      </c>
      <c r="H2642" s="414" t="s">
        <v>3018</v>
      </c>
      <c r="I2642" s="414">
        <f t="shared" si="259"/>
        <v>49.55</v>
      </c>
      <c r="J2642" s="412" t="s">
        <v>1134</v>
      </c>
      <c r="K2642" s="414">
        <f t="shared" si="258"/>
        <v>99.1</v>
      </c>
      <c r="M2642" s="439">
        <f>P2637</f>
        <v>2.3800000000000002E-2</v>
      </c>
      <c r="N2642" s="414" t="s">
        <v>702</v>
      </c>
      <c r="O2642" s="414" t="s">
        <v>2389</v>
      </c>
      <c r="P2642" s="414">
        <f t="shared" si="260"/>
        <v>107000</v>
      </c>
      <c r="Q2642" s="412" t="s">
        <v>702</v>
      </c>
      <c r="R2642" s="414">
        <f t="shared" si="261"/>
        <v>2546.6</v>
      </c>
      <c r="W2642" s="413"/>
      <c r="AA2642" s="416"/>
      <c r="AB2642" s="416"/>
      <c r="AF2642" s="412"/>
    </row>
    <row r="2643" spans="6:34" ht="24" customHeight="1">
      <c r="F2643" s="414">
        <v>118</v>
      </c>
      <c r="H2643" s="414" t="s">
        <v>929</v>
      </c>
      <c r="I2643" s="414">
        <f t="shared" si="259"/>
        <v>2.41</v>
      </c>
      <c r="K2643" s="414">
        <f t="shared" si="258"/>
        <v>284.38</v>
      </c>
      <c r="M2643" s="416">
        <v>2.23</v>
      </c>
      <c r="N2643" s="414" t="s">
        <v>488</v>
      </c>
      <c r="O2643" s="414" t="s">
        <v>715</v>
      </c>
      <c r="P2643" s="414">
        <f t="shared" si="260"/>
        <v>1537</v>
      </c>
      <c r="Q2643" s="412" t="s">
        <v>488</v>
      </c>
      <c r="R2643" s="414">
        <f t="shared" si="261"/>
        <v>3427.51</v>
      </c>
      <c r="W2643" s="413"/>
      <c r="AA2643" s="416"/>
      <c r="AB2643" s="416"/>
      <c r="AF2643" s="412"/>
    </row>
    <row r="2644" spans="6:34" ht="24" customHeight="1">
      <c r="K2644" s="429"/>
      <c r="M2644" s="414">
        <v>2</v>
      </c>
      <c r="N2644" s="414" t="s">
        <v>1524</v>
      </c>
      <c r="O2644" s="417" t="s">
        <v>2266</v>
      </c>
      <c r="P2644" s="414">
        <f t="shared" si="260"/>
        <v>254.5</v>
      </c>
      <c r="Q2644" s="412" t="s">
        <v>1134</v>
      </c>
      <c r="R2644" s="414">
        <f t="shared" si="261"/>
        <v>509</v>
      </c>
      <c r="W2644" s="413"/>
      <c r="AA2644" s="416"/>
      <c r="AB2644" s="416" t="s">
        <v>1911</v>
      </c>
      <c r="AE2644" s="440">
        <f>2*4*0.725*0.3*0.01875</f>
        <v>3.2599999999999997E-2</v>
      </c>
      <c r="AF2644" s="412"/>
    </row>
    <row r="2645" spans="6:34" ht="24" customHeight="1">
      <c r="G2645" s="417"/>
      <c r="H2645" s="417" t="s">
        <v>447</v>
      </c>
      <c r="K2645" s="417" t="e">
        <f>SUM(K2633:K2644)</f>
        <v>#REF!</v>
      </c>
      <c r="L2645" s="415"/>
      <c r="M2645" s="414">
        <v>6</v>
      </c>
      <c r="N2645" s="414" t="s">
        <v>1524</v>
      </c>
      <c r="O2645" s="417" t="s">
        <v>2267</v>
      </c>
      <c r="P2645" s="414">
        <f t="shared" si="260"/>
        <v>214.1</v>
      </c>
      <c r="Q2645" s="412" t="s">
        <v>1134</v>
      </c>
      <c r="R2645" s="414">
        <f t="shared" si="261"/>
        <v>1284.5999999999999</v>
      </c>
      <c r="W2645" s="413"/>
      <c r="AA2645" s="416"/>
      <c r="AB2645" s="416" t="s">
        <v>1912</v>
      </c>
      <c r="AE2645" s="440">
        <f>2*0.725*0.3*0.01875</f>
        <v>8.2000000000000007E-3</v>
      </c>
      <c r="AF2645" s="412"/>
    </row>
    <row r="2646" spans="6:34" ht="24" customHeight="1">
      <c r="G2646" s="417"/>
      <c r="H2646" s="417"/>
      <c r="K2646" s="429" t="s">
        <v>119</v>
      </c>
      <c r="M2646" s="414">
        <v>4</v>
      </c>
      <c r="N2646" s="414" t="s">
        <v>1524</v>
      </c>
      <c r="O2646" s="417" t="s">
        <v>2268</v>
      </c>
      <c r="P2646" s="414">
        <f t="shared" si="260"/>
        <v>408</v>
      </c>
      <c r="Q2646" s="412" t="s">
        <v>1134</v>
      </c>
      <c r="R2646" s="414">
        <f t="shared" si="261"/>
        <v>1632</v>
      </c>
      <c r="W2646" s="413"/>
      <c r="AA2646" s="416"/>
      <c r="AB2646" s="416"/>
      <c r="AE2646" s="483">
        <f>SUM(AE2644:AE2645)</f>
        <v>4.0800000000000003E-2</v>
      </c>
      <c r="AF2646" s="412"/>
    </row>
    <row r="2647" spans="6:34" ht="24" customHeight="1">
      <c r="G2647" s="417"/>
      <c r="H2647" s="417" t="s">
        <v>1692</v>
      </c>
      <c r="K2647" s="417" t="e">
        <f>K2645/2.835</f>
        <v>#REF!</v>
      </c>
      <c r="M2647" s="414">
        <v>1</v>
      </c>
      <c r="N2647" s="414" t="s">
        <v>1524</v>
      </c>
      <c r="O2647" s="417" t="s">
        <v>2269</v>
      </c>
      <c r="P2647" s="414">
        <f t="shared" si="260"/>
        <v>836</v>
      </c>
      <c r="Q2647" s="412" t="s">
        <v>1134</v>
      </c>
      <c r="R2647" s="414">
        <f t="shared" si="261"/>
        <v>836</v>
      </c>
      <c r="W2647" s="413"/>
      <c r="AA2647" s="416"/>
      <c r="AB2647" s="416"/>
      <c r="AD2647" s="417" t="s">
        <v>1323</v>
      </c>
      <c r="AF2647" s="412"/>
      <c r="AH2647" s="440"/>
    </row>
    <row r="2648" spans="6:34" ht="24" customHeight="1">
      <c r="G2648" s="417"/>
      <c r="K2648" s="429" t="s">
        <v>119</v>
      </c>
      <c r="M2648" s="414">
        <v>2</v>
      </c>
      <c r="N2648" s="414" t="s">
        <v>1524</v>
      </c>
      <c r="O2648" s="414" t="s">
        <v>1612</v>
      </c>
      <c r="P2648" s="414">
        <f t="shared" si="260"/>
        <v>7.3</v>
      </c>
      <c r="Q2648" s="412" t="s">
        <v>1134</v>
      </c>
      <c r="R2648" s="414">
        <f t="shared" si="261"/>
        <v>14.6</v>
      </c>
      <c r="W2648" s="413"/>
      <c r="AA2648" s="416"/>
      <c r="AB2648" s="416"/>
      <c r="AF2648" s="412"/>
      <c r="AH2648" s="440"/>
    </row>
    <row r="2649" spans="6:34" ht="24" customHeight="1">
      <c r="F2649" s="427" t="s">
        <v>712</v>
      </c>
      <c r="H2649" s="412" t="s">
        <v>1627</v>
      </c>
      <c r="M2649" s="414">
        <v>2</v>
      </c>
      <c r="N2649" s="414" t="s">
        <v>1524</v>
      </c>
      <c r="O2649" s="414" t="s">
        <v>1614</v>
      </c>
      <c r="P2649" s="414">
        <f t="shared" si="260"/>
        <v>49.55</v>
      </c>
      <c r="Q2649" s="412" t="s">
        <v>1134</v>
      </c>
      <c r="R2649" s="414">
        <f t="shared" si="261"/>
        <v>99.1</v>
      </c>
      <c r="W2649" s="413"/>
      <c r="AA2649" s="416"/>
      <c r="AB2649" s="440">
        <f>AE2638</f>
        <v>2.2800000000000001E-2</v>
      </c>
      <c r="AC2649" s="414" t="s">
        <v>702</v>
      </c>
      <c r="AD2649" s="414" t="s">
        <v>1913</v>
      </c>
      <c r="AE2649" s="414" t="e">
        <f>V2601</f>
        <v>#REF!</v>
      </c>
      <c r="AF2649" s="412" t="s">
        <v>702</v>
      </c>
      <c r="AG2649" s="414" t="e">
        <f>AB2649*AE2649</f>
        <v>#REF!</v>
      </c>
      <c r="AH2649" s="440"/>
    </row>
    <row r="2650" spans="6:34" ht="24" customHeight="1">
      <c r="H2650" s="418" t="s">
        <v>1288</v>
      </c>
      <c r="I2650" s="418" t="s">
        <v>1288</v>
      </c>
      <c r="J2650" s="412" t="s">
        <v>1288</v>
      </c>
      <c r="M2650" s="414">
        <v>118</v>
      </c>
      <c r="O2650" s="414" t="s">
        <v>929</v>
      </c>
      <c r="P2650" s="414">
        <f>P2831</f>
        <v>2.41</v>
      </c>
      <c r="Q2650" s="412"/>
      <c r="R2650" s="414">
        <f t="shared" si="261"/>
        <v>284.38</v>
      </c>
      <c r="W2650" s="413"/>
      <c r="AA2650" s="416"/>
      <c r="AB2650" s="440">
        <f>AE2641</f>
        <v>4.2999999999999997E-2</v>
      </c>
      <c r="AC2650" s="414" t="s">
        <v>702</v>
      </c>
      <c r="AD2650" s="414" t="s">
        <v>1914</v>
      </c>
      <c r="AE2650" s="414" t="e">
        <f t="shared" ref="AE2650:AE2660" si="262">V2602</f>
        <v>#REF!</v>
      </c>
      <c r="AF2650" s="412" t="s">
        <v>702</v>
      </c>
      <c r="AG2650" s="414" t="e">
        <f t="shared" ref="AG2650:AG2660" si="263">AB2650*AE2650</f>
        <v>#REF!</v>
      </c>
      <c r="AH2650" s="440"/>
    </row>
    <row r="2651" spans="6:34" ht="24" customHeight="1">
      <c r="Q2651" s="412"/>
      <c r="R2651" s="429" t="s">
        <v>119</v>
      </c>
      <c r="W2651" s="413"/>
      <c r="AA2651" s="416"/>
      <c r="AB2651" s="440">
        <f>AE2646</f>
        <v>4.0800000000000003E-2</v>
      </c>
      <c r="AC2651" s="414" t="s">
        <v>702</v>
      </c>
      <c r="AD2651" s="431" t="s">
        <v>2389</v>
      </c>
      <c r="AE2651" s="414">
        <f t="shared" si="262"/>
        <v>107000</v>
      </c>
      <c r="AF2651" s="412" t="s">
        <v>702</v>
      </c>
      <c r="AG2651" s="414">
        <f t="shared" si="263"/>
        <v>4365.6000000000004</v>
      </c>
      <c r="AH2651" s="440"/>
    </row>
    <row r="2652" spans="6:34" ht="34.5" customHeight="1">
      <c r="H2652" s="412" t="s">
        <v>1628</v>
      </c>
      <c r="N2652" s="417"/>
      <c r="O2652" s="417" t="s">
        <v>447</v>
      </c>
      <c r="Q2652" s="412"/>
      <c r="R2652" s="417" t="e">
        <f>SUM(R2640:R2650)</f>
        <v>#REF!</v>
      </c>
      <c r="W2652" s="413"/>
      <c r="AA2652" s="416"/>
      <c r="AB2652" s="440">
        <f>AE2637</f>
        <v>3.4424999999999999</v>
      </c>
      <c r="AC2652" s="414" t="s">
        <v>488</v>
      </c>
      <c r="AD2652" s="431" t="s">
        <v>715</v>
      </c>
      <c r="AE2652" s="414">
        <f t="shared" si="262"/>
        <v>1537</v>
      </c>
      <c r="AF2652" s="412" t="s">
        <v>488</v>
      </c>
      <c r="AG2652" s="414">
        <f t="shared" si="263"/>
        <v>5291.12</v>
      </c>
      <c r="AH2652" s="440"/>
    </row>
    <row r="2653" spans="6:34" ht="24" customHeight="1">
      <c r="H2653" s="412"/>
      <c r="N2653" s="417"/>
      <c r="O2653" s="417"/>
      <c r="Q2653" s="412"/>
      <c r="R2653" s="429" t="s">
        <v>119</v>
      </c>
      <c r="W2653" s="413"/>
      <c r="AA2653" s="416"/>
      <c r="AB2653" s="416">
        <v>2</v>
      </c>
      <c r="AC2653" s="414" t="s">
        <v>1524</v>
      </c>
      <c r="AD2653" s="414" t="s">
        <v>2266</v>
      </c>
      <c r="AE2653" s="414">
        <v>450</v>
      </c>
      <c r="AF2653" s="412" t="s">
        <v>1134</v>
      </c>
      <c r="AG2653" s="414">
        <f t="shared" si="263"/>
        <v>900</v>
      </c>
      <c r="AH2653" s="440"/>
    </row>
    <row r="2654" spans="6:34" ht="24" customHeight="1">
      <c r="H2654" s="412" t="s">
        <v>1629</v>
      </c>
      <c r="N2654" s="417"/>
      <c r="O2654" s="417" t="s">
        <v>513</v>
      </c>
      <c r="Q2654" s="412"/>
      <c r="R2654" s="417" t="e">
        <f>R2652/M2643</f>
        <v>#REF!</v>
      </c>
      <c r="W2654" s="413"/>
      <c r="AA2654" s="416"/>
      <c r="AB2654" s="416">
        <v>6</v>
      </c>
      <c r="AC2654" s="414" t="s">
        <v>1524</v>
      </c>
      <c r="AD2654" s="414" t="s">
        <v>2267</v>
      </c>
      <c r="AE2654" s="414">
        <v>79</v>
      </c>
      <c r="AF2654" s="412" t="s">
        <v>1134</v>
      </c>
      <c r="AG2654" s="414">
        <f t="shared" si="263"/>
        <v>474</v>
      </c>
      <c r="AH2654" s="440"/>
    </row>
    <row r="2655" spans="6:34" ht="24" customHeight="1">
      <c r="H2655" s="412" t="s">
        <v>363</v>
      </c>
      <c r="N2655" s="417"/>
      <c r="Q2655" s="412"/>
      <c r="R2655" s="429" t="s">
        <v>119</v>
      </c>
      <c r="W2655" s="413"/>
      <c r="AA2655" s="440"/>
      <c r="AB2655" s="416">
        <v>4</v>
      </c>
      <c r="AC2655" s="414" t="s">
        <v>1524</v>
      </c>
      <c r="AD2655" s="414" t="s">
        <v>2268</v>
      </c>
      <c r="AE2655" s="414">
        <v>130</v>
      </c>
      <c r="AF2655" s="412" t="s">
        <v>1134</v>
      </c>
      <c r="AG2655" s="414">
        <f t="shared" si="263"/>
        <v>520</v>
      </c>
      <c r="AH2655" s="440"/>
    </row>
    <row r="2656" spans="6:34" ht="24" customHeight="1">
      <c r="H2656" s="412" t="s">
        <v>364</v>
      </c>
      <c r="M2656" s="414" t="s">
        <v>712</v>
      </c>
      <c r="O2656" s="414" t="s">
        <v>1627</v>
      </c>
      <c r="W2656" s="413"/>
      <c r="AA2656" s="440"/>
      <c r="AB2656" s="416">
        <v>1</v>
      </c>
      <c r="AC2656" s="414" t="s">
        <v>1524</v>
      </c>
      <c r="AD2656" s="414" t="s">
        <v>2269</v>
      </c>
      <c r="AE2656" s="414">
        <v>985</v>
      </c>
      <c r="AF2656" s="412" t="s">
        <v>1134</v>
      </c>
      <c r="AG2656" s="414">
        <f t="shared" si="263"/>
        <v>985</v>
      </c>
      <c r="AH2656" s="440"/>
    </row>
    <row r="2657" spans="6:34" ht="24" customHeight="1">
      <c r="H2657" s="412" t="s">
        <v>365</v>
      </c>
      <c r="O2657" s="414" t="s">
        <v>1288</v>
      </c>
      <c r="P2657" s="414" t="s">
        <v>1288</v>
      </c>
      <c r="Q2657" s="414" t="s">
        <v>1288</v>
      </c>
      <c r="W2657" s="413"/>
      <c r="AA2657" s="440"/>
      <c r="AB2657" s="416">
        <v>2</v>
      </c>
      <c r="AC2657" s="414" t="s">
        <v>1524</v>
      </c>
      <c r="AD2657" s="414" t="s">
        <v>2261</v>
      </c>
      <c r="AE2657" s="414">
        <v>24.6</v>
      </c>
      <c r="AF2657" s="412" t="s">
        <v>1134</v>
      </c>
      <c r="AG2657" s="414">
        <f t="shared" si="263"/>
        <v>49.2</v>
      </c>
      <c r="AH2657" s="440"/>
    </row>
    <row r="2658" spans="6:34" ht="24" customHeight="1">
      <c r="H2658" s="412" t="s">
        <v>713</v>
      </c>
      <c r="J2658" s="412" t="s">
        <v>790</v>
      </c>
      <c r="K2658" s="439">
        <v>3.7699999999999997E-2</v>
      </c>
      <c r="W2658" s="413"/>
      <c r="AA2658" s="440"/>
      <c r="AB2658" s="416">
        <v>2</v>
      </c>
      <c r="AC2658" s="414" t="s">
        <v>1524</v>
      </c>
      <c r="AD2658" s="414" t="s">
        <v>1614</v>
      </c>
      <c r="AE2658" s="414">
        <f t="shared" si="262"/>
        <v>49.55</v>
      </c>
      <c r="AF2658" s="412" t="s">
        <v>1134</v>
      </c>
      <c r="AG2658" s="414">
        <f t="shared" si="263"/>
        <v>99.1</v>
      </c>
    </row>
    <row r="2659" spans="6:34" ht="24" customHeight="1">
      <c r="H2659" s="412" t="s">
        <v>556</v>
      </c>
      <c r="J2659" s="449" t="s">
        <v>790</v>
      </c>
      <c r="K2659" s="449" t="s">
        <v>790</v>
      </c>
      <c r="O2659" s="414" t="s">
        <v>1628</v>
      </c>
      <c r="W2659" s="413"/>
      <c r="AA2659" s="416"/>
      <c r="AB2659" s="416"/>
      <c r="AE2659" s="414">
        <f t="shared" si="262"/>
        <v>0</v>
      </c>
      <c r="AF2659" s="412"/>
      <c r="AG2659" s="414">
        <f t="shared" si="263"/>
        <v>0</v>
      </c>
    </row>
    <row r="2660" spans="6:34" ht="24" customHeight="1">
      <c r="H2660" s="412" t="s">
        <v>1485</v>
      </c>
      <c r="K2660" s="449" t="s">
        <v>790</v>
      </c>
      <c r="W2660" s="413"/>
      <c r="AA2660" s="416"/>
      <c r="AB2660" s="416">
        <v>118</v>
      </c>
      <c r="AD2660" s="414" t="s">
        <v>929</v>
      </c>
      <c r="AE2660" s="414">
        <f t="shared" si="262"/>
        <v>2.41</v>
      </c>
      <c r="AF2660" s="412"/>
      <c r="AG2660" s="414">
        <f t="shared" si="263"/>
        <v>284.38</v>
      </c>
    </row>
    <row r="2661" spans="6:34" ht="24" customHeight="1">
      <c r="O2661" s="414" t="s">
        <v>1629</v>
      </c>
      <c r="W2661" s="413"/>
      <c r="AA2661" s="416"/>
      <c r="AB2661" s="416"/>
      <c r="AC2661" s="417"/>
      <c r="AD2661" s="417" t="s">
        <v>447</v>
      </c>
      <c r="AF2661" s="412"/>
      <c r="AG2661" s="417" t="e">
        <f>SUM(AG2649:AG2660)</f>
        <v>#REF!</v>
      </c>
    </row>
    <row r="2662" spans="6:34" ht="24" customHeight="1">
      <c r="F2662" s="450">
        <v>1.18E-2</v>
      </c>
      <c r="G2662" s="414" t="s">
        <v>702</v>
      </c>
      <c r="H2662" s="412" t="s">
        <v>553</v>
      </c>
      <c r="I2662" s="414" t="e">
        <f>AC26</f>
        <v>#REF!</v>
      </c>
      <c r="J2662" s="412" t="s">
        <v>702</v>
      </c>
      <c r="K2662" s="414" t="e">
        <f t="shared" ref="K2662:K2671" si="264">(F2662*I2662)</f>
        <v>#REF!</v>
      </c>
      <c r="O2662" s="414" t="s">
        <v>363</v>
      </c>
      <c r="W2662" s="413"/>
      <c r="AA2662" s="416"/>
      <c r="AB2662" s="416"/>
      <c r="AC2662" s="417"/>
      <c r="AD2662" s="417"/>
      <c r="AF2662" s="412"/>
      <c r="AG2662" s="429" t="s">
        <v>119</v>
      </c>
    </row>
    <row r="2663" spans="6:34" ht="24" customHeight="1">
      <c r="F2663" s="450">
        <v>3.7699999999999997E-2</v>
      </c>
      <c r="G2663" s="414" t="s">
        <v>702</v>
      </c>
      <c r="H2663" s="412" t="s">
        <v>554</v>
      </c>
      <c r="I2663" s="414" t="e">
        <f>AC27</f>
        <v>#REF!</v>
      </c>
      <c r="J2663" s="412" t="s">
        <v>702</v>
      </c>
      <c r="K2663" s="414" t="e">
        <f t="shared" si="264"/>
        <v>#REF!</v>
      </c>
      <c r="O2663" s="414" t="s">
        <v>364</v>
      </c>
      <c r="W2663" s="413"/>
      <c r="AA2663" s="416"/>
      <c r="AB2663" s="416"/>
      <c r="AC2663" s="417"/>
      <c r="AD2663" s="417" t="s">
        <v>1915</v>
      </c>
      <c r="AF2663" s="412"/>
      <c r="AG2663" s="417" t="e">
        <f>AG2661/3.4425</f>
        <v>#REF!</v>
      </c>
    </row>
    <row r="2664" spans="6:34" ht="24" customHeight="1">
      <c r="F2664" s="450">
        <v>1.8550000000000001E-2</v>
      </c>
      <c r="G2664" s="414" t="s">
        <v>702</v>
      </c>
      <c r="H2664" s="412" t="s">
        <v>717</v>
      </c>
      <c r="I2664" s="414">
        <f>AE33</f>
        <v>13690</v>
      </c>
      <c r="J2664" s="412" t="s">
        <v>702</v>
      </c>
      <c r="K2664" s="414">
        <f t="shared" si="264"/>
        <v>253.95</v>
      </c>
      <c r="O2664" s="414" t="s">
        <v>365</v>
      </c>
      <c r="W2664" s="413"/>
      <c r="AA2664" s="416"/>
      <c r="AE2664" s="412"/>
    </row>
    <row r="2665" spans="6:34" ht="24" customHeight="1">
      <c r="F2665" s="450">
        <v>1.36</v>
      </c>
      <c r="G2665" s="414" t="s">
        <v>488</v>
      </c>
      <c r="H2665" s="412" t="s">
        <v>718</v>
      </c>
      <c r="I2665" s="414">
        <v>269.10000000000002</v>
      </c>
      <c r="J2665" s="412" t="s">
        <v>488</v>
      </c>
      <c r="K2665" s="414">
        <f t="shared" si="264"/>
        <v>365.98</v>
      </c>
      <c r="O2665" s="414" t="s">
        <v>713</v>
      </c>
      <c r="Q2665" s="414" t="s">
        <v>790</v>
      </c>
      <c r="R2665" s="414">
        <v>0.04</v>
      </c>
      <c r="W2665" s="413"/>
      <c r="AA2665" s="416"/>
      <c r="AE2665" s="412"/>
    </row>
    <row r="2666" spans="6:34" ht="24" customHeight="1">
      <c r="F2666" s="450">
        <v>2.0499999999999998</v>
      </c>
      <c r="G2666" s="414" t="s">
        <v>488</v>
      </c>
      <c r="H2666" s="412" t="s">
        <v>1225</v>
      </c>
      <c r="I2666" s="414">
        <f>D30</f>
        <v>1281</v>
      </c>
      <c r="J2666" s="412" t="s">
        <v>488</v>
      </c>
      <c r="K2666" s="414">
        <f t="shared" si="264"/>
        <v>2626.05</v>
      </c>
      <c r="O2666" s="414" t="s">
        <v>556</v>
      </c>
      <c r="Q2666" s="414" t="s">
        <v>790</v>
      </c>
      <c r="R2666" s="414" t="s">
        <v>790</v>
      </c>
      <c r="W2666" s="413"/>
      <c r="AA2666" s="416"/>
      <c r="AE2666" s="412"/>
    </row>
    <row r="2667" spans="6:34" ht="24" customHeight="1">
      <c r="F2667" s="414">
        <v>2</v>
      </c>
      <c r="G2667" s="414" t="s">
        <v>701</v>
      </c>
      <c r="H2667" s="412" t="s">
        <v>1125</v>
      </c>
      <c r="I2667" s="414">
        <f>E285</f>
        <v>57</v>
      </c>
      <c r="J2667" s="412" t="s">
        <v>701</v>
      </c>
      <c r="K2667" s="414">
        <f t="shared" si="264"/>
        <v>114</v>
      </c>
      <c r="O2667" s="414" t="s">
        <v>1485</v>
      </c>
      <c r="R2667" s="414" t="s">
        <v>790</v>
      </c>
      <c r="W2667" s="413"/>
      <c r="AA2667" s="416"/>
      <c r="AB2667" s="417"/>
      <c r="AC2667" s="417"/>
      <c r="AE2667" s="412"/>
      <c r="AF2667" s="417"/>
    </row>
    <row r="2668" spans="6:34" ht="24" customHeight="1">
      <c r="F2668" s="414">
        <v>6</v>
      </c>
      <c r="G2668" s="414" t="s">
        <v>701</v>
      </c>
      <c r="H2668" s="412" t="s">
        <v>1091</v>
      </c>
      <c r="I2668" s="414">
        <f>C282</f>
        <v>49.35</v>
      </c>
      <c r="J2668" s="412" t="s">
        <v>701</v>
      </c>
      <c r="K2668" s="414">
        <f t="shared" si="264"/>
        <v>296.10000000000002</v>
      </c>
      <c r="W2668" s="413"/>
      <c r="AA2668" s="416"/>
      <c r="AB2668" s="417"/>
      <c r="AC2668" s="417"/>
      <c r="AE2668" s="412"/>
      <c r="AF2668" s="429"/>
    </row>
    <row r="2669" spans="6:34" ht="24" customHeight="1">
      <c r="F2669" s="414">
        <v>2</v>
      </c>
      <c r="G2669" s="414" t="s">
        <v>701</v>
      </c>
      <c r="H2669" s="412" t="s">
        <v>1731</v>
      </c>
      <c r="I2669" s="414">
        <f>I1134</f>
        <v>60.9</v>
      </c>
      <c r="J2669" s="412" t="s">
        <v>701</v>
      </c>
      <c r="K2669" s="414">
        <f t="shared" si="264"/>
        <v>121.8</v>
      </c>
      <c r="M2669" s="414">
        <v>0.01</v>
      </c>
      <c r="N2669" s="414" t="s">
        <v>702</v>
      </c>
      <c r="O2669" s="414" t="s">
        <v>553</v>
      </c>
      <c r="P2669" s="414" t="e">
        <f>I2662</f>
        <v>#REF!</v>
      </c>
      <c r="Q2669" s="414" t="s">
        <v>702</v>
      </c>
      <c r="R2669" s="414">
        <v>764.29</v>
      </c>
      <c r="W2669" s="413"/>
      <c r="AA2669" s="416"/>
      <c r="AB2669" s="417"/>
      <c r="AC2669" s="417"/>
      <c r="AE2669" s="412"/>
      <c r="AF2669" s="417"/>
    </row>
    <row r="2670" spans="6:34" ht="24" customHeight="1">
      <c r="F2670" s="414">
        <v>1</v>
      </c>
      <c r="G2670" s="414" t="s">
        <v>701</v>
      </c>
      <c r="H2670" s="412" t="s">
        <v>1152</v>
      </c>
      <c r="I2670" s="414">
        <f>I1135</f>
        <v>63.2</v>
      </c>
      <c r="J2670" s="412" t="s">
        <v>701</v>
      </c>
      <c r="K2670" s="414">
        <f t="shared" si="264"/>
        <v>63.2</v>
      </c>
      <c r="M2670" s="414">
        <v>0.04</v>
      </c>
      <c r="N2670" s="414" t="s">
        <v>702</v>
      </c>
      <c r="O2670" s="414" t="s">
        <v>554</v>
      </c>
      <c r="P2670" s="414" t="e">
        <f>I2663</f>
        <v>#REF!</v>
      </c>
      <c r="Q2670" s="414" t="s">
        <v>702</v>
      </c>
      <c r="R2670" s="414">
        <v>2172.65</v>
      </c>
      <c r="W2670" s="413"/>
      <c r="AA2670" s="416"/>
    </row>
    <row r="2671" spans="6:34" ht="24" customHeight="1">
      <c r="F2671" s="414">
        <v>2.52</v>
      </c>
      <c r="G2671" s="414" t="s">
        <v>488</v>
      </c>
      <c r="H2671" s="412" t="s">
        <v>1393</v>
      </c>
      <c r="I2671" s="414">
        <f>K1167</f>
        <v>194.22</v>
      </c>
      <c r="J2671" s="412" t="s">
        <v>488</v>
      </c>
      <c r="K2671" s="414">
        <f t="shared" si="264"/>
        <v>489.43</v>
      </c>
      <c r="M2671" s="414">
        <v>0.02</v>
      </c>
      <c r="N2671" s="414" t="s">
        <v>702</v>
      </c>
      <c r="O2671" s="414" t="s">
        <v>717</v>
      </c>
      <c r="P2671" s="414">
        <f>I2664</f>
        <v>13690</v>
      </c>
      <c r="Q2671" s="414" t="s">
        <v>702</v>
      </c>
      <c r="R2671" s="414">
        <v>56.02</v>
      </c>
      <c r="W2671" s="413"/>
    </row>
    <row r="2672" spans="6:34" ht="24" customHeight="1">
      <c r="H2672" s="412" t="s">
        <v>1149</v>
      </c>
      <c r="I2672" s="413" t="s">
        <v>358</v>
      </c>
      <c r="K2672" s="414">
        <v>2.13</v>
      </c>
      <c r="M2672" s="414">
        <v>1.36</v>
      </c>
      <c r="N2672" s="414" t="s">
        <v>488</v>
      </c>
      <c r="O2672" s="414" t="s">
        <v>718</v>
      </c>
      <c r="P2672" s="414">
        <v>385.89</v>
      </c>
      <c r="Q2672" s="414" t="s">
        <v>488</v>
      </c>
      <c r="R2672" s="414">
        <v>524.80999999999995</v>
      </c>
      <c r="W2672" s="413"/>
    </row>
    <row r="2673" spans="6:23" ht="24" customHeight="1">
      <c r="H2673" s="417"/>
      <c r="I2673" s="417"/>
      <c r="J2673" s="415"/>
      <c r="K2673" s="436" t="s">
        <v>1288</v>
      </c>
      <c r="M2673" s="414">
        <v>2.0499999999999998</v>
      </c>
      <c r="N2673" s="414" t="s">
        <v>488</v>
      </c>
      <c r="O2673" s="414" t="s">
        <v>1225</v>
      </c>
      <c r="P2673" s="414">
        <f t="shared" ref="P2673:P2678" si="265">I2666</f>
        <v>1281</v>
      </c>
      <c r="Q2673" s="414" t="s">
        <v>488</v>
      </c>
      <c r="R2673" s="414">
        <v>586.29999999999995</v>
      </c>
      <c r="W2673" s="413"/>
    </row>
    <row r="2674" spans="6:23" ht="24" customHeight="1">
      <c r="H2674" s="420" t="s">
        <v>1150</v>
      </c>
      <c r="I2674" s="417"/>
      <c r="J2674" s="415"/>
      <c r="K2674" s="417" t="e">
        <f>SUM(K2662:K2672)</f>
        <v>#REF!</v>
      </c>
      <c r="M2674" s="414">
        <v>2</v>
      </c>
      <c r="N2674" s="414" t="s">
        <v>701</v>
      </c>
      <c r="O2674" s="414" t="s">
        <v>1125</v>
      </c>
      <c r="P2674" s="414">
        <f t="shared" si="265"/>
        <v>57</v>
      </c>
      <c r="Q2674" s="414" t="s">
        <v>701</v>
      </c>
      <c r="R2674" s="414">
        <v>50</v>
      </c>
      <c r="W2674" s="413"/>
    </row>
    <row r="2675" spans="6:23" ht="24" customHeight="1">
      <c r="G2675" s="414" t="s">
        <v>790</v>
      </c>
      <c r="H2675" s="417"/>
      <c r="I2675" s="417"/>
      <c r="J2675" s="415"/>
      <c r="K2675" s="436" t="s">
        <v>1288</v>
      </c>
      <c r="M2675" s="414">
        <v>6</v>
      </c>
      <c r="N2675" s="414" t="s">
        <v>701</v>
      </c>
      <c r="O2675" s="414" t="s">
        <v>1091</v>
      </c>
      <c r="P2675" s="414">
        <f t="shared" si="265"/>
        <v>49.35</v>
      </c>
      <c r="Q2675" s="414" t="s">
        <v>701</v>
      </c>
      <c r="R2675" s="414">
        <v>150</v>
      </c>
      <c r="W2675" s="413"/>
    </row>
    <row r="2676" spans="6:23" ht="24" customHeight="1">
      <c r="H2676" s="420" t="s">
        <v>447</v>
      </c>
      <c r="I2676" s="417"/>
      <c r="J2676" s="415"/>
      <c r="K2676" s="417" t="e">
        <f>K2674/2.52</f>
        <v>#REF!</v>
      </c>
      <c r="M2676" s="414">
        <v>2</v>
      </c>
      <c r="N2676" s="414" t="s">
        <v>701</v>
      </c>
      <c r="O2676" s="414" t="s">
        <v>1126</v>
      </c>
      <c r="P2676" s="414">
        <f t="shared" si="265"/>
        <v>60.9</v>
      </c>
      <c r="Q2676" s="414" t="s">
        <v>701</v>
      </c>
      <c r="R2676" s="414">
        <v>70</v>
      </c>
      <c r="W2676" s="413"/>
    </row>
    <row r="2677" spans="6:23" ht="24" customHeight="1">
      <c r="H2677" s="417"/>
      <c r="I2677" s="417"/>
      <c r="J2677" s="415"/>
      <c r="K2677" s="436" t="s">
        <v>1676</v>
      </c>
      <c r="M2677" s="414">
        <v>1</v>
      </c>
      <c r="N2677" s="414" t="s">
        <v>701</v>
      </c>
      <c r="O2677" s="414" t="s">
        <v>1152</v>
      </c>
      <c r="P2677" s="414">
        <f t="shared" si="265"/>
        <v>63.2</v>
      </c>
      <c r="Q2677" s="414" t="s">
        <v>701</v>
      </c>
      <c r="R2677" s="414">
        <v>60</v>
      </c>
      <c r="W2677" s="413"/>
    </row>
    <row r="2678" spans="6:23" ht="24" customHeight="1">
      <c r="H2678" s="417"/>
      <c r="I2678" s="417"/>
      <c r="J2678" s="415"/>
      <c r="K2678" s="417"/>
      <c r="M2678" s="414">
        <v>2.52</v>
      </c>
      <c r="N2678" s="414" t="s">
        <v>488</v>
      </c>
      <c r="O2678" s="414" t="s">
        <v>1393</v>
      </c>
      <c r="P2678" s="414">
        <f t="shared" si="265"/>
        <v>194.22</v>
      </c>
      <c r="Q2678" s="414" t="s">
        <v>488</v>
      </c>
      <c r="R2678" s="414">
        <v>124.71</v>
      </c>
      <c r="W2678" s="413"/>
    </row>
    <row r="2679" spans="6:23" ht="24" customHeight="1">
      <c r="F2679" s="415" t="s">
        <v>615</v>
      </c>
      <c r="G2679" s="415"/>
      <c r="H2679" s="415"/>
      <c r="I2679" s="415"/>
      <c r="J2679" s="415"/>
      <c r="K2679" s="415"/>
      <c r="O2679" s="414" t="s">
        <v>1149</v>
      </c>
      <c r="P2679" s="414" t="s">
        <v>358</v>
      </c>
      <c r="R2679" s="414">
        <v>0.28000000000000003</v>
      </c>
      <c r="W2679" s="413"/>
    </row>
    <row r="2680" spans="6:23" ht="24" customHeight="1">
      <c r="F2680" s="484">
        <v>4</v>
      </c>
      <c r="G2680" s="414" t="s">
        <v>838</v>
      </c>
      <c r="H2680" s="414" t="s">
        <v>839</v>
      </c>
      <c r="I2680" s="414">
        <f>C394</f>
        <v>151.4</v>
      </c>
      <c r="J2680" s="412" t="s">
        <v>725</v>
      </c>
      <c r="K2680" s="484">
        <f>I2680*F2680</f>
        <v>605.6</v>
      </c>
      <c r="R2680" s="414" t="s">
        <v>1288</v>
      </c>
      <c r="W2680" s="413"/>
    </row>
    <row r="2681" spans="6:23" ht="24" customHeight="1">
      <c r="F2681" s="484">
        <v>2.52</v>
      </c>
      <c r="G2681" s="414" t="s">
        <v>725</v>
      </c>
      <c r="H2681" s="414" t="s">
        <v>663</v>
      </c>
      <c r="I2681" s="414">
        <f>C34/1000</f>
        <v>53</v>
      </c>
      <c r="J2681" s="412" t="s">
        <v>1341</v>
      </c>
      <c r="K2681" s="484">
        <f t="shared" ref="K2681:K2687" si="266">I2681*F2681</f>
        <v>133.56</v>
      </c>
      <c r="O2681" s="414" t="s">
        <v>1150</v>
      </c>
      <c r="R2681" s="414">
        <v>4559.0600000000004</v>
      </c>
      <c r="W2681" s="413"/>
    </row>
    <row r="2682" spans="6:23" ht="24" customHeight="1">
      <c r="F2682" s="484">
        <v>1.1299999999999999</v>
      </c>
      <c r="G2682" s="414" t="s">
        <v>725</v>
      </c>
      <c r="H2682" s="414" t="s">
        <v>664</v>
      </c>
      <c r="I2682" s="414">
        <f>I2681</f>
        <v>53</v>
      </c>
      <c r="J2682" s="412" t="s">
        <v>1341</v>
      </c>
      <c r="K2682" s="484">
        <f t="shared" si="266"/>
        <v>59.89</v>
      </c>
      <c r="N2682" s="414" t="s">
        <v>790</v>
      </c>
      <c r="R2682" s="414" t="s">
        <v>1288</v>
      </c>
      <c r="W2682" s="413"/>
    </row>
    <row r="2683" spans="6:23" ht="24" customHeight="1">
      <c r="F2683" s="484">
        <v>0.35</v>
      </c>
      <c r="G2683" s="414" t="s">
        <v>1341</v>
      </c>
      <c r="H2683" s="414" t="s">
        <v>665</v>
      </c>
      <c r="I2683" s="414">
        <f>I2682</f>
        <v>53</v>
      </c>
      <c r="J2683" s="412" t="s">
        <v>1341</v>
      </c>
      <c r="K2683" s="484">
        <f t="shared" si="266"/>
        <v>18.55</v>
      </c>
      <c r="O2683" s="414" t="s">
        <v>447</v>
      </c>
      <c r="R2683" s="414">
        <v>1809.15</v>
      </c>
      <c r="W2683" s="413"/>
    </row>
    <row r="2684" spans="6:23" ht="24" customHeight="1">
      <c r="F2684" s="484">
        <v>4</v>
      </c>
      <c r="G2684" s="414" t="s">
        <v>1341</v>
      </c>
      <c r="H2684" s="414" t="s">
        <v>83</v>
      </c>
      <c r="I2684" s="414">
        <f>C37</f>
        <v>55.35</v>
      </c>
      <c r="J2684" s="412" t="s">
        <v>1341</v>
      </c>
      <c r="K2684" s="484">
        <f t="shared" si="266"/>
        <v>221.4</v>
      </c>
      <c r="R2684" s="414" t="s">
        <v>1676</v>
      </c>
      <c r="W2684" s="413"/>
    </row>
    <row r="2685" spans="6:23" ht="24" customHeight="1">
      <c r="F2685" s="484">
        <v>6</v>
      </c>
      <c r="G2685" s="414" t="s">
        <v>838</v>
      </c>
      <c r="H2685" s="414" t="s">
        <v>84</v>
      </c>
      <c r="I2685" s="414">
        <v>1</v>
      </c>
      <c r="J2685" s="412" t="s">
        <v>1134</v>
      </c>
      <c r="K2685" s="484">
        <f t="shared" si="266"/>
        <v>6</v>
      </c>
      <c r="W2685" s="413"/>
    </row>
    <row r="2686" spans="6:23" ht="24" customHeight="1">
      <c r="F2686" s="484">
        <v>0.5</v>
      </c>
      <c r="G2686" s="414" t="s">
        <v>838</v>
      </c>
      <c r="H2686" s="414" t="s">
        <v>525</v>
      </c>
      <c r="I2686" s="414">
        <f>C12</f>
        <v>651</v>
      </c>
      <c r="J2686" s="412" t="s">
        <v>1134</v>
      </c>
      <c r="K2686" s="484">
        <f t="shared" si="266"/>
        <v>325.5</v>
      </c>
      <c r="W2686" s="413"/>
    </row>
    <row r="2687" spans="6:23" ht="24" customHeight="1">
      <c r="F2687" s="484">
        <v>0.5</v>
      </c>
      <c r="G2687" s="414" t="s">
        <v>838</v>
      </c>
      <c r="H2687" s="414" t="s">
        <v>279</v>
      </c>
      <c r="I2687" s="414">
        <f>C13</f>
        <v>534</v>
      </c>
      <c r="J2687" s="412" t="s">
        <v>1134</v>
      </c>
      <c r="K2687" s="484">
        <f t="shared" si="266"/>
        <v>267</v>
      </c>
      <c r="W2687" s="413"/>
    </row>
    <row r="2688" spans="6:23" ht="24" customHeight="1">
      <c r="G2688" s="414" t="s">
        <v>358</v>
      </c>
      <c r="H2688" s="414" t="s">
        <v>85</v>
      </c>
      <c r="I2688" s="423" t="s">
        <v>358</v>
      </c>
      <c r="K2688" s="414">
        <v>21.69</v>
      </c>
      <c r="L2688" s="414">
        <f>24*176</f>
        <v>4224</v>
      </c>
      <c r="W2688" s="413"/>
    </row>
    <row r="2689" spans="6:23" ht="24" customHeight="1">
      <c r="H2689" s="419" t="s">
        <v>86</v>
      </c>
      <c r="K2689" s="485">
        <f>SUM(K2680:K2688)</f>
        <v>1659.19</v>
      </c>
      <c r="W2689" s="413"/>
    </row>
    <row r="2690" spans="6:23" ht="24" customHeight="1">
      <c r="H2690" s="419" t="s">
        <v>415</v>
      </c>
      <c r="K2690" s="485">
        <f>K2689/2</f>
        <v>829.6</v>
      </c>
      <c r="W2690" s="413"/>
    </row>
    <row r="2691" spans="6:23" ht="24" customHeight="1">
      <c r="L2691" s="414">
        <f>K2725+K2716</f>
        <v>191.9</v>
      </c>
      <c r="W2691" s="413"/>
    </row>
    <row r="2692" spans="6:23" ht="37.9" customHeight="1">
      <c r="H2692" s="1230" t="s">
        <v>1201</v>
      </c>
      <c r="I2692" s="1230"/>
      <c r="J2692" s="1230"/>
      <c r="K2692" s="1230"/>
      <c r="W2692" s="413"/>
    </row>
    <row r="2693" spans="6:23" ht="24" customHeight="1">
      <c r="W2693" s="413"/>
    </row>
    <row r="2694" spans="6:23" ht="24" customHeight="1">
      <c r="H2694" s="470" t="s">
        <v>1695</v>
      </c>
      <c r="J2694" s="413"/>
      <c r="W2694" s="413"/>
    </row>
    <row r="2695" spans="6:23" ht="24" customHeight="1">
      <c r="H2695" s="414" t="s">
        <v>505</v>
      </c>
      <c r="J2695" s="413"/>
      <c r="W2695" s="413"/>
    </row>
    <row r="2696" spans="6:23" ht="24" customHeight="1">
      <c r="F2696" s="414">
        <v>41.6</v>
      </c>
      <c r="G2696" s="414" t="s">
        <v>1341</v>
      </c>
      <c r="H2696" s="414" t="s">
        <v>823</v>
      </c>
      <c r="I2696" s="414">
        <f>I2681</f>
        <v>53</v>
      </c>
      <c r="J2696" s="413" t="s">
        <v>1341</v>
      </c>
      <c r="K2696" s="414">
        <f>F2696*I2696</f>
        <v>2204.8000000000002</v>
      </c>
      <c r="W2696" s="413"/>
    </row>
    <row r="2697" spans="6:23" ht="24" customHeight="1">
      <c r="F2697" s="414">
        <v>0.5</v>
      </c>
      <c r="G2697" s="414" t="s">
        <v>1130</v>
      </c>
      <c r="H2697" s="414" t="s">
        <v>824</v>
      </c>
      <c r="I2697" s="414">
        <f>AE21</f>
        <v>766</v>
      </c>
      <c r="J2697" s="413" t="s">
        <v>1134</v>
      </c>
      <c r="K2697" s="414">
        <f>F2697*I2697</f>
        <v>383</v>
      </c>
      <c r="W2697" s="413"/>
    </row>
    <row r="2698" spans="6:23" ht="24" customHeight="1">
      <c r="F2698" s="414">
        <v>1</v>
      </c>
      <c r="G2698" s="414" t="s">
        <v>453</v>
      </c>
      <c r="H2698" s="414" t="s">
        <v>825</v>
      </c>
      <c r="I2698" s="414">
        <f>C10</f>
        <v>999</v>
      </c>
      <c r="J2698" s="413" t="s">
        <v>1134</v>
      </c>
      <c r="K2698" s="414">
        <f>F2698*I2698</f>
        <v>999</v>
      </c>
      <c r="W2698" s="413"/>
    </row>
    <row r="2699" spans="6:23" ht="24" customHeight="1">
      <c r="F2699" s="414">
        <v>1</v>
      </c>
      <c r="G2699" s="414" t="s">
        <v>453</v>
      </c>
      <c r="H2699" s="414" t="s">
        <v>993</v>
      </c>
      <c r="I2699" s="414">
        <f>C13</f>
        <v>534</v>
      </c>
      <c r="J2699" s="413" t="s">
        <v>1134</v>
      </c>
      <c r="K2699" s="414">
        <f>F2699*I2699</f>
        <v>534</v>
      </c>
      <c r="W2699" s="413"/>
    </row>
    <row r="2700" spans="6:23" ht="24" customHeight="1">
      <c r="G2700" s="414" t="s">
        <v>358</v>
      </c>
      <c r="H2700" s="414" t="s">
        <v>662</v>
      </c>
      <c r="J2700" s="413" t="s">
        <v>358</v>
      </c>
      <c r="K2700" s="414">
        <v>27.7</v>
      </c>
      <c r="W2700" s="413"/>
    </row>
    <row r="2701" spans="6:23" ht="24" customHeight="1">
      <c r="H2701" s="423" t="s">
        <v>1389</v>
      </c>
      <c r="J2701" s="423" t="s">
        <v>577</v>
      </c>
      <c r="K2701" s="414">
        <f>SUM(K2696:K2700)</f>
        <v>4148.5</v>
      </c>
      <c r="W2701" s="413"/>
    </row>
    <row r="2702" spans="6:23" ht="24" customHeight="1">
      <c r="H2702" s="423" t="s">
        <v>1046</v>
      </c>
      <c r="J2702" s="423" t="s">
        <v>577</v>
      </c>
      <c r="K2702" s="414">
        <f>K2701/16</f>
        <v>259.27999999999997</v>
      </c>
      <c r="W2702" s="413"/>
    </row>
    <row r="2703" spans="6:23" ht="24" hidden="1" customHeight="1">
      <c r="H2703" s="419" t="s">
        <v>76</v>
      </c>
      <c r="I2703" s="417"/>
      <c r="J2703" s="419" t="s">
        <v>577</v>
      </c>
      <c r="K2703" s="417">
        <f>K2702/0.95</f>
        <v>272.93</v>
      </c>
      <c r="W2703" s="413"/>
    </row>
    <row r="2704" spans="6:23" ht="24" customHeight="1">
      <c r="J2704" s="413"/>
      <c r="W2704" s="413"/>
    </row>
    <row r="2705" spans="6:23" ht="24" customHeight="1">
      <c r="J2705" s="413"/>
      <c r="W2705" s="413"/>
    </row>
    <row r="2706" spans="6:23" ht="24" customHeight="1">
      <c r="F2706" s="413" t="s">
        <v>687</v>
      </c>
      <c r="G2706" s="414" t="s">
        <v>1833</v>
      </c>
      <c r="H2706" s="412" t="s">
        <v>809</v>
      </c>
      <c r="J2706" s="413"/>
      <c r="W2706" s="413"/>
    </row>
    <row r="2707" spans="6:23" ht="24" customHeight="1">
      <c r="H2707" s="412" t="s">
        <v>810</v>
      </c>
      <c r="J2707" s="413"/>
      <c r="W2707" s="413"/>
    </row>
    <row r="2708" spans="6:23" ht="24" customHeight="1">
      <c r="H2708" s="412" t="s">
        <v>811</v>
      </c>
      <c r="J2708" s="413"/>
      <c r="W2708" s="413"/>
    </row>
    <row r="2709" spans="6:23" ht="24" customHeight="1">
      <c r="H2709" s="412" t="s">
        <v>22</v>
      </c>
      <c r="J2709" s="413"/>
      <c r="W2709" s="413"/>
    </row>
    <row r="2710" spans="6:23" ht="24" customHeight="1">
      <c r="H2710" s="418" t="s">
        <v>1288</v>
      </c>
      <c r="J2710" s="413"/>
      <c r="W2710" s="413"/>
    </row>
    <row r="2711" spans="6:23" ht="24" customHeight="1">
      <c r="F2711" s="414">
        <v>1.8</v>
      </c>
      <c r="G2711" s="414" t="s">
        <v>1341</v>
      </c>
      <c r="H2711" s="412" t="s">
        <v>1047</v>
      </c>
      <c r="I2711" s="414">
        <f>C609</f>
        <v>22.6</v>
      </c>
      <c r="J2711" s="413" t="s">
        <v>1341</v>
      </c>
      <c r="K2711" s="414">
        <f>(F2711*I2711)</f>
        <v>40.68</v>
      </c>
      <c r="W2711" s="413"/>
    </row>
    <row r="2712" spans="6:23" ht="24" customHeight="1">
      <c r="F2712" s="414">
        <v>0.25</v>
      </c>
      <c r="G2712" s="414" t="s">
        <v>701</v>
      </c>
      <c r="H2712" s="412" t="s">
        <v>23</v>
      </c>
      <c r="I2712" s="414">
        <f>C14</f>
        <v>797</v>
      </c>
      <c r="J2712" s="413" t="s">
        <v>701</v>
      </c>
      <c r="K2712" s="414">
        <f>(F2712*I2712)</f>
        <v>199.25</v>
      </c>
      <c r="W2712" s="413"/>
    </row>
    <row r="2713" spans="6:23" ht="24" customHeight="1">
      <c r="F2713" s="414">
        <v>0.25</v>
      </c>
      <c r="G2713" s="414" t="s">
        <v>701</v>
      </c>
      <c r="H2713" s="412" t="s">
        <v>754</v>
      </c>
      <c r="I2713" s="414">
        <f>C12</f>
        <v>651</v>
      </c>
      <c r="J2713" s="413" t="s">
        <v>701</v>
      </c>
      <c r="K2713" s="414">
        <f>(F2713*I2713)</f>
        <v>162.75</v>
      </c>
      <c r="W2713" s="413"/>
    </row>
    <row r="2714" spans="6:23" ht="24" customHeight="1">
      <c r="F2714" s="414">
        <v>0.4</v>
      </c>
      <c r="G2714" s="414" t="s">
        <v>701</v>
      </c>
      <c r="H2714" s="412" t="s">
        <v>245</v>
      </c>
      <c r="I2714" s="414">
        <f>C13</f>
        <v>534</v>
      </c>
      <c r="J2714" s="413" t="s">
        <v>701</v>
      </c>
      <c r="K2714" s="414">
        <f>(F2714*I2714)</f>
        <v>213.6</v>
      </c>
      <c r="W2714" s="413"/>
    </row>
    <row r="2715" spans="6:23" ht="24" customHeight="1">
      <c r="H2715" s="412"/>
      <c r="I2715" s="412" t="s">
        <v>790</v>
      </c>
      <c r="J2715" s="413"/>
      <c r="K2715" s="414">
        <f>SUM(K2711:K2714)</f>
        <v>616.28</v>
      </c>
      <c r="W2715" s="413"/>
    </row>
    <row r="2716" spans="6:23" ht="24" customHeight="1">
      <c r="H2716" s="417"/>
      <c r="I2716" s="417"/>
      <c r="J2716" s="420"/>
      <c r="K2716" s="419">
        <f>K2715/10</f>
        <v>61.63</v>
      </c>
      <c r="W2716" s="413"/>
    </row>
    <row r="2717" spans="6:23" ht="24" customHeight="1">
      <c r="F2717" s="414">
        <v>3</v>
      </c>
      <c r="G2717" s="414" t="s">
        <v>1341</v>
      </c>
      <c r="H2717" s="412" t="s">
        <v>350</v>
      </c>
      <c r="I2717" s="423">
        <f>C271</f>
        <v>49.85</v>
      </c>
      <c r="J2717" s="413" t="s">
        <v>1341</v>
      </c>
      <c r="K2717" s="423">
        <f>(F2717*I2717)</f>
        <v>149.55000000000001</v>
      </c>
      <c r="W2717" s="413"/>
    </row>
    <row r="2718" spans="6:23" ht="24" customHeight="1">
      <c r="F2718" s="414">
        <v>0.5</v>
      </c>
      <c r="G2718" s="414" t="s">
        <v>701</v>
      </c>
      <c r="H2718" s="412" t="s">
        <v>23</v>
      </c>
      <c r="I2718" s="423">
        <f>C14</f>
        <v>797</v>
      </c>
      <c r="J2718" s="413" t="s">
        <v>701</v>
      </c>
      <c r="K2718" s="423">
        <f>(F2718*I2718)</f>
        <v>398.5</v>
      </c>
      <c r="W2718" s="413"/>
    </row>
    <row r="2719" spans="6:23" ht="24" customHeight="1">
      <c r="F2719" s="414">
        <v>0.5</v>
      </c>
      <c r="G2719" s="414" t="s">
        <v>701</v>
      </c>
      <c r="H2719" s="412" t="s">
        <v>754</v>
      </c>
      <c r="I2719" s="423">
        <f>I2713</f>
        <v>651</v>
      </c>
      <c r="J2719" s="413" t="s">
        <v>701</v>
      </c>
      <c r="K2719" s="423">
        <f>(F2719*I2719)</f>
        <v>325.5</v>
      </c>
      <c r="W2719" s="413"/>
    </row>
    <row r="2720" spans="6:23" ht="24" customHeight="1">
      <c r="F2720" s="414">
        <v>0.8</v>
      </c>
      <c r="G2720" s="414" t="s">
        <v>701</v>
      </c>
      <c r="H2720" s="412" t="s">
        <v>245</v>
      </c>
      <c r="I2720" s="423">
        <f>I2714</f>
        <v>534</v>
      </c>
      <c r="J2720" s="413" t="s">
        <v>701</v>
      </c>
      <c r="K2720" s="423">
        <f>(F2720*I2720)</f>
        <v>427.2</v>
      </c>
      <c r="W2720" s="413"/>
    </row>
    <row r="2721" spans="6:23" ht="24" customHeight="1">
      <c r="G2721" s="414" t="s">
        <v>358</v>
      </c>
      <c r="H2721" s="412" t="s">
        <v>1491</v>
      </c>
      <c r="I2721" s="412" t="s">
        <v>790</v>
      </c>
      <c r="J2721" s="413" t="s">
        <v>358</v>
      </c>
      <c r="K2721" s="414">
        <v>1.9</v>
      </c>
      <c r="W2721" s="413"/>
    </row>
    <row r="2722" spans="6:23" ht="24" customHeight="1">
      <c r="H2722" s="417"/>
      <c r="I2722" s="417"/>
      <c r="J2722" s="420"/>
      <c r="K2722" s="436" t="s">
        <v>1288</v>
      </c>
      <c r="W2722" s="413"/>
    </row>
    <row r="2723" spans="6:23" ht="24" customHeight="1">
      <c r="H2723" s="415" t="s">
        <v>351</v>
      </c>
      <c r="I2723" s="417"/>
      <c r="J2723" s="420"/>
      <c r="K2723" s="417">
        <f>SUM(K2717:K2721)</f>
        <v>1302.6500000000001</v>
      </c>
      <c r="W2723" s="413"/>
    </row>
    <row r="2724" spans="6:23" ht="24" customHeight="1">
      <c r="H2724" s="417"/>
      <c r="I2724" s="417"/>
      <c r="J2724" s="420"/>
      <c r="K2724" s="436" t="s">
        <v>1288</v>
      </c>
      <c r="W2724" s="413"/>
    </row>
    <row r="2725" spans="6:23" ht="24" customHeight="1">
      <c r="H2725" s="415" t="s">
        <v>447</v>
      </c>
      <c r="I2725" s="417"/>
      <c r="J2725" s="420"/>
      <c r="K2725" s="417">
        <f>(K2723/10)</f>
        <v>130.27000000000001</v>
      </c>
      <c r="W2725" s="413"/>
    </row>
    <row r="2726" spans="6:23" ht="24" customHeight="1">
      <c r="J2726" s="414"/>
      <c r="W2726" s="413"/>
    </row>
    <row r="2727" spans="6:23" ht="24" customHeight="1">
      <c r="F2727" s="427"/>
      <c r="G2727" s="414" t="s">
        <v>1833</v>
      </c>
      <c r="H2727" s="412" t="s">
        <v>1671</v>
      </c>
      <c r="J2727" s="413"/>
      <c r="W2727" s="413"/>
    </row>
    <row r="2728" spans="6:23" ht="24" customHeight="1">
      <c r="H2728" s="412" t="s">
        <v>1855</v>
      </c>
      <c r="J2728" s="413"/>
      <c r="W2728" s="413"/>
    </row>
    <row r="2729" spans="6:23" ht="24" customHeight="1">
      <c r="H2729" s="412" t="s">
        <v>1048</v>
      </c>
      <c r="J2729" s="413"/>
      <c r="W2729" s="413"/>
    </row>
    <row r="2730" spans="6:23" ht="24" customHeight="1">
      <c r="H2730" s="418" t="s">
        <v>1288</v>
      </c>
      <c r="J2730" s="413"/>
      <c r="W2730" s="413"/>
    </row>
    <row r="2731" spans="6:23" ht="24" customHeight="1">
      <c r="G2731" s="414" t="s">
        <v>1856</v>
      </c>
      <c r="H2731" s="412" t="s">
        <v>767</v>
      </c>
      <c r="J2731" s="413"/>
      <c r="K2731" s="412" t="s">
        <v>1179</v>
      </c>
      <c r="W2731" s="413"/>
    </row>
    <row r="2732" spans="6:23" ht="24" customHeight="1">
      <c r="H2732" s="418" t="s">
        <v>1288</v>
      </c>
      <c r="J2732" s="413"/>
      <c r="K2732" s="418" t="s">
        <v>1676</v>
      </c>
      <c r="W2732" s="413"/>
    </row>
    <row r="2733" spans="6:23" ht="24" customHeight="1">
      <c r="F2733" s="414">
        <v>30</v>
      </c>
      <c r="G2733" s="414" t="s">
        <v>1443</v>
      </c>
      <c r="H2733" s="412" t="s">
        <v>1358</v>
      </c>
      <c r="I2733" s="414">
        <f>C661</f>
        <v>11.2</v>
      </c>
      <c r="J2733" s="413" t="s">
        <v>1443</v>
      </c>
      <c r="K2733" s="414">
        <f>(F2733*I2733)</f>
        <v>336</v>
      </c>
      <c r="W2733" s="413"/>
    </row>
    <row r="2734" spans="6:23" ht="24" customHeight="1">
      <c r="F2734" s="412" t="s">
        <v>790</v>
      </c>
      <c r="H2734" s="412" t="s">
        <v>1361</v>
      </c>
      <c r="I2734" s="412" t="s">
        <v>790</v>
      </c>
      <c r="J2734" s="413"/>
      <c r="K2734" s="412" t="s">
        <v>790</v>
      </c>
      <c r="W2734" s="413"/>
    </row>
    <row r="2735" spans="6:23" ht="24" customHeight="1">
      <c r="F2735" s="414">
        <v>8</v>
      </c>
      <c r="G2735" s="414" t="s">
        <v>701</v>
      </c>
      <c r="H2735" s="412" t="s">
        <v>1744</v>
      </c>
      <c r="I2735" s="414">
        <f>I1806</f>
        <v>8.9</v>
      </c>
      <c r="J2735" s="413" t="s">
        <v>701</v>
      </c>
      <c r="K2735" s="414">
        <f t="shared" ref="K2735:K2740" si="267">(F2735*I2735)</f>
        <v>71.2</v>
      </c>
      <c r="W2735" s="413"/>
    </row>
    <row r="2736" spans="6:23" ht="24" customHeight="1">
      <c r="F2736" s="414">
        <v>8</v>
      </c>
      <c r="G2736" s="414" t="s">
        <v>701</v>
      </c>
      <c r="H2736" s="412" t="s">
        <v>376</v>
      </c>
      <c r="I2736" s="414">
        <f>I1807</f>
        <v>12.65</v>
      </c>
      <c r="J2736" s="413" t="s">
        <v>701</v>
      </c>
      <c r="K2736" s="414">
        <f t="shared" si="267"/>
        <v>101.2</v>
      </c>
      <c r="L2736" s="455"/>
      <c r="W2736" s="413"/>
    </row>
    <row r="2737" spans="6:23" ht="24" customHeight="1">
      <c r="F2737" s="414">
        <v>3</v>
      </c>
      <c r="G2737" s="414" t="s">
        <v>701</v>
      </c>
      <c r="H2737" s="412" t="s">
        <v>1497</v>
      </c>
      <c r="I2737" s="414">
        <f>C41</f>
        <v>738</v>
      </c>
      <c r="J2737" s="413" t="s">
        <v>701</v>
      </c>
      <c r="K2737" s="414">
        <f t="shared" si="267"/>
        <v>2214</v>
      </c>
      <c r="L2737" s="456"/>
      <c r="W2737" s="413"/>
    </row>
    <row r="2738" spans="6:23" ht="24" customHeight="1">
      <c r="F2738" s="414">
        <v>1</v>
      </c>
      <c r="G2738" s="414" t="s">
        <v>701</v>
      </c>
      <c r="H2738" s="412" t="s">
        <v>1120</v>
      </c>
      <c r="I2738" s="414">
        <f>C10</f>
        <v>999</v>
      </c>
      <c r="J2738" s="413" t="s">
        <v>701</v>
      </c>
      <c r="K2738" s="414">
        <f t="shared" si="267"/>
        <v>999</v>
      </c>
      <c r="L2738" s="456"/>
      <c r="W2738" s="413"/>
    </row>
    <row r="2739" spans="6:23" ht="24" customHeight="1">
      <c r="F2739" s="414">
        <v>2</v>
      </c>
      <c r="G2739" s="414" t="s">
        <v>701</v>
      </c>
      <c r="H2739" s="412" t="s">
        <v>1550</v>
      </c>
      <c r="I2739" s="414">
        <f>C12</f>
        <v>651</v>
      </c>
      <c r="J2739" s="413" t="s">
        <v>701</v>
      </c>
      <c r="K2739" s="414">
        <f t="shared" si="267"/>
        <v>1302</v>
      </c>
      <c r="L2739" s="456"/>
      <c r="W2739" s="413"/>
    </row>
    <row r="2740" spans="6:23" ht="24" customHeight="1">
      <c r="F2740" s="414">
        <v>1</v>
      </c>
      <c r="G2740" s="414" t="s">
        <v>701</v>
      </c>
      <c r="H2740" s="412" t="s">
        <v>245</v>
      </c>
      <c r="I2740" s="414">
        <f>C13</f>
        <v>534</v>
      </c>
      <c r="J2740" s="413" t="s">
        <v>701</v>
      </c>
      <c r="K2740" s="414">
        <f t="shared" si="267"/>
        <v>534</v>
      </c>
      <c r="L2740" s="456"/>
      <c r="W2740" s="413"/>
    </row>
    <row r="2741" spans="6:23" ht="36.75" customHeight="1">
      <c r="G2741" s="414" t="s">
        <v>358</v>
      </c>
      <c r="H2741" s="426" t="s">
        <v>48</v>
      </c>
      <c r="I2741" s="414" t="s">
        <v>49</v>
      </c>
      <c r="J2741" s="413" t="s">
        <v>358</v>
      </c>
      <c r="K2741" s="414">
        <v>64.849999999999994</v>
      </c>
      <c r="L2741" s="456"/>
      <c r="W2741" s="413"/>
    </row>
    <row r="2742" spans="6:23" ht="24" hidden="1" customHeight="1">
      <c r="H2742" s="412"/>
      <c r="J2742" s="413"/>
      <c r="K2742" s="423"/>
      <c r="L2742" s="456"/>
      <c r="W2742" s="413"/>
    </row>
    <row r="2743" spans="6:23" ht="24" hidden="1" customHeight="1">
      <c r="J2743" s="414"/>
      <c r="L2743" s="456"/>
      <c r="W2743" s="413"/>
    </row>
    <row r="2744" spans="6:23" ht="24" customHeight="1">
      <c r="J2744" s="413"/>
      <c r="K2744" s="418" t="s">
        <v>1288</v>
      </c>
      <c r="L2744" s="456"/>
      <c r="W2744" s="413"/>
    </row>
    <row r="2745" spans="6:23" ht="24" customHeight="1">
      <c r="H2745" s="415" t="s">
        <v>1501</v>
      </c>
      <c r="I2745" s="417"/>
      <c r="J2745" s="420"/>
      <c r="K2745" s="417">
        <f>SUM(K2733:K2744)</f>
        <v>5622.25</v>
      </c>
      <c r="L2745" s="457"/>
      <c r="W2745" s="413"/>
    </row>
    <row r="2746" spans="6:23" ht="24" customHeight="1">
      <c r="H2746" s="417"/>
      <c r="I2746" s="417"/>
      <c r="J2746" s="420"/>
      <c r="K2746" s="436" t="s">
        <v>1288</v>
      </c>
      <c r="W2746" s="413"/>
    </row>
    <row r="2747" spans="6:23" ht="24" customHeight="1">
      <c r="H2747" s="415" t="s">
        <v>1253</v>
      </c>
      <c r="I2747" s="417"/>
      <c r="J2747" s="420"/>
      <c r="K2747" s="417">
        <f>(K2745/30)</f>
        <v>187.41</v>
      </c>
      <c r="W2747" s="413"/>
    </row>
    <row r="2748" spans="6:23" ht="24" customHeight="1">
      <c r="J2748" s="414"/>
      <c r="W2748" s="413"/>
    </row>
    <row r="2749" spans="6:23" ht="24" hidden="1" customHeight="1">
      <c r="J2749" s="414"/>
      <c r="W2749" s="413"/>
    </row>
    <row r="2750" spans="6:23" ht="24" customHeight="1">
      <c r="F2750" s="425">
        <v>52</v>
      </c>
      <c r="G2750" s="414" t="s">
        <v>1833</v>
      </c>
      <c r="H2750" s="412" t="s">
        <v>77</v>
      </c>
      <c r="J2750" s="413"/>
      <c r="W2750" s="413"/>
    </row>
    <row r="2751" spans="6:23" ht="24" customHeight="1">
      <c r="H2751" s="412" t="s">
        <v>1765</v>
      </c>
      <c r="J2751" s="413"/>
      <c r="W2751" s="413"/>
    </row>
    <row r="2752" spans="6:23" ht="24" customHeight="1">
      <c r="H2752" s="412" t="s">
        <v>1766</v>
      </c>
      <c r="J2752" s="413"/>
      <c r="W2752" s="413"/>
    </row>
    <row r="2753" spans="5:23" ht="24" customHeight="1">
      <c r="H2753" s="412" t="s">
        <v>1142</v>
      </c>
      <c r="J2753" s="413"/>
      <c r="W2753" s="413"/>
    </row>
    <row r="2754" spans="5:23" ht="24" customHeight="1">
      <c r="H2754" s="412" t="s">
        <v>1143</v>
      </c>
      <c r="J2754" s="413"/>
      <c r="W2754" s="413"/>
    </row>
    <row r="2755" spans="5:23" ht="24" customHeight="1">
      <c r="E2755" s="414">
        <f>6*0.3</f>
        <v>1.8</v>
      </c>
      <c r="H2755" s="412" t="s">
        <v>578</v>
      </c>
      <c r="J2755" s="413"/>
      <c r="W2755" s="413"/>
    </row>
    <row r="2756" spans="5:23" ht="24" customHeight="1">
      <c r="E2756" s="414">
        <f>3.5+E2755</f>
        <v>5.3</v>
      </c>
      <c r="H2756" s="412" t="s">
        <v>1099</v>
      </c>
      <c r="J2756" s="413"/>
      <c r="L2756" s="414">
        <f>K2790</f>
        <v>233</v>
      </c>
      <c r="W2756" s="413"/>
    </row>
    <row r="2757" spans="5:23" ht="24" customHeight="1">
      <c r="E2757" s="414">
        <f>3.14*0.3*0.3</f>
        <v>0.28000000000000003</v>
      </c>
      <c r="H2757" s="412" t="s">
        <v>567</v>
      </c>
      <c r="J2757" s="413"/>
      <c r="L2757" s="414">
        <f>K2791</f>
        <v>2278.5</v>
      </c>
      <c r="W2757" s="413"/>
    </row>
    <row r="2758" spans="5:23" ht="24" customHeight="1">
      <c r="H2758" s="418" t="s">
        <v>1676</v>
      </c>
      <c r="I2758" s="418" t="s">
        <v>1676</v>
      </c>
      <c r="J2758" s="413"/>
      <c r="W2758" s="413"/>
    </row>
    <row r="2759" spans="5:23" ht="24" customHeight="1">
      <c r="E2759" s="414">
        <f>E2757/4</f>
        <v>7.0000000000000007E-2</v>
      </c>
      <c r="G2759" s="414" t="s">
        <v>1833</v>
      </c>
      <c r="H2759" s="412" t="s">
        <v>739</v>
      </c>
      <c r="J2759" s="413"/>
      <c r="L2759" s="414">
        <f>SUM(L2756:L2757)</f>
        <v>2511.5</v>
      </c>
      <c r="W2759" s="413"/>
    </row>
    <row r="2760" spans="5:23" ht="24" customHeight="1">
      <c r="E2760" s="440">
        <f>E2759*E2756</f>
        <v>0.371</v>
      </c>
      <c r="H2760" s="412" t="s">
        <v>651</v>
      </c>
      <c r="J2760" s="413"/>
      <c r="W2760" s="413"/>
    </row>
    <row r="2761" spans="5:23" ht="24" customHeight="1">
      <c r="G2761" s="414" t="s">
        <v>242</v>
      </c>
      <c r="H2761" s="412" t="s">
        <v>652</v>
      </c>
      <c r="J2761" s="413"/>
      <c r="W2761" s="413"/>
    </row>
    <row r="2762" spans="5:23" ht="24" customHeight="1">
      <c r="H2762" s="418" t="s">
        <v>1288</v>
      </c>
      <c r="J2762" s="413"/>
      <c r="W2762" s="413"/>
    </row>
    <row r="2763" spans="5:23" ht="24" customHeight="1">
      <c r="F2763" s="414">
        <v>1</v>
      </c>
      <c r="G2763" s="414" t="s">
        <v>669</v>
      </c>
      <c r="H2763" s="412" t="s">
        <v>494</v>
      </c>
      <c r="I2763" s="414">
        <f>I1870</f>
        <v>26</v>
      </c>
      <c r="J2763" s="413" t="s">
        <v>669</v>
      </c>
      <c r="K2763" s="414">
        <f>(F2763*I2763)</f>
        <v>26</v>
      </c>
      <c r="W2763" s="413"/>
    </row>
    <row r="2764" spans="5:23" ht="24" customHeight="1">
      <c r="F2764" s="414">
        <v>1</v>
      </c>
      <c r="G2764" s="414" t="s">
        <v>358</v>
      </c>
      <c r="H2764" s="412" t="s">
        <v>1462</v>
      </c>
      <c r="I2764" s="414">
        <f>I2763*0.7</f>
        <v>18.2</v>
      </c>
      <c r="J2764" s="413" t="s">
        <v>358</v>
      </c>
      <c r="K2764" s="414">
        <f>(F2764*I2764)</f>
        <v>18.2</v>
      </c>
      <c r="W2764" s="413"/>
    </row>
    <row r="2765" spans="5:23" ht="24" customHeight="1">
      <c r="F2765" s="414">
        <v>1</v>
      </c>
      <c r="G2765" s="414" t="s">
        <v>669</v>
      </c>
      <c r="H2765" s="412" t="s">
        <v>132</v>
      </c>
      <c r="I2765" s="414">
        <f>K2747</f>
        <v>187.41</v>
      </c>
      <c r="J2765" s="413" t="s">
        <v>669</v>
      </c>
      <c r="K2765" s="414">
        <f>(F2765*I2765)</f>
        <v>187.41</v>
      </c>
      <c r="W2765" s="413"/>
    </row>
    <row r="2766" spans="5:23" ht="24" customHeight="1">
      <c r="I2766" s="412" t="s">
        <v>790</v>
      </c>
      <c r="J2766" s="413"/>
      <c r="K2766" s="418"/>
      <c r="W2766" s="413"/>
    </row>
    <row r="2767" spans="5:23" ht="24" customHeight="1">
      <c r="H2767" s="415" t="s">
        <v>298</v>
      </c>
      <c r="I2767" s="417"/>
      <c r="J2767" s="420"/>
      <c r="K2767" s="417">
        <f>SUM(K2763:K2765)</f>
        <v>231.61</v>
      </c>
      <c r="W2767" s="413"/>
    </row>
    <row r="2768" spans="5:23" ht="24" customHeight="1">
      <c r="H2768" s="412" t="s">
        <v>790</v>
      </c>
      <c r="I2768" s="412" t="s">
        <v>790</v>
      </c>
      <c r="J2768" s="413"/>
      <c r="K2768" s="418" t="s">
        <v>1676</v>
      </c>
      <c r="S2768" s="432" t="s">
        <v>456</v>
      </c>
      <c r="T2768" s="414" t="s">
        <v>1833</v>
      </c>
      <c r="U2768" s="412" t="s">
        <v>256</v>
      </c>
      <c r="W2768" s="413"/>
    </row>
    <row r="2769" spans="6:29" ht="24" hidden="1" customHeight="1">
      <c r="J2769" s="414"/>
      <c r="U2769" s="412" t="s">
        <v>200</v>
      </c>
      <c r="W2769" s="413"/>
    </row>
    <row r="2770" spans="6:29" ht="24" customHeight="1">
      <c r="F2770" s="486"/>
      <c r="G2770" s="459"/>
      <c r="H2770" s="459"/>
      <c r="I2770" s="459"/>
      <c r="J2770" s="459"/>
      <c r="K2770" s="459"/>
      <c r="U2770" s="412" t="s">
        <v>1197</v>
      </c>
      <c r="W2770" s="413"/>
    </row>
    <row r="2771" spans="6:29" ht="24" customHeight="1">
      <c r="F2771" s="487"/>
      <c r="G2771" s="417" t="s">
        <v>781</v>
      </c>
      <c r="J2771" s="413"/>
      <c r="U2771" s="418" t="s">
        <v>1288</v>
      </c>
      <c r="W2771" s="413"/>
    </row>
    <row r="2772" spans="6:29" ht="24" customHeight="1">
      <c r="F2772" s="461"/>
      <c r="J2772" s="413"/>
      <c r="U2772" s="412" t="s">
        <v>1533</v>
      </c>
      <c r="W2772" s="413"/>
    </row>
    <row r="2773" spans="6:29" ht="24" customHeight="1">
      <c r="F2773" s="461">
        <v>5</v>
      </c>
      <c r="G2773" s="414" t="s">
        <v>782</v>
      </c>
      <c r="H2773" s="414" t="s">
        <v>2594</v>
      </c>
      <c r="I2773" s="414">
        <v>160</v>
      </c>
      <c r="J2773" s="413" t="s">
        <v>783</v>
      </c>
      <c r="K2773" s="414">
        <f>I2773*F2773</f>
        <v>800</v>
      </c>
      <c r="U2773" s="412" t="s">
        <v>1534</v>
      </c>
      <c r="W2773" s="413"/>
    </row>
    <row r="2774" spans="6:29" ht="24" customHeight="1">
      <c r="F2774" s="461">
        <v>1</v>
      </c>
      <c r="G2774" s="414" t="s">
        <v>1130</v>
      </c>
      <c r="H2774" s="414" t="s">
        <v>616</v>
      </c>
      <c r="I2774" s="414">
        <v>75</v>
      </c>
      <c r="J2774" s="413" t="s">
        <v>1134</v>
      </c>
      <c r="K2774" s="414">
        <f>I2774*F2774</f>
        <v>75</v>
      </c>
      <c r="W2774" s="413" t="s">
        <v>1288</v>
      </c>
    </row>
    <row r="2775" spans="6:29" ht="24" customHeight="1">
      <c r="F2775" s="461">
        <v>2.5</v>
      </c>
      <c r="G2775" s="414" t="s">
        <v>1130</v>
      </c>
      <c r="H2775" s="414" t="s">
        <v>617</v>
      </c>
      <c r="I2775" s="414">
        <f>C14</f>
        <v>797</v>
      </c>
      <c r="J2775" s="413" t="s">
        <v>1130</v>
      </c>
      <c r="K2775" s="414">
        <f>I2775*F2775</f>
        <v>1992.5</v>
      </c>
      <c r="U2775" s="412" t="s">
        <v>1059</v>
      </c>
      <c r="W2775" s="413"/>
    </row>
    <row r="2776" spans="6:29" ht="24" customHeight="1">
      <c r="F2776" s="461"/>
      <c r="H2776" s="414" t="s">
        <v>1850</v>
      </c>
      <c r="I2776" s="423" t="s">
        <v>358</v>
      </c>
      <c r="J2776" s="413"/>
      <c r="K2776" s="414">
        <v>0.25</v>
      </c>
      <c r="U2776" s="412" t="s">
        <v>1060</v>
      </c>
      <c r="W2776" s="413"/>
      <c r="X2776" s="439">
        <v>2.7099999999999999E-2</v>
      </c>
    </row>
    <row r="2777" spans="6:29" ht="24" customHeight="1">
      <c r="F2777" s="461"/>
      <c r="J2777" s="413"/>
      <c r="K2777" s="418" t="s">
        <v>1676</v>
      </c>
      <c r="W2777" s="413" t="s">
        <v>790</v>
      </c>
      <c r="X2777" s="418" t="s">
        <v>1288</v>
      </c>
      <c r="Y2777" s="439">
        <f>SUM(X2778:X2779)</f>
        <v>1.6420000000000001E-2</v>
      </c>
    </row>
    <row r="2778" spans="6:29" ht="24" customHeight="1">
      <c r="F2778" s="461"/>
      <c r="I2778" s="414" t="s">
        <v>618</v>
      </c>
      <c r="J2778" s="413" t="s">
        <v>1676</v>
      </c>
      <c r="K2778" s="417">
        <f>SUM(K2773:K2777)</f>
        <v>2867.75</v>
      </c>
      <c r="L2778" s="439">
        <f>K2811+K2810</f>
        <v>1.6420000000000001E-2</v>
      </c>
      <c r="U2778" s="412" t="s">
        <v>1061</v>
      </c>
      <c r="W2778" s="488" t="s">
        <v>790</v>
      </c>
      <c r="X2778" s="439">
        <v>1.2840000000000001E-2</v>
      </c>
    </row>
    <row r="2779" spans="6:29" ht="24" customHeight="1">
      <c r="F2779" s="462"/>
      <c r="G2779" s="463"/>
      <c r="H2779" s="463"/>
      <c r="I2779" s="463"/>
      <c r="J2779" s="489"/>
      <c r="K2779" s="465" t="s">
        <v>1676</v>
      </c>
      <c r="U2779" s="412" t="s">
        <v>763</v>
      </c>
      <c r="W2779" s="413" t="s">
        <v>790</v>
      </c>
      <c r="X2779" s="439">
        <v>3.5799999999999998E-3</v>
      </c>
    </row>
    <row r="2780" spans="6:29" ht="24" customHeight="1">
      <c r="J2780" s="413"/>
      <c r="W2780" s="413"/>
      <c r="X2780" s="418" t="s">
        <v>1288</v>
      </c>
    </row>
    <row r="2781" spans="6:29" ht="24" customHeight="1">
      <c r="F2781" s="414" t="s">
        <v>761</v>
      </c>
      <c r="J2781" s="413"/>
      <c r="S2781" s="416">
        <f>F2813</f>
        <v>1.9E-2</v>
      </c>
      <c r="T2781" s="414" t="s">
        <v>702</v>
      </c>
      <c r="U2781" s="412" t="s">
        <v>257</v>
      </c>
      <c r="V2781" s="414" t="e">
        <f>C86</f>
        <v>#REF!</v>
      </c>
      <c r="W2781" s="413" t="s">
        <v>702</v>
      </c>
      <c r="X2781" s="414" t="e">
        <f>(S2781*V2781)</f>
        <v>#REF!</v>
      </c>
    </row>
    <row r="2782" spans="6:29" ht="24" customHeight="1">
      <c r="J2782" s="413"/>
      <c r="S2782" s="416">
        <f t="shared" ref="S2782:S2792" si="268">F2814</f>
        <v>2.7E-2</v>
      </c>
      <c r="T2782" s="414" t="s">
        <v>702</v>
      </c>
      <c r="U2782" s="412" t="s">
        <v>257</v>
      </c>
      <c r="V2782" s="414" t="e">
        <f>V2781</f>
        <v>#REF!</v>
      </c>
      <c r="W2782" s="413" t="s">
        <v>702</v>
      </c>
      <c r="X2782" s="414" t="e">
        <f t="shared" ref="X2782:X2792" si="269">(S2782*V2782)</f>
        <v>#REF!</v>
      </c>
    </row>
    <row r="2783" spans="6:29" ht="24" customHeight="1">
      <c r="F2783" s="414" t="s">
        <v>1999</v>
      </c>
      <c r="J2783" s="413"/>
      <c r="S2783" s="416">
        <f t="shared" si="268"/>
        <v>1.6E-2</v>
      </c>
      <c r="T2783" s="414" t="s">
        <v>702</v>
      </c>
      <c r="U2783" s="412" t="s">
        <v>258</v>
      </c>
      <c r="V2783" s="414" t="e">
        <f>C87</f>
        <v>#REF!</v>
      </c>
      <c r="W2783" s="413" t="s">
        <v>702</v>
      </c>
      <c r="X2783" s="414" t="e">
        <f t="shared" si="269"/>
        <v>#REF!</v>
      </c>
      <c r="AC2783" s="417" t="s">
        <v>1422</v>
      </c>
    </row>
    <row r="2784" spans="6:29" ht="24" customHeight="1">
      <c r="J2784" s="413"/>
      <c r="U2784" s="412"/>
      <c r="V2784" s="414">
        <f>V958</f>
        <v>0</v>
      </c>
      <c r="W2784" s="413"/>
      <c r="X2784" s="414">
        <f t="shared" si="269"/>
        <v>0</v>
      </c>
      <c r="AC2784" s="417" t="s">
        <v>1423</v>
      </c>
    </row>
    <row r="2785" spans="6:33" ht="24" customHeight="1">
      <c r="G2785" s="416">
        <v>0.745</v>
      </c>
      <c r="H2785" s="414" t="s">
        <v>1749</v>
      </c>
      <c r="J2785" s="413"/>
      <c r="S2785" s="416">
        <f t="shared" si="268"/>
        <v>1.823</v>
      </c>
      <c r="T2785" s="414" t="s">
        <v>488</v>
      </c>
      <c r="U2785" s="412" t="s">
        <v>356</v>
      </c>
      <c r="V2785" s="414">
        <f>I2817</f>
        <v>1537</v>
      </c>
      <c r="W2785" s="413" t="s">
        <v>488</v>
      </c>
      <c r="X2785" s="414">
        <f t="shared" si="269"/>
        <v>2801.95</v>
      </c>
    </row>
    <row r="2786" spans="6:33" ht="24" customHeight="1">
      <c r="J2786" s="413"/>
      <c r="S2786" s="416">
        <f t="shared" si="268"/>
        <v>2</v>
      </c>
      <c r="T2786" s="414" t="s">
        <v>619</v>
      </c>
      <c r="U2786" s="412" t="s">
        <v>1190</v>
      </c>
      <c r="V2786" s="414">
        <f t="shared" ref="V2786:V2791" si="270">I2818</f>
        <v>254.5</v>
      </c>
      <c r="W2786" s="413" t="s">
        <v>701</v>
      </c>
      <c r="X2786" s="414">
        <f t="shared" si="269"/>
        <v>509</v>
      </c>
      <c r="AB2786" s="490">
        <v>2.6159999999999999E-2</v>
      </c>
      <c r="AC2786" s="417" t="s">
        <v>702</v>
      </c>
      <c r="AD2786" s="417" t="s">
        <v>2012</v>
      </c>
      <c r="AE2786" s="417" t="e">
        <f>I2813</f>
        <v>#REF!</v>
      </c>
      <c r="AF2786" s="415" t="s">
        <v>702</v>
      </c>
      <c r="AG2786" s="417" t="e">
        <f>AE2786*AB2786</f>
        <v>#REF!</v>
      </c>
    </row>
    <row r="2787" spans="6:33" ht="24" customHeight="1">
      <c r="F2787" s="417" t="s">
        <v>372</v>
      </c>
      <c r="J2787" s="413"/>
      <c r="S2787" s="416">
        <f t="shared" si="268"/>
        <v>3</v>
      </c>
      <c r="T2787" s="414" t="s">
        <v>701</v>
      </c>
      <c r="U2787" s="412" t="s">
        <v>1191</v>
      </c>
      <c r="V2787" s="414">
        <f t="shared" si="270"/>
        <v>214.1</v>
      </c>
      <c r="W2787" s="413" t="s">
        <v>701</v>
      </c>
      <c r="X2787" s="414">
        <f t="shared" si="269"/>
        <v>642.29999999999995</v>
      </c>
      <c r="AB2787" s="490">
        <v>4.7809999999999998E-2</v>
      </c>
      <c r="AC2787" s="417" t="s">
        <v>702</v>
      </c>
      <c r="AD2787" s="417" t="s">
        <v>1914</v>
      </c>
      <c r="AE2787" s="417" t="e">
        <f>I2814</f>
        <v>#REF!</v>
      </c>
      <c r="AF2787" s="415" t="s">
        <v>702</v>
      </c>
      <c r="AG2787" s="417" t="e">
        <f t="shared" ref="AG2787:AG2796" si="271">AE2787*AB2787</f>
        <v>#REF!</v>
      </c>
    </row>
    <row r="2788" spans="6:33" ht="24" customHeight="1">
      <c r="J2788" s="413"/>
      <c r="S2788" s="416">
        <f t="shared" si="268"/>
        <v>2</v>
      </c>
      <c r="T2788" s="414" t="s">
        <v>701</v>
      </c>
      <c r="U2788" s="412" t="s">
        <v>1192</v>
      </c>
      <c r="V2788" s="414">
        <f t="shared" si="270"/>
        <v>408</v>
      </c>
      <c r="W2788" s="413" t="s">
        <v>701</v>
      </c>
      <c r="X2788" s="414">
        <f t="shared" si="269"/>
        <v>816</v>
      </c>
      <c r="AB2788" s="491">
        <v>4.5879999999999997E-2</v>
      </c>
      <c r="AC2788" s="417" t="s">
        <v>702</v>
      </c>
      <c r="AD2788" s="417" t="s">
        <v>1424</v>
      </c>
      <c r="AE2788" s="417">
        <f>I3320</f>
        <v>107000</v>
      </c>
      <c r="AF2788" s="415" t="s">
        <v>702</v>
      </c>
      <c r="AG2788" s="417">
        <f t="shared" si="271"/>
        <v>4909.16</v>
      </c>
    </row>
    <row r="2789" spans="6:33" ht="24" customHeight="1">
      <c r="F2789" s="416">
        <v>0.37</v>
      </c>
      <c r="G2789" s="414" t="s">
        <v>1749</v>
      </c>
      <c r="H2789" s="414" t="s">
        <v>2002</v>
      </c>
      <c r="I2789" s="414" t="e">
        <f>X688</f>
        <v>#REF!</v>
      </c>
      <c r="J2789" s="423" t="s">
        <v>1749</v>
      </c>
      <c r="K2789" s="414" t="e">
        <f>F2789*I2789</f>
        <v>#REF!</v>
      </c>
      <c r="S2789" s="416">
        <f t="shared" si="268"/>
        <v>1</v>
      </c>
      <c r="T2789" s="414" t="s">
        <v>701</v>
      </c>
      <c r="U2789" s="412" t="s">
        <v>1193</v>
      </c>
      <c r="V2789" s="414">
        <f t="shared" si="270"/>
        <v>836</v>
      </c>
      <c r="W2789" s="413" t="s">
        <v>701</v>
      </c>
      <c r="X2789" s="414">
        <f t="shared" si="269"/>
        <v>836</v>
      </c>
      <c r="AB2789" s="491">
        <v>3.95</v>
      </c>
      <c r="AC2789" s="417" t="s">
        <v>488</v>
      </c>
      <c r="AD2789" s="417" t="s">
        <v>715</v>
      </c>
      <c r="AE2789" s="417">
        <f>I2817</f>
        <v>1537</v>
      </c>
      <c r="AF2789" s="415" t="s">
        <v>488</v>
      </c>
      <c r="AG2789" s="417">
        <f t="shared" si="271"/>
        <v>6071.15</v>
      </c>
    </row>
    <row r="2790" spans="6:33" ht="24" customHeight="1">
      <c r="F2790" s="414">
        <v>0.25</v>
      </c>
      <c r="G2790" s="414" t="s">
        <v>1130</v>
      </c>
      <c r="H2790" s="414" t="s">
        <v>374</v>
      </c>
      <c r="I2790" s="414">
        <f>C11</f>
        <v>932</v>
      </c>
      <c r="J2790" s="423" t="s">
        <v>1134</v>
      </c>
      <c r="K2790" s="414">
        <f>F2790*I2790</f>
        <v>233</v>
      </c>
      <c r="S2790" s="416">
        <f t="shared" si="268"/>
        <v>1</v>
      </c>
      <c r="T2790" s="414" t="s">
        <v>701</v>
      </c>
      <c r="U2790" s="412" t="s">
        <v>1194</v>
      </c>
      <c r="V2790" s="414">
        <f t="shared" si="270"/>
        <v>7.3</v>
      </c>
      <c r="W2790" s="413" t="s">
        <v>701</v>
      </c>
      <c r="X2790" s="414">
        <f t="shared" si="269"/>
        <v>7.3</v>
      </c>
      <c r="AB2790" s="417">
        <v>2</v>
      </c>
      <c r="AC2790" s="417" t="s">
        <v>1524</v>
      </c>
      <c r="AD2790" s="417" t="s">
        <v>1730</v>
      </c>
      <c r="AE2790" s="417">
        <f t="shared" ref="AE2790:AE2795" si="272">I2818</f>
        <v>254.5</v>
      </c>
      <c r="AF2790" s="415" t="s">
        <v>1134</v>
      </c>
      <c r="AG2790" s="417">
        <f t="shared" si="271"/>
        <v>509</v>
      </c>
    </row>
    <row r="2791" spans="6:33" ht="24" customHeight="1">
      <c r="F2791" s="414">
        <v>3.5</v>
      </c>
      <c r="G2791" s="414" t="s">
        <v>1166</v>
      </c>
      <c r="H2791" s="414" t="s">
        <v>272</v>
      </c>
      <c r="I2791" s="414">
        <f>C12</f>
        <v>651</v>
      </c>
      <c r="J2791" s="423" t="s">
        <v>1134</v>
      </c>
      <c r="K2791" s="414">
        <f>F2791*I2791</f>
        <v>2278.5</v>
      </c>
      <c r="S2791" s="416">
        <f t="shared" si="268"/>
        <v>1</v>
      </c>
      <c r="T2791" s="414" t="s">
        <v>701</v>
      </c>
      <c r="U2791" s="412" t="s">
        <v>1614</v>
      </c>
      <c r="V2791" s="414">
        <f t="shared" si="270"/>
        <v>49.55</v>
      </c>
      <c r="W2791" s="413" t="s">
        <v>701</v>
      </c>
      <c r="X2791" s="414">
        <f t="shared" si="269"/>
        <v>49.55</v>
      </c>
      <c r="AB2791" s="417">
        <v>6</v>
      </c>
      <c r="AC2791" s="417" t="s">
        <v>1524</v>
      </c>
      <c r="AD2791" s="417" t="s">
        <v>888</v>
      </c>
      <c r="AE2791" s="417">
        <f t="shared" si="272"/>
        <v>214.1</v>
      </c>
      <c r="AF2791" s="415" t="s">
        <v>1134</v>
      </c>
      <c r="AG2791" s="417">
        <f t="shared" si="271"/>
        <v>1284.5999999999999</v>
      </c>
    </row>
    <row r="2792" spans="6:33" ht="24" customHeight="1">
      <c r="F2792" s="414">
        <v>12</v>
      </c>
      <c r="G2792" s="414" t="s">
        <v>734</v>
      </c>
      <c r="H2792" s="414" t="s">
        <v>2000</v>
      </c>
      <c r="J2792" s="423" t="s">
        <v>734</v>
      </c>
      <c r="K2792" s="414">
        <f>I2792*F2792</f>
        <v>0</v>
      </c>
      <c r="S2792" s="416">
        <f t="shared" si="268"/>
        <v>64</v>
      </c>
      <c r="U2792" s="414" t="s">
        <v>383</v>
      </c>
      <c r="V2792" s="414">
        <f>P2831</f>
        <v>2.41</v>
      </c>
      <c r="W2792" s="413"/>
      <c r="X2792" s="414">
        <f t="shared" si="269"/>
        <v>154.24</v>
      </c>
      <c r="AB2792" s="417">
        <v>4</v>
      </c>
      <c r="AC2792" s="417" t="s">
        <v>1524</v>
      </c>
      <c r="AD2792" s="417" t="s">
        <v>1095</v>
      </c>
      <c r="AE2792" s="417">
        <f t="shared" si="272"/>
        <v>408</v>
      </c>
      <c r="AF2792" s="415" t="s">
        <v>1134</v>
      </c>
      <c r="AG2792" s="417">
        <f t="shared" si="271"/>
        <v>1632</v>
      </c>
    </row>
    <row r="2793" spans="6:33" ht="24" customHeight="1">
      <c r="G2793" s="414" t="s">
        <v>375</v>
      </c>
      <c r="H2793" s="414" t="s">
        <v>768</v>
      </c>
      <c r="J2793" s="423" t="s">
        <v>49</v>
      </c>
      <c r="K2793" s="414">
        <f>L2759*10%</f>
        <v>251.15</v>
      </c>
      <c r="U2793" s="412" t="s">
        <v>800</v>
      </c>
      <c r="W2793" s="413"/>
      <c r="X2793" s="414" t="e">
        <f>SUM(X2781:X2792)</f>
        <v>#REF!</v>
      </c>
      <c r="AB2793" s="417">
        <v>1</v>
      </c>
      <c r="AC2793" s="417" t="s">
        <v>1524</v>
      </c>
      <c r="AD2793" s="417" t="s">
        <v>1096</v>
      </c>
      <c r="AE2793" s="417">
        <f t="shared" si="272"/>
        <v>836</v>
      </c>
      <c r="AF2793" s="415" t="s">
        <v>1134</v>
      </c>
      <c r="AG2793" s="417">
        <f t="shared" si="271"/>
        <v>836</v>
      </c>
    </row>
    <row r="2794" spans="6:33" ht="24" customHeight="1">
      <c r="J2794" s="413"/>
      <c r="K2794" s="414" t="s">
        <v>769</v>
      </c>
      <c r="W2794" s="413"/>
      <c r="X2794" s="418" t="s">
        <v>1288</v>
      </c>
      <c r="AB2794" s="417">
        <v>2</v>
      </c>
      <c r="AC2794" s="417" t="s">
        <v>1524</v>
      </c>
      <c r="AD2794" s="417" t="s">
        <v>1612</v>
      </c>
      <c r="AE2794" s="417">
        <f t="shared" si="272"/>
        <v>7.3</v>
      </c>
      <c r="AF2794" s="415" t="s">
        <v>1134</v>
      </c>
      <c r="AG2794" s="417">
        <f t="shared" si="271"/>
        <v>14.6</v>
      </c>
    </row>
    <row r="2795" spans="6:33" ht="24" customHeight="1">
      <c r="J2795" s="413"/>
      <c r="U2795" s="412" t="s">
        <v>447</v>
      </c>
      <c r="W2795" s="413"/>
      <c r="X2795" s="414" t="e">
        <f>X2793/1.8225</f>
        <v>#REF!</v>
      </c>
      <c r="AB2795" s="417">
        <v>2</v>
      </c>
      <c r="AC2795" s="417" t="s">
        <v>1524</v>
      </c>
      <c r="AD2795" s="417" t="s">
        <v>1614</v>
      </c>
      <c r="AE2795" s="417">
        <f t="shared" si="272"/>
        <v>49.55</v>
      </c>
      <c r="AF2795" s="415" t="s">
        <v>1134</v>
      </c>
      <c r="AG2795" s="417">
        <f t="shared" si="271"/>
        <v>99.1</v>
      </c>
    </row>
    <row r="2796" spans="6:33" ht="24" customHeight="1">
      <c r="I2796" s="414" t="s">
        <v>2001</v>
      </c>
      <c r="J2796" s="413"/>
      <c r="K2796" s="414" t="e">
        <f>SUM(K2789:K2793)</f>
        <v>#REF!</v>
      </c>
      <c r="W2796" s="413"/>
      <c r="AB2796" s="417">
        <v>10</v>
      </c>
      <c r="AC2796" s="417"/>
      <c r="AD2796" s="417" t="s">
        <v>1420</v>
      </c>
      <c r="AE2796" s="417">
        <f>V2792</f>
        <v>2.41</v>
      </c>
      <c r="AF2796" s="415"/>
      <c r="AG2796" s="417">
        <f t="shared" si="271"/>
        <v>24.1</v>
      </c>
    </row>
    <row r="2797" spans="6:33" ht="24" customHeight="1">
      <c r="J2797" s="413"/>
      <c r="W2797" s="413"/>
      <c r="AB2797" s="417"/>
      <c r="AC2797" s="417"/>
      <c r="AD2797" s="417" t="s">
        <v>447</v>
      </c>
      <c r="AE2797" s="417"/>
      <c r="AF2797" s="415"/>
      <c r="AG2797" s="417" t="e">
        <f>SUM(AG2786:AG2796)</f>
        <v>#REF!</v>
      </c>
    </row>
    <row r="2798" spans="6:33" ht="24" customHeight="1">
      <c r="I2798" s="414" t="s">
        <v>1532</v>
      </c>
      <c r="J2798" s="413"/>
      <c r="K2798" s="414" t="e">
        <f>K2796/3.5</f>
        <v>#REF!</v>
      </c>
      <c r="W2798" s="413"/>
      <c r="AB2798" s="417"/>
      <c r="AC2798" s="417"/>
      <c r="AD2798" s="417"/>
      <c r="AE2798" s="417"/>
      <c r="AF2798" s="415"/>
      <c r="AG2798" s="480" t="s">
        <v>119</v>
      </c>
    </row>
    <row r="2799" spans="6:33" ht="24" customHeight="1">
      <c r="J2799" s="413"/>
      <c r="W2799" s="413"/>
      <c r="AB2799" s="417"/>
      <c r="AC2799" s="417"/>
      <c r="AD2799" s="417" t="s">
        <v>447</v>
      </c>
      <c r="AE2799" s="417"/>
      <c r="AF2799" s="415"/>
      <c r="AG2799" s="417" t="e">
        <f>AG2797/AB2789</f>
        <v>#REF!</v>
      </c>
    </row>
    <row r="2800" spans="6:33" ht="24" customHeight="1">
      <c r="F2800" s="413" t="s">
        <v>456</v>
      </c>
      <c r="G2800" s="414" t="s">
        <v>1833</v>
      </c>
      <c r="H2800" s="412" t="s">
        <v>199</v>
      </c>
      <c r="J2800" s="413"/>
      <c r="W2800" s="413"/>
      <c r="AB2800" s="417"/>
      <c r="AC2800" s="417"/>
      <c r="AD2800" s="417"/>
      <c r="AE2800" s="417"/>
      <c r="AF2800" s="415"/>
      <c r="AG2800" s="480" t="s">
        <v>119</v>
      </c>
    </row>
    <row r="2801" spans="6:23" ht="24" customHeight="1">
      <c r="H2801" s="412" t="s">
        <v>200</v>
      </c>
      <c r="J2801" s="413"/>
      <c r="W2801" s="413"/>
    </row>
    <row r="2802" spans="6:23" ht="24" customHeight="1">
      <c r="H2802" s="412" t="s">
        <v>1197</v>
      </c>
      <c r="I2802" s="417" t="s">
        <v>1801</v>
      </c>
      <c r="J2802" s="413"/>
      <c r="W2802" s="413"/>
    </row>
    <row r="2803" spans="6:23" ht="24" customHeight="1">
      <c r="H2803" s="418" t="s">
        <v>1288</v>
      </c>
      <c r="J2803" s="413"/>
      <c r="W2803" s="413"/>
    </row>
    <row r="2804" spans="6:23" ht="24" customHeight="1">
      <c r="H2804" s="412" t="s">
        <v>1533</v>
      </c>
      <c r="J2804" s="413"/>
      <c r="W2804" s="413"/>
    </row>
    <row r="2805" spans="6:23" ht="24" customHeight="1">
      <c r="H2805" s="412" t="s">
        <v>1534</v>
      </c>
      <c r="J2805" s="413"/>
      <c r="W2805" s="413"/>
    </row>
    <row r="2806" spans="6:23" ht="24" customHeight="1">
      <c r="J2806" s="413" t="s">
        <v>1288</v>
      </c>
      <c r="W2806" s="413"/>
    </row>
    <row r="2807" spans="6:23" ht="24" customHeight="1">
      <c r="H2807" s="412" t="s">
        <v>1059</v>
      </c>
      <c r="J2807" s="413"/>
      <c r="M2807" s="413" t="s">
        <v>456</v>
      </c>
      <c r="N2807" s="414" t="s">
        <v>1833</v>
      </c>
      <c r="O2807" s="412" t="s">
        <v>199</v>
      </c>
      <c r="Q2807" s="413"/>
      <c r="W2807" s="413"/>
    </row>
    <row r="2808" spans="6:23" ht="24" customHeight="1">
      <c r="H2808" s="412" t="s">
        <v>1060</v>
      </c>
      <c r="J2808" s="413"/>
      <c r="K2808" s="439">
        <v>2.7099999999999999E-2</v>
      </c>
      <c r="O2808" s="412" t="s">
        <v>200</v>
      </c>
      <c r="Q2808" s="413"/>
      <c r="W2808" s="413"/>
    </row>
    <row r="2809" spans="6:23" ht="24" customHeight="1">
      <c r="J2809" s="413" t="s">
        <v>790</v>
      </c>
      <c r="K2809" s="418" t="s">
        <v>1288</v>
      </c>
      <c r="O2809" s="412" t="s">
        <v>565</v>
      </c>
      <c r="P2809" s="417" t="s">
        <v>1800</v>
      </c>
      <c r="Q2809" s="413"/>
      <c r="W2809" s="413"/>
    </row>
    <row r="2810" spans="6:23" ht="24" customHeight="1">
      <c r="H2810" s="412" t="s">
        <v>1061</v>
      </c>
      <c r="J2810" s="488" t="s">
        <v>790</v>
      </c>
      <c r="K2810" s="439">
        <v>1.2840000000000001E-2</v>
      </c>
      <c r="O2810" s="418" t="s">
        <v>1288</v>
      </c>
      <c r="Q2810" s="413"/>
      <c r="W2810" s="413"/>
    </row>
    <row r="2811" spans="6:23" ht="24" customHeight="1">
      <c r="H2811" s="412" t="s">
        <v>1802</v>
      </c>
      <c r="J2811" s="413" t="s">
        <v>790</v>
      </c>
      <c r="K2811" s="439">
        <v>3.5799999999999998E-3</v>
      </c>
      <c r="O2811" s="412" t="s">
        <v>334</v>
      </c>
      <c r="Q2811" s="413"/>
      <c r="W2811" s="413"/>
    </row>
    <row r="2812" spans="6:23" ht="24" customHeight="1">
      <c r="F2812" s="450"/>
      <c r="J2812" s="413"/>
      <c r="K2812" s="418" t="s">
        <v>1288</v>
      </c>
      <c r="O2812" s="412" t="s">
        <v>1534</v>
      </c>
      <c r="Q2812" s="413"/>
      <c r="W2812" s="413"/>
    </row>
    <row r="2813" spans="6:23" ht="24" customHeight="1">
      <c r="F2813" s="439">
        <v>1.898E-2</v>
      </c>
      <c r="G2813" s="414" t="s">
        <v>702</v>
      </c>
      <c r="H2813" s="412" t="s">
        <v>234</v>
      </c>
      <c r="I2813" s="414" t="e">
        <f>AC26</f>
        <v>#REF!</v>
      </c>
      <c r="J2813" s="413" t="s">
        <v>702</v>
      </c>
      <c r="K2813" s="414" t="e">
        <f>(F2813*I2813)</f>
        <v>#REF!</v>
      </c>
      <c r="Q2813" s="413" t="s">
        <v>1288</v>
      </c>
      <c r="W2813" s="413"/>
    </row>
    <row r="2814" spans="6:23" ht="24" customHeight="1">
      <c r="F2814" s="439">
        <f>K2808</f>
        <v>2.7099999999999999E-2</v>
      </c>
      <c r="G2814" s="414" t="s">
        <v>702</v>
      </c>
      <c r="H2814" s="412" t="s">
        <v>235</v>
      </c>
      <c r="I2814" s="414" t="e">
        <f>AC27</f>
        <v>#REF!</v>
      </c>
      <c r="J2814" s="413" t="s">
        <v>702</v>
      </c>
      <c r="K2814" s="414" t="e">
        <f t="shared" ref="K2814:K2824" si="273">(F2814*I2814)</f>
        <v>#REF!</v>
      </c>
      <c r="O2814" s="412" t="s">
        <v>336</v>
      </c>
      <c r="Q2814" s="413"/>
      <c r="W2814" s="413"/>
    </row>
    <row r="2815" spans="6:23" ht="24" customHeight="1">
      <c r="F2815" s="439">
        <f>L2778</f>
        <v>1.6420000000000001E-2</v>
      </c>
      <c r="G2815" s="414" t="s">
        <v>702</v>
      </c>
      <c r="H2815" s="412" t="s">
        <v>236</v>
      </c>
      <c r="I2815" s="414" t="e">
        <f>AC28</f>
        <v>#REF!</v>
      </c>
      <c r="J2815" s="413" t="s">
        <v>702</v>
      </c>
      <c r="K2815" s="414" t="e">
        <f t="shared" si="273"/>
        <v>#REF!</v>
      </c>
      <c r="O2815" s="412" t="s">
        <v>1798</v>
      </c>
      <c r="Q2815" s="413"/>
      <c r="R2815" s="439">
        <v>2.784E-2</v>
      </c>
      <c r="W2815" s="413"/>
    </row>
    <row r="2816" spans="6:23" ht="24" customHeight="1">
      <c r="F2816" s="440"/>
      <c r="H2816" s="412" t="s">
        <v>764</v>
      </c>
      <c r="J2816" s="413"/>
      <c r="Q2816" s="413" t="s">
        <v>790</v>
      </c>
      <c r="R2816" s="418" t="s">
        <v>1288</v>
      </c>
      <c r="W2816" s="413"/>
    </row>
    <row r="2817" spans="6:23" ht="24" customHeight="1">
      <c r="F2817" s="440">
        <v>1.8225</v>
      </c>
      <c r="G2817" s="414" t="s">
        <v>488</v>
      </c>
      <c r="H2817" s="412" t="s">
        <v>356</v>
      </c>
      <c r="I2817" s="414">
        <f>I954</f>
        <v>1537</v>
      </c>
      <c r="J2817" s="413" t="s">
        <v>488</v>
      </c>
      <c r="K2817" s="414">
        <f t="shared" si="273"/>
        <v>2801.18</v>
      </c>
      <c r="O2817" s="412" t="s">
        <v>1799</v>
      </c>
      <c r="Q2817" s="488" t="s">
        <v>790</v>
      </c>
      <c r="R2817" s="439">
        <v>2.5499999999999998E-2</v>
      </c>
      <c r="W2817" s="413"/>
    </row>
    <row r="2818" spans="6:23" ht="24" customHeight="1">
      <c r="F2818" s="414">
        <v>2</v>
      </c>
      <c r="G2818" s="414" t="s">
        <v>619</v>
      </c>
      <c r="H2818" s="412" t="s">
        <v>3187</v>
      </c>
      <c r="I2818" s="414">
        <v>254.5</v>
      </c>
      <c r="J2818" s="413" t="s">
        <v>701</v>
      </c>
      <c r="K2818" s="414">
        <f t="shared" si="273"/>
        <v>509</v>
      </c>
      <c r="O2818" s="412"/>
      <c r="Q2818" s="413" t="s">
        <v>790</v>
      </c>
      <c r="R2818" s="439"/>
      <c r="W2818" s="413"/>
    </row>
    <row r="2819" spans="6:23" ht="24" customHeight="1">
      <c r="F2819" s="414">
        <v>3</v>
      </c>
      <c r="G2819" s="414" t="s">
        <v>701</v>
      </c>
      <c r="H2819" s="412" t="s">
        <v>3188</v>
      </c>
      <c r="I2819" s="414">
        <v>214.1</v>
      </c>
      <c r="J2819" s="413" t="s">
        <v>701</v>
      </c>
      <c r="K2819" s="414">
        <f t="shared" si="273"/>
        <v>642.29999999999995</v>
      </c>
      <c r="Q2819" s="413"/>
      <c r="R2819" s="418" t="s">
        <v>1288</v>
      </c>
      <c r="W2819" s="413"/>
    </row>
    <row r="2820" spans="6:23" ht="24" customHeight="1">
      <c r="F2820" s="414">
        <v>2</v>
      </c>
      <c r="G2820" s="414" t="s">
        <v>701</v>
      </c>
      <c r="H2820" s="412" t="s">
        <v>3189</v>
      </c>
      <c r="I2820" s="414">
        <v>408</v>
      </c>
      <c r="J2820" s="413" t="s">
        <v>701</v>
      </c>
      <c r="K2820" s="414">
        <f t="shared" si="273"/>
        <v>816</v>
      </c>
      <c r="M2820" s="439">
        <v>1.898E-2</v>
      </c>
      <c r="N2820" s="414" t="s">
        <v>702</v>
      </c>
      <c r="O2820" s="412" t="s">
        <v>234</v>
      </c>
      <c r="P2820" s="414" t="e">
        <f>I2813</f>
        <v>#REF!</v>
      </c>
      <c r="Q2820" s="413" t="s">
        <v>702</v>
      </c>
      <c r="R2820" s="414" t="e">
        <f>(M2820*P2820)</f>
        <v>#REF!</v>
      </c>
      <c r="W2820" s="413"/>
    </row>
    <row r="2821" spans="6:23" ht="24" customHeight="1">
      <c r="F2821" s="414">
        <v>1</v>
      </c>
      <c r="G2821" s="414" t="s">
        <v>701</v>
      </c>
      <c r="H2821" s="412" t="s">
        <v>3190</v>
      </c>
      <c r="I2821" s="414">
        <v>836</v>
      </c>
      <c r="J2821" s="413" t="s">
        <v>701</v>
      </c>
      <c r="K2821" s="414">
        <f t="shared" si="273"/>
        <v>836</v>
      </c>
      <c r="M2821" s="439">
        <f>R2815</f>
        <v>2.784E-2</v>
      </c>
      <c r="N2821" s="414" t="s">
        <v>702</v>
      </c>
      <c r="O2821" s="412" t="s">
        <v>235</v>
      </c>
      <c r="P2821" s="414" t="e">
        <f t="shared" ref="P2821:P2830" si="274">I2814</f>
        <v>#REF!</v>
      </c>
      <c r="Q2821" s="413" t="s">
        <v>702</v>
      </c>
      <c r="R2821" s="414" t="e">
        <f t="shared" ref="R2821:R2830" si="275">(M2821*P2821)</f>
        <v>#REF!</v>
      </c>
      <c r="W2821" s="413"/>
    </row>
    <row r="2822" spans="6:23" ht="24" customHeight="1">
      <c r="F2822" s="414">
        <v>1</v>
      </c>
      <c r="G2822" s="414" t="s">
        <v>701</v>
      </c>
      <c r="H2822" s="412" t="s">
        <v>1194</v>
      </c>
      <c r="I2822" s="414">
        <v>7.3</v>
      </c>
      <c r="J2822" s="413" t="s">
        <v>701</v>
      </c>
      <c r="K2822" s="414">
        <f t="shared" si="273"/>
        <v>7.3</v>
      </c>
      <c r="M2822" s="439">
        <f>R2817</f>
        <v>2.5499999999999998E-2</v>
      </c>
      <c r="N2822" s="414" t="s">
        <v>702</v>
      </c>
      <c r="O2822" s="412" t="s">
        <v>236</v>
      </c>
      <c r="P2822" s="414" t="e">
        <f t="shared" si="274"/>
        <v>#REF!</v>
      </c>
      <c r="Q2822" s="413" t="s">
        <v>702</v>
      </c>
      <c r="R2822" s="414" t="e">
        <f t="shared" si="275"/>
        <v>#REF!</v>
      </c>
      <c r="W2822" s="413"/>
    </row>
    <row r="2823" spans="6:23" ht="24" customHeight="1">
      <c r="F2823" s="414">
        <v>1</v>
      </c>
      <c r="G2823" s="414" t="s">
        <v>701</v>
      </c>
      <c r="H2823" s="412" t="s">
        <v>3191</v>
      </c>
      <c r="I2823" s="414">
        <v>49.55</v>
      </c>
      <c r="J2823" s="413" t="s">
        <v>701</v>
      </c>
      <c r="K2823" s="414">
        <f t="shared" si="273"/>
        <v>49.55</v>
      </c>
      <c r="M2823" s="440"/>
      <c r="O2823" s="412" t="s">
        <v>1803</v>
      </c>
      <c r="Q2823" s="413"/>
      <c r="W2823" s="413"/>
    </row>
    <row r="2824" spans="6:23" ht="24" customHeight="1">
      <c r="F2824" s="414">
        <v>64</v>
      </c>
      <c r="H2824" s="414" t="s">
        <v>2209</v>
      </c>
      <c r="I2824" s="414">
        <f>P1121</f>
        <v>2.41</v>
      </c>
      <c r="J2824" s="413"/>
      <c r="K2824" s="414">
        <f t="shared" si="273"/>
        <v>154.24</v>
      </c>
      <c r="M2824" s="440">
        <v>2.2275</v>
      </c>
      <c r="N2824" s="414" t="s">
        <v>488</v>
      </c>
      <c r="O2824" s="412" t="s">
        <v>356</v>
      </c>
      <c r="P2824" s="414">
        <f t="shared" si="274"/>
        <v>1537</v>
      </c>
      <c r="Q2824" s="413" t="s">
        <v>488</v>
      </c>
      <c r="R2824" s="414">
        <f t="shared" si="275"/>
        <v>3423.67</v>
      </c>
      <c r="W2824" s="413"/>
    </row>
    <row r="2825" spans="6:23" ht="24" customHeight="1">
      <c r="H2825" s="412" t="s">
        <v>800</v>
      </c>
      <c r="J2825" s="413"/>
      <c r="K2825" s="414" t="e">
        <f>SUM(K2813:K2824)</f>
        <v>#REF!</v>
      </c>
      <c r="M2825" s="414">
        <v>1</v>
      </c>
      <c r="N2825" s="414" t="s">
        <v>619</v>
      </c>
      <c r="O2825" s="412" t="s">
        <v>1190</v>
      </c>
      <c r="P2825" s="414">
        <f t="shared" si="274"/>
        <v>254.5</v>
      </c>
      <c r="Q2825" s="413" t="s">
        <v>701</v>
      </c>
      <c r="R2825" s="414">
        <f t="shared" si="275"/>
        <v>254.5</v>
      </c>
      <c r="W2825" s="413"/>
    </row>
    <row r="2826" spans="6:23" ht="24" customHeight="1">
      <c r="J2826" s="413"/>
      <c r="K2826" s="418" t="s">
        <v>1288</v>
      </c>
      <c r="M2826" s="414">
        <v>3</v>
      </c>
      <c r="N2826" s="414" t="s">
        <v>701</v>
      </c>
      <c r="O2826" s="412" t="s">
        <v>1191</v>
      </c>
      <c r="P2826" s="414">
        <f t="shared" si="274"/>
        <v>214.1</v>
      </c>
      <c r="Q2826" s="413" t="s">
        <v>701</v>
      </c>
      <c r="R2826" s="414">
        <f t="shared" si="275"/>
        <v>642.29999999999995</v>
      </c>
      <c r="W2826" s="413"/>
    </row>
    <row r="2827" spans="6:23" ht="24" customHeight="1">
      <c r="H2827" s="412" t="s">
        <v>447</v>
      </c>
      <c r="J2827" s="413"/>
      <c r="K2827" s="417" t="e">
        <f>K2825/F2817</f>
        <v>#REF!</v>
      </c>
      <c r="M2827" s="414">
        <v>2</v>
      </c>
      <c r="N2827" s="414" t="s">
        <v>701</v>
      </c>
      <c r="O2827" s="412" t="s">
        <v>1192</v>
      </c>
      <c r="P2827" s="414">
        <f t="shared" si="274"/>
        <v>408</v>
      </c>
      <c r="Q2827" s="413" t="s">
        <v>701</v>
      </c>
      <c r="R2827" s="414">
        <f t="shared" si="275"/>
        <v>816</v>
      </c>
      <c r="W2827" s="413"/>
    </row>
    <row r="2828" spans="6:23" ht="24" customHeight="1">
      <c r="J2828" s="413"/>
      <c r="M2828" s="414">
        <v>1</v>
      </c>
      <c r="N2828" s="414" t="s">
        <v>701</v>
      </c>
      <c r="O2828" s="412" t="s">
        <v>1193</v>
      </c>
      <c r="P2828" s="414">
        <f t="shared" si="274"/>
        <v>836</v>
      </c>
      <c r="Q2828" s="413" t="s">
        <v>701</v>
      </c>
      <c r="R2828" s="414">
        <f t="shared" si="275"/>
        <v>836</v>
      </c>
      <c r="W2828" s="413"/>
    </row>
    <row r="2829" spans="6:23" ht="24" customHeight="1">
      <c r="F2829" s="413" t="s">
        <v>456</v>
      </c>
      <c r="G2829" s="414" t="s">
        <v>1833</v>
      </c>
      <c r="H2829" s="412" t="s">
        <v>1440</v>
      </c>
      <c r="J2829" s="413"/>
      <c r="M2829" s="414">
        <v>1</v>
      </c>
      <c r="N2829" s="414" t="s">
        <v>701</v>
      </c>
      <c r="O2829" s="412" t="s">
        <v>1194</v>
      </c>
      <c r="P2829" s="414">
        <f t="shared" si="274"/>
        <v>7.3</v>
      </c>
      <c r="Q2829" s="413" t="s">
        <v>701</v>
      </c>
      <c r="R2829" s="414">
        <f t="shared" si="275"/>
        <v>7.3</v>
      </c>
      <c r="W2829" s="413"/>
    </row>
    <row r="2830" spans="6:23" ht="24" customHeight="1">
      <c r="H2830" s="412" t="s">
        <v>200</v>
      </c>
      <c r="J2830" s="413"/>
      <c r="M2830" s="414">
        <v>1</v>
      </c>
      <c r="N2830" s="414" t="s">
        <v>701</v>
      </c>
      <c r="O2830" s="412" t="s">
        <v>1614</v>
      </c>
      <c r="P2830" s="414">
        <f t="shared" si="274"/>
        <v>49.55</v>
      </c>
      <c r="Q2830" s="413" t="s">
        <v>701</v>
      </c>
      <c r="R2830" s="414">
        <f t="shared" si="275"/>
        <v>49.55</v>
      </c>
      <c r="W2830" s="413"/>
    </row>
    <row r="2831" spans="6:23" ht="24" customHeight="1">
      <c r="H2831" s="412" t="s">
        <v>1197</v>
      </c>
      <c r="J2831" s="413">
        <f>1.1*2.025</f>
        <v>2.23</v>
      </c>
      <c r="M2831" s="414">
        <v>58</v>
      </c>
      <c r="N2831" s="414" t="s">
        <v>701</v>
      </c>
      <c r="O2831" s="414" t="s">
        <v>1420</v>
      </c>
      <c r="P2831" s="414">
        <f>P1121</f>
        <v>2.41</v>
      </c>
      <c r="Q2831" s="413" t="s">
        <v>701</v>
      </c>
      <c r="R2831" s="414">
        <f>(M2831*P2831)</f>
        <v>139.78</v>
      </c>
      <c r="W2831" s="413"/>
    </row>
    <row r="2832" spans="6:23" ht="24" customHeight="1">
      <c r="H2832" s="418" t="s">
        <v>1288</v>
      </c>
      <c r="J2832" s="413"/>
      <c r="O2832" s="412" t="s">
        <v>2071</v>
      </c>
      <c r="Q2832" s="413"/>
      <c r="R2832" s="414" t="e">
        <f>SUM(R2820:R2831)</f>
        <v>#REF!</v>
      </c>
      <c r="W2832" s="413"/>
    </row>
    <row r="2833" spans="6:23" ht="28.5" customHeight="1">
      <c r="H2833" s="412" t="s">
        <v>68</v>
      </c>
      <c r="J2833" s="413"/>
      <c r="Q2833" s="413"/>
      <c r="R2833" s="418" t="s">
        <v>1288</v>
      </c>
      <c r="W2833" s="413"/>
    </row>
    <row r="2834" spans="6:23" ht="47.25">
      <c r="F2834" s="416">
        <v>1.823</v>
      </c>
      <c r="G2834" s="414" t="s">
        <v>488</v>
      </c>
      <c r="H2834" s="426" t="s">
        <v>3192</v>
      </c>
      <c r="I2834" s="414">
        <v>2180</v>
      </c>
      <c r="J2834" s="413" t="s">
        <v>488</v>
      </c>
      <c r="K2834" s="414">
        <f>F2835*I2834</f>
        <v>3974.14</v>
      </c>
      <c r="O2834" s="412" t="s">
        <v>447</v>
      </c>
      <c r="Q2834" s="413"/>
      <c r="R2834" s="414" t="e">
        <f>R2832/M2824</f>
        <v>#REF!</v>
      </c>
      <c r="W2834" s="413"/>
    </row>
    <row r="2835" spans="6:23" ht="24" customHeight="1">
      <c r="F2835" s="416">
        <v>1.823</v>
      </c>
      <c r="G2835" s="414" t="s">
        <v>488</v>
      </c>
      <c r="H2835" s="412" t="s">
        <v>3019</v>
      </c>
      <c r="I2835" s="414">
        <f>AE52</f>
        <v>214.1</v>
      </c>
      <c r="J2835" s="413" t="s">
        <v>488</v>
      </c>
      <c r="K2835" s="414">
        <f t="shared" ref="K2835:K2841" si="276">(F2835*I2835)</f>
        <v>390.3</v>
      </c>
      <c r="W2835" s="413"/>
    </row>
    <row r="2836" spans="6:23" ht="24" customHeight="1">
      <c r="F2836" s="414">
        <v>2</v>
      </c>
      <c r="G2836" s="414" t="s">
        <v>619</v>
      </c>
      <c r="H2836" s="412" t="s">
        <v>1190</v>
      </c>
      <c r="I2836" s="414">
        <f t="shared" ref="I2836:I2841" si="277">I990</f>
        <v>57.65</v>
      </c>
      <c r="J2836" s="413" t="s">
        <v>701</v>
      </c>
      <c r="K2836" s="414">
        <f t="shared" si="276"/>
        <v>115.3</v>
      </c>
      <c r="W2836" s="413"/>
    </row>
    <row r="2837" spans="6:23" ht="24" customHeight="1">
      <c r="F2837" s="414">
        <v>3</v>
      </c>
      <c r="G2837" s="414" t="s">
        <v>701</v>
      </c>
      <c r="H2837" s="412" t="s">
        <v>1191</v>
      </c>
      <c r="I2837" s="414">
        <f t="shared" si="277"/>
        <v>89.6</v>
      </c>
      <c r="J2837" s="413" t="s">
        <v>701</v>
      </c>
      <c r="K2837" s="414">
        <f t="shared" si="276"/>
        <v>268.8</v>
      </c>
      <c r="W2837" s="413"/>
    </row>
    <row r="2838" spans="6:23" ht="24" customHeight="1">
      <c r="F2838" s="414">
        <v>2</v>
      </c>
      <c r="G2838" s="414" t="s">
        <v>701</v>
      </c>
      <c r="H2838" s="412" t="s">
        <v>1192</v>
      </c>
      <c r="I2838" s="414">
        <f t="shared" si="277"/>
        <v>64.8</v>
      </c>
      <c r="J2838" s="413" t="s">
        <v>701</v>
      </c>
      <c r="K2838" s="414">
        <f t="shared" si="276"/>
        <v>129.6</v>
      </c>
      <c r="W2838" s="413"/>
    </row>
    <row r="2839" spans="6:23" ht="24" customHeight="1">
      <c r="F2839" s="414">
        <v>1</v>
      </c>
      <c r="G2839" s="414" t="s">
        <v>701</v>
      </c>
      <c r="H2839" s="412" t="s">
        <v>1193</v>
      </c>
      <c r="I2839" s="414">
        <f t="shared" si="277"/>
        <v>181</v>
      </c>
      <c r="J2839" s="413" t="s">
        <v>701</v>
      </c>
      <c r="K2839" s="414">
        <f t="shared" si="276"/>
        <v>181</v>
      </c>
      <c r="W2839" s="413"/>
    </row>
    <row r="2840" spans="6:23" ht="24" customHeight="1">
      <c r="F2840" s="414">
        <v>1</v>
      </c>
      <c r="G2840" s="414" t="s">
        <v>701</v>
      </c>
      <c r="H2840" s="412" t="s">
        <v>1194</v>
      </c>
      <c r="I2840" s="414">
        <f t="shared" si="277"/>
        <v>7.3</v>
      </c>
      <c r="J2840" s="413" t="s">
        <v>701</v>
      </c>
      <c r="K2840" s="414">
        <f t="shared" si="276"/>
        <v>7.3</v>
      </c>
      <c r="M2840" s="413" t="s">
        <v>456</v>
      </c>
      <c r="N2840" s="414" t="s">
        <v>1833</v>
      </c>
      <c r="O2840" s="412" t="s">
        <v>199</v>
      </c>
      <c r="Q2840" s="413"/>
      <c r="W2840" s="413"/>
    </row>
    <row r="2841" spans="6:23" ht="24" customHeight="1">
      <c r="F2841" s="414">
        <v>1</v>
      </c>
      <c r="G2841" s="414" t="s">
        <v>701</v>
      </c>
      <c r="H2841" s="412" t="s">
        <v>1614</v>
      </c>
      <c r="I2841" s="414">
        <f t="shared" si="277"/>
        <v>49.55</v>
      </c>
      <c r="J2841" s="413" t="s">
        <v>701</v>
      </c>
      <c r="K2841" s="414">
        <f t="shared" si="276"/>
        <v>49.55</v>
      </c>
      <c r="O2841" s="412" t="s">
        <v>200</v>
      </c>
      <c r="P2841" s="417" t="s">
        <v>2073</v>
      </c>
      <c r="Q2841" s="413"/>
      <c r="W2841" s="413"/>
    </row>
    <row r="2842" spans="6:23" ht="24" customHeight="1">
      <c r="J2842" s="413"/>
      <c r="K2842" s="423">
        <v>0.85</v>
      </c>
      <c r="O2842" s="412" t="s">
        <v>565</v>
      </c>
      <c r="P2842" s="417" t="s">
        <v>2072</v>
      </c>
      <c r="Q2842" s="413"/>
      <c r="W2842" s="413"/>
    </row>
    <row r="2843" spans="6:23" ht="24" customHeight="1">
      <c r="H2843" s="412" t="s">
        <v>991</v>
      </c>
      <c r="J2843" s="413"/>
      <c r="K2843" s="414">
        <f>SUM(K2834:K2842)</f>
        <v>5116.84</v>
      </c>
      <c r="O2843" s="418" t="s">
        <v>1288</v>
      </c>
      <c r="Q2843" s="413"/>
      <c r="W2843" s="413"/>
    </row>
    <row r="2844" spans="6:23" ht="24" customHeight="1">
      <c r="J2844" s="413"/>
      <c r="K2844" s="418" t="s">
        <v>1288</v>
      </c>
      <c r="O2844" s="412" t="s">
        <v>2068</v>
      </c>
      <c r="Q2844" s="413"/>
      <c r="W2844" s="413"/>
    </row>
    <row r="2845" spans="6:23" ht="24" customHeight="1">
      <c r="H2845" s="412" t="s">
        <v>447</v>
      </c>
      <c r="J2845" s="413"/>
      <c r="K2845" s="414">
        <f>K2843/F2835</f>
        <v>2806.82</v>
      </c>
      <c r="O2845" s="412" t="s">
        <v>2014</v>
      </c>
      <c r="Q2845" s="413"/>
      <c r="W2845" s="413"/>
    </row>
    <row r="2846" spans="6:23" ht="24" customHeight="1">
      <c r="F2846" s="412" t="s">
        <v>790</v>
      </c>
      <c r="J2846" s="413"/>
      <c r="Q2846" s="413" t="s">
        <v>1288</v>
      </c>
      <c r="W2846" s="413"/>
    </row>
    <row r="2847" spans="6:23" ht="24" hidden="1" customHeight="1">
      <c r="J2847" s="413"/>
      <c r="O2847" s="412" t="s">
        <v>1881</v>
      </c>
      <c r="Q2847" s="413"/>
      <c r="W2847" s="413"/>
    </row>
    <row r="2848" spans="6:23" ht="24" customHeight="1">
      <c r="F2848" s="427" t="s">
        <v>712</v>
      </c>
      <c r="H2848" s="412" t="s">
        <v>457</v>
      </c>
      <c r="O2848" s="412" t="s">
        <v>1882</v>
      </c>
      <c r="Q2848" s="413"/>
      <c r="R2848" s="439">
        <v>2.8910000000000002E-2</v>
      </c>
      <c r="W2848" s="413"/>
    </row>
    <row r="2849" spans="6:23" ht="24" customHeight="1">
      <c r="H2849" s="418" t="s">
        <v>1288</v>
      </c>
      <c r="I2849" s="418" t="s">
        <v>1288</v>
      </c>
      <c r="J2849" s="412" t="s">
        <v>1288</v>
      </c>
      <c r="Q2849" s="413" t="s">
        <v>790</v>
      </c>
      <c r="R2849" s="418" t="s">
        <v>1288</v>
      </c>
      <c r="W2849" s="413"/>
    </row>
    <row r="2850" spans="6:23" ht="24" customHeight="1">
      <c r="O2850" s="412" t="s">
        <v>1883</v>
      </c>
      <c r="Q2850" s="488" t="s">
        <v>790</v>
      </c>
      <c r="R2850" s="439"/>
      <c r="W2850" s="413"/>
    </row>
    <row r="2851" spans="6:23" ht="24" customHeight="1">
      <c r="H2851" s="412" t="s">
        <v>1628</v>
      </c>
      <c r="O2851" s="412" t="s">
        <v>2069</v>
      </c>
      <c r="Q2851" s="413" t="s">
        <v>790</v>
      </c>
      <c r="R2851" s="439">
        <v>1.7999999999999999E-2</v>
      </c>
      <c r="W2851" s="413"/>
    </row>
    <row r="2852" spans="6:23" ht="24" customHeight="1">
      <c r="H2852" s="412"/>
      <c r="Q2852" s="413"/>
      <c r="R2852" s="418" t="s">
        <v>1288</v>
      </c>
      <c r="W2852" s="413"/>
    </row>
    <row r="2853" spans="6:23" ht="24" customHeight="1">
      <c r="H2853" s="449" t="s">
        <v>1629</v>
      </c>
      <c r="K2853" s="440"/>
      <c r="M2853" s="439">
        <v>1.9220000000000001E-2</v>
      </c>
      <c r="N2853" s="414" t="s">
        <v>702</v>
      </c>
      <c r="O2853" s="412" t="s">
        <v>234</v>
      </c>
      <c r="P2853" s="414" t="e">
        <f>P2820</f>
        <v>#REF!</v>
      </c>
      <c r="Q2853" s="413" t="s">
        <v>702</v>
      </c>
      <c r="R2853" s="414" t="e">
        <f>(M2853*P2853)</f>
        <v>#REF!</v>
      </c>
      <c r="W2853" s="413"/>
    </row>
    <row r="2854" spans="6:23" ht="24" customHeight="1">
      <c r="H2854" s="412" t="s">
        <v>363</v>
      </c>
      <c r="I2854" s="439">
        <f>0.0118+0.00675</f>
        <v>1.8550000000000001E-2</v>
      </c>
      <c r="M2854" s="439">
        <f>R2848</f>
        <v>2.8910000000000002E-2</v>
      </c>
      <c r="N2854" s="414" t="s">
        <v>702</v>
      </c>
      <c r="O2854" s="412" t="s">
        <v>235</v>
      </c>
      <c r="P2854" s="414" t="e">
        <f t="shared" ref="P2854:P2863" si="278">P2821</f>
        <v>#REF!</v>
      </c>
      <c r="Q2854" s="413" t="s">
        <v>702</v>
      </c>
      <c r="R2854" s="414" t="e">
        <f>(M2854*P2854)</f>
        <v>#REF!</v>
      </c>
      <c r="W2854" s="413"/>
    </row>
    <row r="2855" spans="6:23" ht="24" customHeight="1">
      <c r="H2855" s="412" t="s">
        <v>364</v>
      </c>
      <c r="M2855" s="439">
        <f>R2851</f>
        <v>1.7999999999999999E-2</v>
      </c>
      <c r="N2855" s="414" t="s">
        <v>702</v>
      </c>
      <c r="O2855" s="412" t="s">
        <v>236</v>
      </c>
      <c r="P2855" s="414" t="e">
        <f t="shared" si="278"/>
        <v>#REF!</v>
      </c>
      <c r="Q2855" s="413" t="s">
        <v>702</v>
      </c>
      <c r="R2855" s="414" t="e">
        <f>(M2855*P2855)</f>
        <v>#REF!</v>
      </c>
      <c r="W2855" s="413"/>
    </row>
    <row r="2856" spans="6:23" ht="24" customHeight="1">
      <c r="H2856" s="412" t="s">
        <v>365</v>
      </c>
      <c r="M2856" s="440"/>
      <c r="O2856" s="412" t="s">
        <v>1803</v>
      </c>
      <c r="Q2856" s="413"/>
      <c r="W2856" s="413"/>
    </row>
    <row r="2857" spans="6:23" ht="24" customHeight="1">
      <c r="H2857" s="412" t="s">
        <v>713</v>
      </c>
      <c r="J2857" s="412" t="s">
        <v>790</v>
      </c>
      <c r="K2857" s="439">
        <v>3.7699999999999997E-2</v>
      </c>
      <c r="M2857" s="440">
        <v>2.2549999999999999</v>
      </c>
      <c r="N2857" s="414" t="s">
        <v>488</v>
      </c>
      <c r="O2857" s="412" t="s">
        <v>356</v>
      </c>
      <c r="P2857" s="414">
        <f t="shared" si="278"/>
        <v>1537</v>
      </c>
      <c r="Q2857" s="413" t="s">
        <v>488</v>
      </c>
      <c r="R2857" s="414">
        <f t="shared" ref="R2857:R2863" si="279">(M2857*P2857)</f>
        <v>3465.94</v>
      </c>
      <c r="W2857" s="413"/>
    </row>
    <row r="2858" spans="6:23" ht="24" customHeight="1">
      <c r="H2858" s="412" t="s">
        <v>136</v>
      </c>
      <c r="J2858" s="449" t="s">
        <v>790</v>
      </c>
      <c r="K2858" s="449" t="s">
        <v>790</v>
      </c>
      <c r="M2858" s="414">
        <v>1</v>
      </c>
      <c r="N2858" s="414" t="s">
        <v>619</v>
      </c>
      <c r="O2858" s="412" t="s">
        <v>1190</v>
      </c>
      <c r="P2858" s="414">
        <f t="shared" si="278"/>
        <v>254.5</v>
      </c>
      <c r="Q2858" s="413" t="s">
        <v>701</v>
      </c>
      <c r="R2858" s="414">
        <f t="shared" si="279"/>
        <v>254.5</v>
      </c>
      <c r="W2858" s="413"/>
    </row>
    <row r="2859" spans="6:23" ht="24" customHeight="1">
      <c r="H2859" s="412" t="s">
        <v>1485</v>
      </c>
      <c r="K2859" s="449" t="s">
        <v>790</v>
      </c>
      <c r="M2859" s="414">
        <v>3</v>
      </c>
      <c r="N2859" s="414" t="s">
        <v>701</v>
      </c>
      <c r="O2859" s="412" t="s">
        <v>1191</v>
      </c>
      <c r="P2859" s="414">
        <f t="shared" si="278"/>
        <v>214.1</v>
      </c>
      <c r="Q2859" s="413" t="s">
        <v>701</v>
      </c>
      <c r="R2859" s="414">
        <f t="shared" si="279"/>
        <v>642.29999999999995</v>
      </c>
      <c r="W2859" s="413"/>
    </row>
    <row r="2860" spans="6:23" ht="24" customHeight="1">
      <c r="H2860" s="412"/>
      <c r="K2860" s="449"/>
      <c r="M2860" s="414">
        <v>2</v>
      </c>
      <c r="N2860" s="414" t="s">
        <v>701</v>
      </c>
      <c r="O2860" s="412" t="s">
        <v>1192</v>
      </c>
      <c r="P2860" s="414">
        <f t="shared" si="278"/>
        <v>408</v>
      </c>
      <c r="Q2860" s="413" t="s">
        <v>701</v>
      </c>
      <c r="R2860" s="414">
        <f t="shared" si="279"/>
        <v>816</v>
      </c>
      <c r="W2860" s="413"/>
    </row>
    <row r="2861" spans="6:23" ht="24" hidden="1" customHeight="1">
      <c r="H2861" s="412"/>
      <c r="K2861" s="449"/>
      <c r="M2861" s="414">
        <v>1</v>
      </c>
      <c r="N2861" s="414" t="s">
        <v>701</v>
      </c>
      <c r="O2861" s="412" t="s">
        <v>1193</v>
      </c>
      <c r="P2861" s="414">
        <f t="shared" si="278"/>
        <v>836</v>
      </c>
      <c r="Q2861" s="413" t="s">
        <v>701</v>
      </c>
      <c r="R2861" s="414">
        <f t="shared" si="279"/>
        <v>836</v>
      </c>
      <c r="W2861" s="413"/>
    </row>
    <row r="2862" spans="6:23" ht="24" hidden="1" customHeight="1">
      <c r="M2862" s="414">
        <v>1</v>
      </c>
      <c r="N2862" s="414" t="s">
        <v>701</v>
      </c>
      <c r="O2862" s="412" t="s">
        <v>1194</v>
      </c>
      <c r="P2862" s="414">
        <f t="shared" si="278"/>
        <v>7.3</v>
      </c>
      <c r="Q2862" s="413" t="s">
        <v>701</v>
      </c>
      <c r="R2862" s="414">
        <f t="shared" si="279"/>
        <v>7.3</v>
      </c>
      <c r="W2862" s="413"/>
    </row>
    <row r="2863" spans="6:23" ht="24" customHeight="1">
      <c r="F2863" s="450">
        <v>1.18E-2</v>
      </c>
      <c r="G2863" s="414" t="s">
        <v>702</v>
      </c>
      <c r="H2863" s="412" t="s">
        <v>553</v>
      </c>
      <c r="I2863" s="414" t="e">
        <f>I2813</f>
        <v>#REF!</v>
      </c>
      <c r="J2863" s="412" t="s">
        <v>702</v>
      </c>
      <c r="K2863" s="414" t="e">
        <f t="shared" ref="K2863:K2872" si="280">(F2863*I2863)</f>
        <v>#REF!</v>
      </c>
      <c r="M2863" s="414">
        <v>1</v>
      </c>
      <c r="N2863" s="414" t="s">
        <v>701</v>
      </c>
      <c r="O2863" s="412" t="s">
        <v>1614</v>
      </c>
      <c r="P2863" s="414">
        <f t="shared" si="278"/>
        <v>49.55</v>
      </c>
      <c r="Q2863" s="413" t="s">
        <v>701</v>
      </c>
      <c r="R2863" s="414">
        <f t="shared" si="279"/>
        <v>49.55</v>
      </c>
      <c r="W2863" s="413"/>
    </row>
    <row r="2864" spans="6:23" ht="24" customHeight="1">
      <c r="F2864" s="439">
        <v>6.7499999999999999E-3</v>
      </c>
      <c r="G2864" s="414" t="s">
        <v>702</v>
      </c>
      <c r="H2864" s="412" t="s">
        <v>554</v>
      </c>
      <c r="I2864" s="414" t="e">
        <f>I2814</f>
        <v>#REF!</v>
      </c>
      <c r="J2864" s="412" t="s">
        <v>702</v>
      </c>
      <c r="K2864" s="414" t="e">
        <f t="shared" si="280"/>
        <v>#REF!</v>
      </c>
      <c r="M2864" s="414">
        <v>58</v>
      </c>
      <c r="N2864" s="414" t="s">
        <v>701</v>
      </c>
      <c r="O2864" s="414" t="s">
        <v>1420</v>
      </c>
      <c r="P2864" s="414">
        <f>P2831</f>
        <v>2.41</v>
      </c>
      <c r="Q2864" s="413" t="s">
        <v>701</v>
      </c>
      <c r="R2864" s="414">
        <f>(M2864*P2864)</f>
        <v>139.78</v>
      </c>
      <c r="W2864" s="413"/>
    </row>
    <row r="2865" spans="6:23" ht="24" customHeight="1">
      <c r="F2865" s="439">
        <v>1.8550000000000001E-2</v>
      </c>
      <c r="G2865" s="414" t="s">
        <v>702</v>
      </c>
      <c r="H2865" s="412" t="s">
        <v>717</v>
      </c>
      <c r="I2865" s="414">
        <f>C30</f>
        <v>13690</v>
      </c>
      <c r="J2865" s="412" t="s">
        <v>702</v>
      </c>
      <c r="K2865" s="414">
        <f t="shared" si="280"/>
        <v>253.95</v>
      </c>
      <c r="O2865" s="412" t="s">
        <v>2070</v>
      </c>
      <c r="Q2865" s="413"/>
      <c r="R2865" s="414" t="e">
        <f>SUM(R2853:R2864)+21.502</f>
        <v>#REF!</v>
      </c>
      <c r="W2865" s="413"/>
    </row>
    <row r="2866" spans="6:23" ht="24" customHeight="1">
      <c r="F2866" s="439">
        <v>2.0499999999999998</v>
      </c>
      <c r="G2866" s="414" t="s">
        <v>488</v>
      </c>
      <c r="H2866" s="412" t="s">
        <v>1326</v>
      </c>
      <c r="I2866" s="414">
        <v>840</v>
      </c>
      <c r="J2866" s="412" t="s">
        <v>488</v>
      </c>
      <c r="K2866" s="414">
        <f t="shared" si="280"/>
        <v>1722</v>
      </c>
      <c r="Q2866" s="413"/>
      <c r="R2866" s="418" t="s">
        <v>1288</v>
      </c>
      <c r="W2866" s="413"/>
    </row>
    <row r="2867" spans="6:23" ht="36" customHeight="1">
      <c r="F2867" s="439">
        <v>2.0499999999999998</v>
      </c>
      <c r="G2867" s="414" t="s">
        <v>488</v>
      </c>
      <c r="H2867" s="426" t="s">
        <v>3020</v>
      </c>
      <c r="I2867" s="414">
        <f>AE53</f>
        <v>330.2</v>
      </c>
      <c r="J2867" s="412" t="s">
        <v>488</v>
      </c>
      <c r="K2867" s="414">
        <f t="shared" si="280"/>
        <v>676.91</v>
      </c>
      <c r="O2867" s="412" t="s">
        <v>447</v>
      </c>
      <c r="Q2867" s="413"/>
      <c r="R2867" s="414" t="e">
        <f>R2865/M2857</f>
        <v>#REF!</v>
      </c>
      <c r="W2867" s="413"/>
    </row>
    <row r="2868" spans="6:23" ht="24" customHeight="1">
      <c r="F2868" s="414">
        <v>2</v>
      </c>
      <c r="G2868" s="414" t="s">
        <v>701</v>
      </c>
      <c r="H2868" s="412" t="s">
        <v>1125</v>
      </c>
      <c r="I2868" s="414">
        <f>E285</f>
        <v>57</v>
      </c>
      <c r="J2868" s="412" t="s">
        <v>701</v>
      </c>
      <c r="K2868" s="414">
        <f t="shared" si="280"/>
        <v>114</v>
      </c>
      <c r="W2868" s="413"/>
    </row>
    <row r="2869" spans="6:23" ht="24" customHeight="1">
      <c r="F2869" s="414">
        <v>8</v>
      </c>
      <c r="G2869" s="414" t="s">
        <v>701</v>
      </c>
      <c r="H2869" s="412" t="s">
        <v>1091</v>
      </c>
      <c r="I2869" s="414">
        <f>C282</f>
        <v>49.35</v>
      </c>
      <c r="J2869" s="412" t="s">
        <v>701</v>
      </c>
      <c r="K2869" s="414">
        <f t="shared" si="280"/>
        <v>394.8</v>
      </c>
      <c r="W2869" s="413"/>
    </row>
    <row r="2870" spans="6:23" ht="24" customHeight="1">
      <c r="F2870" s="414">
        <v>2</v>
      </c>
      <c r="G2870" s="414" t="s">
        <v>701</v>
      </c>
      <c r="H2870" s="412" t="s">
        <v>1126</v>
      </c>
      <c r="I2870" s="414">
        <f>I1134</f>
        <v>60.9</v>
      </c>
      <c r="J2870" s="412" t="s">
        <v>701</v>
      </c>
      <c r="K2870" s="414">
        <f t="shared" si="280"/>
        <v>121.8</v>
      </c>
      <c r="W2870" s="413"/>
    </row>
    <row r="2871" spans="6:23" ht="24" customHeight="1">
      <c r="F2871" s="414">
        <v>1</v>
      </c>
      <c r="G2871" s="414" t="s">
        <v>701</v>
      </c>
      <c r="H2871" s="412" t="s">
        <v>2602</v>
      </c>
      <c r="I2871" s="414">
        <f>I1135</f>
        <v>63.2</v>
      </c>
      <c r="J2871" s="412" t="s">
        <v>701</v>
      </c>
      <c r="K2871" s="414">
        <f t="shared" si="280"/>
        <v>63.2</v>
      </c>
      <c r="W2871" s="413"/>
    </row>
    <row r="2872" spans="6:23" ht="24" customHeight="1">
      <c r="F2872" s="416">
        <v>0.94499999999999995</v>
      </c>
      <c r="G2872" s="414" t="s">
        <v>488</v>
      </c>
      <c r="H2872" s="412" t="s">
        <v>1393</v>
      </c>
      <c r="I2872" s="414">
        <f>K1167</f>
        <v>194.22</v>
      </c>
      <c r="J2872" s="412" t="s">
        <v>488</v>
      </c>
      <c r="K2872" s="414">
        <f t="shared" si="280"/>
        <v>183.54</v>
      </c>
      <c r="W2872" s="413"/>
    </row>
    <row r="2873" spans="6:23" ht="24" customHeight="1">
      <c r="H2873" s="412" t="s">
        <v>1149</v>
      </c>
      <c r="I2873" s="413" t="s">
        <v>358</v>
      </c>
      <c r="K2873" s="414">
        <v>0.6</v>
      </c>
      <c r="W2873" s="413"/>
    </row>
    <row r="2874" spans="6:23" ht="24" customHeight="1">
      <c r="H2874" s="417"/>
      <c r="I2874" s="417"/>
      <c r="J2874" s="415"/>
      <c r="K2874" s="436" t="s">
        <v>1288</v>
      </c>
      <c r="W2874" s="413"/>
    </row>
    <row r="2875" spans="6:23" ht="24" customHeight="1">
      <c r="H2875" s="420" t="s">
        <v>1150</v>
      </c>
      <c r="I2875" s="417"/>
      <c r="J2875" s="415"/>
      <c r="K2875" s="417" t="e">
        <f>SUM(K2863:K2873)</f>
        <v>#REF!</v>
      </c>
      <c r="W2875" s="413"/>
    </row>
    <row r="2876" spans="6:23" ht="24" customHeight="1">
      <c r="G2876" s="414" t="s">
        <v>790</v>
      </c>
      <c r="H2876" s="417"/>
      <c r="I2876" s="417"/>
      <c r="J2876" s="415"/>
      <c r="K2876" s="436" t="s">
        <v>1288</v>
      </c>
      <c r="W2876" s="413"/>
    </row>
    <row r="2877" spans="6:23" ht="24" customHeight="1">
      <c r="H2877" s="420" t="s">
        <v>447</v>
      </c>
      <c r="I2877" s="417"/>
      <c r="J2877" s="415"/>
      <c r="K2877" s="417" t="e">
        <f>K2875/2.52</f>
        <v>#REF!</v>
      </c>
      <c r="W2877" s="413"/>
    </row>
    <row r="2878" spans="6:23" ht="24" customHeight="1">
      <c r="H2878" s="417"/>
      <c r="I2878" s="417"/>
      <c r="J2878" s="415"/>
      <c r="K2878" s="436" t="s">
        <v>1676</v>
      </c>
      <c r="W2878" s="413"/>
    </row>
    <row r="2879" spans="6:23" ht="24" hidden="1" customHeight="1">
      <c r="J2879" s="413"/>
      <c r="W2879" s="413"/>
    </row>
    <row r="2880" spans="6:23" ht="24" customHeight="1">
      <c r="H2880" s="414" t="s">
        <v>1327</v>
      </c>
      <c r="J2880" s="413"/>
      <c r="W2880" s="413"/>
    </row>
    <row r="2881" spans="6:23" ht="24" customHeight="1">
      <c r="H2881" s="414" t="s">
        <v>1078</v>
      </c>
      <c r="J2881" s="413"/>
      <c r="W2881" s="413"/>
    </row>
    <row r="2882" spans="6:23" ht="24" customHeight="1">
      <c r="J2882" s="413"/>
      <c r="W2882" s="413"/>
    </row>
    <row r="2883" spans="6:23" ht="24" customHeight="1">
      <c r="F2883" s="414">
        <v>2</v>
      </c>
      <c r="G2883" s="414" t="s">
        <v>669</v>
      </c>
      <c r="H2883" s="414" t="s">
        <v>3021</v>
      </c>
      <c r="I2883" s="414">
        <v>96.6</v>
      </c>
      <c r="J2883" s="413" t="s">
        <v>669</v>
      </c>
      <c r="K2883" s="414">
        <f>F2883*I2883</f>
        <v>193.2</v>
      </c>
      <c r="W2883" s="413"/>
    </row>
    <row r="2884" spans="6:23" ht="24" customHeight="1">
      <c r="F2884" s="414">
        <v>1</v>
      </c>
      <c r="G2884" s="414" t="s">
        <v>453</v>
      </c>
      <c r="H2884" s="414" t="s">
        <v>1079</v>
      </c>
      <c r="I2884" s="414">
        <f>C625</f>
        <v>34.299999999999997</v>
      </c>
      <c r="J2884" s="413" t="s">
        <v>1134</v>
      </c>
      <c r="K2884" s="414">
        <f>F2884*I2884</f>
        <v>34.299999999999997</v>
      </c>
      <c r="W2884" s="413"/>
    </row>
    <row r="2885" spans="6:23" ht="24" customHeight="1">
      <c r="H2885" s="414" t="s">
        <v>1093</v>
      </c>
      <c r="J2885" s="413" t="s">
        <v>358</v>
      </c>
      <c r="K2885" s="414">
        <v>1.4</v>
      </c>
      <c r="W2885" s="413"/>
    </row>
    <row r="2886" spans="6:23" ht="24" customHeight="1">
      <c r="H2886" s="423" t="s">
        <v>1094</v>
      </c>
      <c r="J2886" s="413"/>
      <c r="K2886" s="414">
        <f>SUM(K2883:K2885)</f>
        <v>228.9</v>
      </c>
      <c r="W2886" s="413"/>
    </row>
    <row r="2887" spans="6:23" ht="24" customHeight="1">
      <c r="J2887" s="413"/>
      <c r="W2887" s="413"/>
    </row>
    <row r="2888" spans="6:23" ht="24" customHeight="1">
      <c r="H2888" s="419" t="s">
        <v>1390</v>
      </c>
      <c r="I2888" s="417"/>
      <c r="J2888" s="420"/>
      <c r="K2888" s="417">
        <f>K2886/2</f>
        <v>114.45</v>
      </c>
      <c r="W2888" s="413"/>
    </row>
    <row r="2889" spans="6:23" ht="24" hidden="1" customHeight="1">
      <c r="J2889" s="413"/>
      <c r="W2889" s="413"/>
    </row>
    <row r="2890" spans="6:23" ht="24" hidden="1" customHeight="1">
      <c r="J2890" s="413"/>
      <c r="W2890" s="413"/>
    </row>
    <row r="2891" spans="6:23" ht="24" hidden="1" customHeight="1">
      <c r="J2891" s="413"/>
      <c r="W2891" s="413"/>
    </row>
    <row r="2892" spans="6:23" ht="24" customHeight="1">
      <c r="J2892" s="413"/>
      <c r="W2892" s="413"/>
    </row>
    <row r="2893" spans="6:23" ht="52.15" customHeight="1">
      <c r="H2893" s="445" t="s">
        <v>941</v>
      </c>
      <c r="J2893" s="413"/>
      <c r="W2893" s="413"/>
    </row>
    <row r="2894" spans="6:23" ht="24" customHeight="1">
      <c r="F2894" s="413"/>
      <c r="G2894" s="414" t="s">
        <v>1833</v>
      </c>
      <c r="H2894" s="412" t="s">
        <v>1360</v>
      </c>
      <c r="J2894" s="413"/>
      <c r="W2894" s="413"/>
    </row>
    <row r="2895" spans="6:23" ht="24" customHeight="1">
      <c r="H2895" s="412" t="s">
        <v>1849</v>
      </c>
      <c r="J2895" s="413"/>
      <c r="W2895" s="413"/>
    </row>
    <row r="2896" spans="6:23" ht="24" customHeight="1">
      <c r="H2896" s="418" t="s">
        <v>1288</v>
      </c>
      <c r="J2896" s="413"/>
      <c r="W2896" s="413"/>
    </row>
    <row r="2897" spans="6:23" ht="24" customHeight="1">
      <c r="F2897" s="414">
        <v>9</v>
      </c>
      <c r="G2897" s="414" t="s">
        <v>702</v>
      </c>
      <c r="H2897" s="412" t="s">
        <v>1363</v>
      </c>
      <c r="I2897" s="414" t="e">
        <f t="shared" ref="I2897:I2902" si="281">I503</f>
        <v>#REF!</v>
      </c>
      <c r="J2897" s="413" t="s">
        <v>702</v>
      </c>
      <c r="K2897" s="414" t="e">
        <f t="shared" ref="K2897:K2902" si="282">(F2897*I2897)</f>
        <v>#REF!</v>
      </c>
      <c r="W2897" s="413"/>
    </row>
    <row r="2898" spans="6:23" ht="24" customHeight="1">
      <c r="F2898" s="416">
        <v>3.2309999999999999</v>
      </c>
      <c r="G2898" s="414" t="s">
        <v>694</v>
      </c>
      <c r="H2898" s="412" t="s">
        <v>695</v>
      </c>
      <c r="I2898" s="414" t="e">
        <f t="shared" si="281"/>
        <v>#REF!</v>
      </c>
      <c r="J2898" s="413" t="s">
        <v>694</v>
      </c>
      <c r="K2898" s="414" t="e">
        <f t="shared" si="282"/>
        <v>#REF!</v>
      </c>
      <c r="W2898" s="413"/>
    </row>
    <row r="2899" spans="6:23" ht="24" customHeight="1">
      <c r="F2899" s="414">
        <v>4.5</v>
      </c>
      <c r="G2899" s="414" t="s">
        <v>702</v>
      </c>
      <c r="H2899" s="412" t="s">
        <v>703</v>
      </c>
      <c r="I2899" s="414" t="e">
        <f t="shared" si="281"/>
        <v>#REF!</v>
      </c>
      <c r="J2899" s="413" t="s">
        <v>702</v>
      </c>
      <c r="K2899" s="414" t="e">
        <f t="shared" si="282"/>
        <v>#REF!</v>
      </c>
      <c r="W2899" s="413"/>
    </row>
    <row r="2900" spans="6:23" ht="24" customHeight="1">
      <c r="F2900" s="414">
        <v>3.5</v>
      </c>
      <c r="G2900" s="414" t="s">
        <v>701</v>
      </c>
      <c r="H2900" s="412" t="s">
        <v>1392</v>
      </c>
      <c r="I2900" s="414">
        <f t="shared" si="281"/>
        <v>932</v>
      </c>
      <c r="J2900" s="413" t="s">
        <v>701</v>
      </c>
      <c r="K2900" s="414">
        <f t="shared" si="282"/>
        <v>3262</v>
      </c>
      <c r="W2900" s="413"/>
    </row>
    <row r="2901" spans="6:23" ht="24" customHeight="1">
      <c r="F2901" s="414">
        <v>21.2</v>
      </c>
      <c r="G2901" s="414" t="s">
        <v>701</v>
      </c>
      <c r="H2901" s="412" t="s">
        <v>1550</v>
      </c>
      <c r="I2901" s="414">
        <f t="shared" si="281"/>
        <v>651</v>
      </c>
      <c r="J2901" s="413" t="s">
        <v>701</v>
      </c>
      <c r="K2901" s="414">
        <f t="shared" si="282"/>
        <v>13801.2</v>
      </c>
      <c r="W2901" s="413"/>
    </row>
    <row r="2902" spans="6:23" ht="24" customHeight="1">
      <c r="F2902" s="414">
        <v>35.299999999999997</v>
      </c>
      <c r="G2902" s="414" t="s">
        <v>701</v>
      </c>
      <c r="H2902" s="412" t="s">
        <v>245</v>
      </c>
      <c r="I2902" s="414">
        <f t="shared" si="281"/>
        <v>534</v>
      </c>
      <c r="J2902" s="413" t="s">
        <v>701</v>
      </c>
      <c r="K2902" s="414">
        <f t="shared" si="282"/>
        <v>18850.2</v>
      </c>
      <c r="W2902" s="413"/>
    </row>
    <row r="2903" spans="6:23" ht="24" customHeight="1">
      <c r="G2903" s="414" t="s">
        <v>358</v>
      </c>
      <c r="H2903" s="412" t="s">
        <v>359</v>
      </c>
      <c r="I2903" s="412" t="s">
        <v>790</v>
      </c>
      <c r="J2903" s="413" t="s">
        <v>358</v>
      </c>
      <c r="K2903" s="414">
        <v>0</v>
      </c>
      <c r="W2903" s="413"/>
    </row>
    <row r="2904" spans="6:23" ht="24" customHeight="1">
      <c r="J2904" s="413"/>
      <c r="K2904" s="418" t="s">
        <v>1288</v>
      </c>
      <c r="W2904" s="413"/>
    </row>
    <row r="2905" spans="6:23" ht="24" customHeight="1">
      <c r="H2905" s="412" t="s">
        <v>1767</v>
      </c>
      <c r="J2905" s="413"/>
      <c r="K2905" s="414" t="e">
        <f>SUM(K2897:K2903)</f>
        <v>#REF!</v>
      </c>
      <c r="W2905" s="413"/>
    </row>
    <row r="2906" spans="6:23" ht="24" customHeight="1">
      <c r="J2906" s="413"/>
      <c r="K2906" s="418" t="s">
        <v>1288</v>
      </c>
      <c r="W2906" s="413"/>
    </row>
    <row r="2907" spans="6:23" ht="24" customHeight="1">
      <c r="H2907" s="412" t="s">
        <v>621</v>
      </c>
      <c r="J2907" s="413"/>
      <c r="K2907" s="414" t="e">
        <f>(K2905/10)</f>
        <v>#REF!</v>
      </c>
      <c r="W2907" s="413"/>
    </row>
    <row r="2908" spans="6:23" ht="24" customHeight="1">
      <c r="J2908" s="413"/>
      <c r="W2908" s="413"/>
    </row>
    <row r="2909" spans="6:23" ht="24" customHeight="1">
      <c r="F2909" s="414">
        <v>1</v>
      </c>
      <c r="G2909" s="414" t="s">
        <v>702</v>
      </c>
      <c r="H2909" s="412" t="s">
        <v>33</v>
      </c>
      <c r="J2909" s="413"/>
      <c r="W2909" s="413"/>
    </row>
    <row r="2910" spans="6:23" ht="24" customHeight="1">
      <c r="J2910" s="413"/>
      <c r="K2910" s="418" t="s">
        <v>1288</v>
      </c>
      <c r="W2910" s="413"/>
    </row>
    <row r="2911" spans="6:23" ht="24" customHeight="1">
      <c r="H2911" s="412" t="s">
        <v>1058</v>
      </c>
      <c r="J2911" s="413"/>
      <c r="K2911" s="414" t="e">
        <f>SUM(K2907:K2909)</f>
        <v>#REF!</v>
      </c>
      <c r="W2911" s="413"/>
    </row>
    <row r="2912" spans="6:23" ht="24" customHeight="1">
      <c r="J2912" s="413"/>
      <c r="K2912" s="418" t="s">
        <v>1288</v>
      </c>
      <c r="W2912" s="413"/>
    </row>
    <row r="2913" spans="6:23" ht="24" customHeight="1">
      <c r="G2913" s="414" t="s">
        <v>1012</v>
      </c>
      <c r="H2913" s="412" t="s">
        <v>307</v>
      </c>
      <c r="J2913" s="413"/>
      <c r="K2913" s="414" t="e">
        <f>K2911+C22</f>
        <v>#REF!</v>
      </c>
      <c r="W2913" s="413"/>
    </row>
    <row r="2914" spans="6:23" ht="24" customHeight="1">
      <c r="G2914" s="414" t="s">
        <v>1014</v>
      </c>
      <c r="H2914" s="412" t="s">
        <v>309</v>
      </c>
      <c r="J2914" s="413"/>
      <c r="K2914" s="414" t="e">
        <f>K2913+C23</f>
        <v>#REF!</v>
      </c>
      <c r="W2914" s="413"/>
    </row>
    <row r="2915" spans="6:23" ht="24" customHeight="1">
      <c r="G2915" s="414" t="s">
        <v>337</v>
      </c>
      <c r="H2915" s="412" t="s">
        <v>1818</v>
      </c>
      <c r="J2915" s="413"/>
      <c r="K2915" s="414" t="e">
        <f>K2914+C23</f>
        <v>#REF!</v>
      </c>
      <c r="W2915" s="413"/>
    </row>
    <row r="2916" spans="6:23" ht="24" customHeight="1">
      <c r="G2916" s="414" t="s">
        <v>805</v>
      </c>
      <c r="H2916" s="412" t="s">
        <v>301</v>
      </c>
      <c r="J2916" s="413"/>
      <c r="K2916" s="414" t="e">
        <f>K2915+C23</f>
        <v>#REF!</v>
      </c>
      <c r="W2916" s="413"/>
    </row>
    <row r="2917" spans="6:23" ht="24" customHeight="1">
      <c r="J2917" s="413"/>
      <c r="W2917" s="413"/>
    </row>
    <row r="2918" spans="6:23" ht="24" hidden="1" customHeight="1">
      <c r="G2918" s="419"/>
      <c r="H2918" s="445"/>
      <c r="W2918" s="413"/>
    </row>
    <row r="2919" spans="6:23" ht="24" customHeight="1">
      <c r="H2919" s="417" t="s">
        <v>1820</v>
      </c>
      <c r="W2919" s="413"/>
    </row>
    <row r="2920" spans="6:23" ht="24" customHeight="1">
      <c r="W2920" s="413"/>
    </row>
    <row r="2921" spans="6:23" ht="24" customHeight="1">
      <c r="F2921" s="440"/>
      <c r="H2921" s="414" t="s">
        <v>4355</v>
      </c>
      <c r="J2921" s="414"/>
      <c r="W2921" s="413"/>
    </row>
    <row r="2922" spans="6:23" ht="24" customHeight="1">
      <c r="F2922" s="416"/>
      <c r="H2922" s="414" t="s">
        <v>504</v>
      </c>
      <c r="J2922" s="414"/>
      <c r="W2922" s="413"/>
    </row>
    <row r="2923" spans="6:23" ht="24" customHeight="1">
      <c r="H2923" s="412" t="s">
        <v>1368</v>
      </c>
      <c r="J2923" s="423"/>
      <c r="P2923" s="414">
        <f>0.35*4</f>
        <v>1.4</v>
      </c>
      <c r="W2923" s="413"/>
    </row>
    <row r="2924" spans="6:23" ht="24" customHeight="1">
      <c r="H2924" s="420" t="s">
        <v>1369</v>
      </c>
      <c r="I2924" s="417"/>
      <c r="J2924" s="419"/>
      <c r="K2924" s="417"/>
      <c r="P2924" s="414">
        <f>0.3*4</f>
        <v>1.2</v>
      </c>
      <c r="W2924" s="413"/>
    </row>
    <row r="2925" spans="6:23" ht="24" customHeight="1">
      <c r="H2925" s="414" t="s">
        <v>4356</v>
      </c>
      <c r="P2925" s="414">
        <f>1.28*2</f>
        <v>2.56</v>
      </c>
      <c r="W2925" s="413"/>
    </row>
    <row r="2926" spans="6:23" ht="24" customHeight="1">
      <c r="H2926" s="417" t="s">
        <v>163</v>
      </c>
      <c r="P2926" s="414" t="s">
        <v>2005</v>
      </c>
      <c r="W2926" s="413"/>
    </row>
    <row r="2927" spans="6:23" ht="24" customHeight="1">
      <c r="F2927" s="440">
        <v>3.5999999999999997E-2</v>
      </c>
      <c r="G2927" s="414" t="s">
        <v>1749</v>
      </c>
      <c r="H2927" s="414" t="s">
        <v>1370</v>
      </c>
      <c r="I2927" s="414" t="e">
        <f>K2913</f>
        <v>#REF!</v>
      </c>
      <c r="J2927" s="414" t="s">
        <v>1749</v>
      </c>
      <c r="K2927" s="414" t="e">
        <f>F2927*I2927</f>
        <v>#REF!</v>
      </c>
      <c r="W2927" s="413"/>
    </row>
    <row r="2928" spans="6:23" ht="24" customHeight="1">
      <c r="F2928" s="416">
        <v>3.0649999999999999</v>
      </c>
      <c r="G2928" s="414" t="s">
        <v>734</v>
      </c>
      <c r="H2928" s="431" t="s">
        <v>1371</v>
      </c>
      <c r="I2928" s="414" t="e">
        <f>K1582/1000</f>
        <v>#REF!</v>
      </c>
      <c r="J2928" s="414" t="s">
        <v>734</v>
      </c>
      <c r="K2928" s="414" t="e">
        <f>F2928*I2928</f>
        <v>#REF!</v>
      </c>
      <c r="W2928" s="413"/>
    </row>
    <row r="2929" spans="6:23" ht="24" customHeight="1">
      <c r="F2929" s="416">
        <v>0.79800000000000004</v>
      </c>
      <c r="G2929" s="414" t="s">
        <v>184</v>
      </c>
      <c r="H2929" s="414" t="s">
        <v>1163</v>
      </c>
      <c r="I2929" s="414">
        <f>I2358</f>
        <v>1135.94</v>
      </c>
      <c r="J2929" s="414" t="s">
        <v>184</v>
      </c>
      <c r="K2929" s="414">
        <f>F2929*I2929</f>
        <v>906.48</v>
      </c>
      <c r="W2929" s="413"/>
    </row>
    <row r="2930" spans="6:23" ht="24" customHeight="1">
      <c r="H2930" s="419" t="s">
        <v>1164</v>
      </c>
      <c r="I2930" s="417"/>
      <c r="J2930" s="419" t="s">
        <v>577</v>
      </c>
      <c r="K2930" s="417" t="e">
        <f>SUM(K2927:K2929)</f>
        <v>#REF!</v>
      </c>
      <c r="W2930" s="413"/>
    </row>
    <row r="2931" spans="6:23" ht="24" customHeight="1">
      <c r="F2931" s="440"/>
      <c r="H2931" s="419" t="s">
        <v>1481</v>
      </c>
      <c r="J2931" s="419" t="s">
        <v>577</v>
      </c>
      <c r="K2931" s="417" t="e">
        <f>K2930/2.1</f>
        <v>#REF!</v>
      </c>
      <c r="W2931" s="413"/>
    </row>
    <row r="2932" spans="6:23" ht="24" hidden="1" customHeight="1">
      <c r="F2932" s="416"/>
      <c r="J2932" s="414"/>
      <c r="W2932" s="413"/>
    </row>
    <row r="2933" spans="6:23" ht="24" hidden="1" customHeight="1">
      <c r="H2933" s="423"/>
      <c r="J2933" s="423"/>
      <c r="W2933" s="413"/>
    </row>
    <row r="2934" spans="6:23" ht="24" customHeight="1">
      <c r="H2934" s="419"/>
      <c r="I2934" s="417"/>
      <c r="J2934" s="419"/>
      <c r="K2934" s="417"/>
      <c r="W2934" s="413"/>
    </row>
    <row r="2935" spans="6:23" ht="24" customHeight="1">
      <c r="H2935" s="417" t="s">
        <v>164</v>
      </c>
      <c r="W2935" s="413"/>
    </row>
    <row r="2936" spans="6:23" ht="24" customHeight="1">
      <c r="F2936" s="440">
        <v>3.5999999999999997E-2</v>
      </c>
      <c r="G2936" s="414" t="s">
        <v>1749</v>
      </c>
      <c r="H2936" s="414" t="s">
        <v>1370</v>
      </c>
      <c r="I2936" s="414" t="e">
        <f>K2914</f>
        <v>#REF!</v>
      </c>
      <c r="J2936" s="414" t="s">
        <v>1749</v>
      </c>
      <c r="K2936" s="414" t="e">
        <f>F2936*I2936</f>
        <v>#REF!</v>
      </c>
      <c r="W2936" s="413"/>
    </row>
    <row r="2937" spans="6:23" ht="24" customHeight="1">
      <c r="F2937" s="416">
        <v>3.0649999999999999</v>
      </c>
      <c r="G2937" s="414" t="s">
        <v>734</v>
      </c>
      <c r="H2937" s="431" t="s">
        <v>1371</v>
      </c>
      <c r="I2937" s="414" t="e">
        <f>K1582/1000</f>
        <v>#REF!</v>
      </c>
      <c r="J2937" s="414" t="s">
        <v>734</v>
      </c>
      <c r="K2937" s="414" t="e">
        <f>F2937*I2937</f>
        <v>#REF!</v>
      </c>
      <c r="W2937" s="413"/>
    </row>
    <row r="2938" spans="6:23" ht="24" customHeight="1">
      <c r="F2938" s="416">
        <v>0.79800000000000004</v>
      </c>
      <c r="G2938" s="414" t="s">
        <v>184</v>
      </c>
      <c r="H2938" s="414" t="s">
        <v>1163</v>
      </c>
      <c r="I2938" s="414">
        <f>I2358</f>
        <v>1135.94</v>
      </c>
      <c r="J2938" s="414" t="s">
        <v>184</v>
      </c>
      <c r="K2938" s="414">
        <f>F2938*I2938</f>
        <v>906.48</v>
      </c>
      <c r="W2938" s="413"/>
    </row>
    <row r="2939" spans="6:23" ht="24" customHeight="1">
      <c r="H2939" s="419" t="s">
        <v>1164</v>
      </c>
      <c r="I2939" s="417"/>
      <c r="J2939" s="419" t="s">
        <v>577</v>
      </c>
      <c r="K2939" s="417" t="e">
        <f>SUM(K2936:K2938)</f>
        <v>#REF!</v>
      </c>
      <c r="W2939" s="413"/>
    </row>
    <row r="2940" spans="6:23" ht="24" customHeight="1">
      <c r="F2940" s="440"/>
      <c r="H2940" s="419" t="s">
        <v>1481</v>
      </c>
      <c r="J2940" s="419" t="s">
        <v>577</v>
      </c>
      <c r="K2940" s="417" t="e">
        <f>K2939/2.1</f>
        <v>#REF!</v>
      </c>
      <c r="W2940" s="413"/>
    </row>
    <row r="2941" spans="6:23" ht="24" customHeight="1">
      <c r="F2941" s="416"/>
      <c r="J2941" s="414"/>
      <c r="W2941" s="413"/>
    </row>
    <row r="2942" spans="6:23" ht="24" hidden="1" customHeight="1">
      <c r="W2942" s="413"/>
    </row>
    <row r="2943" spans="6:23" ht="24" hidden="1" customHeight="1">
      <c r="W2943" s="413"/>
    </row>
    <row r="2944" spans="6:23" ht="24" hidden="1" customHeight="1">
      <c r="W2944" s="413"/>
    </row>
    <row r="2945" spans="6:23" ht="24" customHeight="1">
      <c r="H2945" s="417" t="s">
        <v>1306</v>
      </c>
      <c r="W2945" s="413"/>
    </row>
    <row r="2946" spans="6:23" ht="24" customHeight="1">
      <c r="F2946" s="440">
        <v>3.5999999999999997E-2</v>
      </c>
      <c r="G2946" s="414" t="s">
        <v>1749</v>
      </c>
      <c r="H2946" s="414" t="s">
        <v>1370</v>
      </c>
      <c r="I2946" s="414" t="e">
        <f>K2915</f>
        <v>#REF!</v>
      </c>
      <c r="J2946" s="414" t="s">
        <v>1749</v>
      </c>
      <c r="K2946" s="414" t="e">
        <f>F2946*I2946</f>
        <v>#REF!</v>
      </c>
      <c r="W2946" s="413"/>
    </row>
    <row r="2947" spans="6:23" ht="24" customHeight="1">
      <c r="F2947" s="416">
        <v>3.0649999999999999</v>
      </c>
      <c r="G2947" s="414" t="s">
        <v>734</v>
      </c>
      <c r="H2947" s="431" t="s">
        <v>1371</v>
      </c>
      <c r="I2947" s="414" t="e">
        <f>I2928</f>
        <v>#REF!</v>
      </c>
      <c r="J2947" s="414" t="s">
        <v>734</v>
      </c>
      <c r="K2947" s="414" t="e">
        <f>F2947*I2947</f>
        <v>#REF!</v>
      </c>
      <c r="W2947" s="413"/>
    </row>
    <row r="2948" spans="6:23" ht="24" customHeight="1">
      <c r="F2948" s="416">
        <v>0.79800000000000004</v>
      </c>
      <c r="G2948" s="414" t="s">
        <v>184</v>
      </c>
      <c r="H2948" s="414" t="s">
        <v>1163</v>
      </c>
      <c r="I2948" s="414">
        <f>I2929</f>
        <v>1135.94</v>
      </c>
      <c r="J2948" s="414" t="s">
        <v>184</v>
      </c>
      <c r="K2948" s="414">
        <f>F2948*I2948</f>
        <v>906.48</v>
      </c>
      <c r="W2948" s="413"/>
    </row>
    <row r="2949" spans="6:23" ht="24" customHeight="1">
      <c r="H2949" s="419" t="s">
        <v>1164</v>
      </c>
      <c r="I2949" s="417"/>
      <c r="J2949" s="419" t="s">
        <v>577</v>
      </c>
      <c r="K2949" s="417" t="e">
        <f>SUM(K2946:K2948)</f>
        <v>#REF!</v>
      </c>
      <c r="W2949" s="413"/>
    </row>
    <row r="2950" spans="6:23" ht="24" customHeight="1">
      <c r="F2950" s="440"/>
      <c r="H2950" s="419" t="s">
        <v>1481</v>
      </c>
      <c r="J2950" s="419" t="s">
        <v>577</v>
      </c>
      <c r="K2950" s="417" t="e">
        <f>K2949/2.1</f>
        <v>#REF!</v>
      </c>
      <c r="W2950" s="413"/>
    </row>
    <row r="2951" spans="6:23" ht="24" customHeight="1">
      <c r="F2951" s="416"/>
      <c r="J2951" s="414"/>
      <c r="W2951" s="413"/>
    </row>
    <row r="2952" spans="6:23" ht="24" hidden="1" customHeight="1">
      <c r="W2952" s="413"/>
    </row>
    <row r="2953" spans="6:23" ht="24" hidden="1" customHeight="1">
      <c r="W2953" s="413"/>
    </row>
    <row r="2954" spans="6:23" ht="24" customHeight="1">
      <c r="H2954" s="417" t="s">
        <v>45</v>
      </c>
      <c r="W2954" s="413"/>
    </row>
    <row r="2955" spans="6:23" ht="24" customHeight="1">
      <c r="F2955" s="440">
        <v>3.5999999999999997E-2</v>
      </c>
      <c r="G2955" s="414" t="s">
        <v>1749</v>
      </c>
      <c r="H2955" s="414" t="s">
        <v>1370</v>
      </c>
      <c r="I2955" s="414" t="e">
        <f>K2916</f>
        <v>#REF!</v>
      </c>
      <c r="J2955" s="414" t="s">
        <v>1749</v>
      </c>
      <c r="K2955" s="414" t="e">
        <f>F2955*I2955</f>
        <v>#REF!</v>
      </c>
      <c r="W2955" s="413"/>
    </row>
    <row r="2956" spans="6:23" ht="24" customHeight="1">
      <c r="F2956" s="416">
        <v>3.0649999999999999</v>
      </c>
      <c r="G2956" s="414" t="s">
        <v>734</v>
      </c>
      <c r="H2956" s="431" t="s">
        <v>1371</v>
      </c>
      <c r="I2956" s="414" t="e">
        <f>I2947</f>
        <v>#REF!</v>
      </c>
      <c r="J2956" s="414" t="s">
        <v>734</v>
      </c>
      <c r="K2956" s="414" t="e">
        <f>F2956*I2956</f>
        <v>#REF!</v>
      </c>
      <c r="W2956" s="413"/>
    </row>
    <row r="2957" spans="6:23" ht="24" customHeight="1">
      <c r="F2957" s="416">
        <v>0.79800000000000004</v>
      </c>
      <c r="G2957" s="414" t="s">
        <v>184</v>
      </c>
      <c r="H2957" s="414" t="s">
        <v>1163</v>
      </c>
      <c r="I2957" s="414">
        <f>I2948</f>
        <v>1135.94</v>
      </c>
      <c r="J2957" s="414" t="s">
        <v>184</v>
      </c>
      <c r="K2957" s="414">
        <f>F2957*I2957</f>
        <v>906.48</v>
      </c>
      <c r="W2957" s="413"/>
    </row>
    <row r="2958" spans="6:23" ht="24" customHeight="1">
      <c r="H2958" s="419" t="s">
        <v>1164</v>
      </c>
      <c r="I2958" s="417"/>
      <c r="J2958" s="419" t="s">
        <v>577</v>
      </c>
      <c r="K2958" s="417" t="e">
        <f>SUM(K2955:K2957)</f>
        <v>#REF!</v>
      </c>
      <c r="W2958" s="413"/>
    </row>
    <row r="2959" spans="6:23" ht="24" customHeight="1">
      <c r="F2959" s="440"/>
      <c r="H2959" s="419" t="s">
        <v>1481</v>
      </c>
      <c r="J2959" s="419" t="s">
        <v>577</v>
      </c>
      <c r="K2959" s="417" t="e">
        <f>K2958/2.1</f>
        <v>#REF!</v>
      </c>
      <c r="W2959" s="413"/>
    </row>
    <row r="2960" spans="6:23" ht="24" customHeight="1">
      <c r="F2960" s="416"/>
      <c r="J2960" s="414"/>
      <c r="W2960" s="413"/>
    </row>
    <row r="2961" spans="6:23" ht="24" hidden="1" customHeight="1">
      <c r="J2961" s="413"/>
      <c r="W2961" s="413"/>
    </row>
    <row r="2962" spans="6:23" ht="24" hidden="1" customHeight="1">
      <c r="J2962" s="413"/>
      <c r="W2962" s="413"/>
    </row>
    <row r="2963" spans="6:23" ht="24" customHeight="1">
      <c r="I2963" s="414">
        <f>160*10.76</f>
        <v>1721.6</v>
      </c>
      <c r="J2963" s="413"/>
      <c r="W2963" s="413"/>
    </row>
    <row r="2964" spans="6:23" ht="24" customHeight="1">
      <c r="F2964" s="413" t="s">
        <v>456</v>
      </c>
      <c r="G2964" s="414" t="s">
        <v>1833</v>
      </c>
      <c r="H2964" s="412" t="s">
        <v>1440</v>
      </c>
      <c r="I2964" s="414">
        <f>148*10.76</f>
        <v>1592.48</v>
      </c>
      <c r="J2964" s="413"/>
      <c r="W2964" s="413"/>
    </row>
    <row r="2965" spans="6:23" ht="24" customHeight="1">
      <c r="H2965" s="412" t="s">
        <v>200</v>
      </c>
      <c r="J2965" s="413"/>
      <c r="W2965" s="413"/>
    </row>
    <row r="2966" spans="6:23" ht="24" customHeight="1">
      <c r="H2966" s="412" t="s">
        <v>1198</v>
      </c>
      <c r="J2966" s="413"/>
      <c r="W2966" s="413"/>
    </row>
    <row r="2967" spans="6:23" ht="24" customHeight="1">
      <c r="H2967" s="418" t="s">
        <v>1288</v>
      </c>
      <c r="I2967" s="440">
        <f>1.4*2.025</f>
        <v>2.835</v>
      </c>
      <c r="J2967" s="413"/>
      <c r="W2967" s="413"/>
    </row>
    <row r="2968" spans="6:23" ht="24" customHeight="1">
      <c r="H2968" s="412" t="s">
        <v>1566</v>
      </c>
      <c r="J2968" s="413"/>
      <c r="W2968" s="413"/>
    </row>
    <row r="2969" spans="6:23" ht="24" customHeight="1">
      <c r="J2969" s="413"/>
      <c r="W2969" s="413"/>
    </row>
    <row r="2970" spans="6:23" ht="50.45" customHeight="1">
      <c r="F2970" s="416">
        <v>1.64</v>
      </c>
      <c r="G2970" s="414" t="s">
        <v>488</v>
      </c>
      <c r="H2970" s="426" t="s">
        <v>595</v>
      </c>
      <c r="I2970" s="414">
        <f>I2834</f>
        <v>2180</v>
      </c>
      <c r="J2970" s="413" t="s">
        <v>488</v>
      </c>
      <c r="K2970" s="414">
        <f>F2971*I2970</f>
        <v>3575.2</v>
      </c>
      <c r="W2970" s="413"/>
    </row>
    <row r="2971" spans="6:23" ht="24" customHeight="1">
      <c r="F2971" s="416">
        <v>1.64</v>
      </c>
      <c r="G2971" s="414" t="s">
        <v>488</v>
      </c>
      <c r="H2971" s="412" t="s">
        <v>356</v>
      </c>
      <c r="I2971" s="414">
        <f t="shared" ref="I2971:I2977" si="283">I2835</f>
        <v>214.1</v>
      </c>
      <c r="J2971" s="413" t="s">
        <v>488</v>
      </c>
      <c r="K2971" s="414">
        <f t="shared" ref="K2971:K2977" si="284">(F2971*I2971)</f>
        <v>351.12</v>
      </c>
      <c r="O2971" s="412" t="s">
        <v>1440</v>
      </c>
      <c r="W2971" s="413"/>
    </row>
    <row r="2972" spans="6:23" ht="24" customHeight="1">
      <c r="F2972" s="414">
        <v>2</v>
      </c>
      <c r="G2972" s="414" t="s">
        <v>619</v>
      </c>
      <c r="H2972" s="412" t="s">
        <v>1190</v>
      </c>
      <c r="I2972" s="414">
        <f t="shared" si="283"/>
        <v>57.65</v>
      </c>
      <c r="J2972" s="413" t="s">
        <v>701</v>
      </c>
      <c r="K2972" s="414">
        <f t="shared" si="284"/>
        <v>115.3</v>
      </c>
      <c r="O2972" s="412" t="s">
        <v>200</v>
      </c>
      <c r="W2972" s="413"/>
    </row>
    <row r="2973" spans="6:23" ht="24" customHeight="1">
      <c r="F2973" s="414">
        <v>3</v>
      </c>
      <c r="G2973" s="414" t="s">
        <v>701</v>
      </c>
      <c r="H2973" s="412" t="s">
        <v>1191</v>
      </c>
      <c r="I2973" s="414">
        <f t="shared" si="283"/>
        <v>89.6</v>
      </c>
      <c r="J2973" s="413" t="s">
        <v>701</v>
      </c>
      <c r="K2973" s="414">
        <f t="shared" si="284"/>
        <v>268.8</v>
      </c>
      <c r="O2973" s="412" t="s">
        <v>1569</v>
      </c>
      <c r="W2973" s="413"/>
    </row>
    <row r="2974" spans="6:23" ht="24" customHeight="1">
      <c r="F2974" s="414">
        <v>2</v>
      </c>
      <c r="G2974" s="414" t="s">
        <v>701</v>
      </c>
      <c r="H2974" s="412" t="s">
        <v>1192</v>
      </c>
      <c r="I2974" s="414">
        <f t="shared" si="283"/>
        <v>64.8</v>
      </c>
      <c r="J2974" s="413" t="s">
        <v>701</v>
      </c>
      <c r="K2974" s="414">
        <f t="shared" si="284"/>
        <v>129.6</v>
      </c>
      <c r="O2974" s="418" t="s">
        <v>1288</v>
      </c>
      <c r="W2974" s="413"/>
    </row>
    <row r="2975" spans="6:23" ht="24" customHeight="1">
      <c r="F2975" s="414">
        <v>1</v>
      </c>
      <c r="G2975" s="414" t="s">
        <v>701</v>
      </c>
      <c r="H2975" s="412" t="s">
        <v>1193</v>
      </c>
      <c r="I2975" s="414">
        <f t="shared" si="283"/>
        <v>181</v>
      </c>
      <c r="J2975" s="413" t="s">
        <v>701</v>
      </c>
      <c r="K2975" s="414">
        <f t="shared" si="284"/>
        <v>181</v>
      </c>
      <c r="L2975" s="414" t="s">
        <v>790</v>
      </c>
      <c r="O2975" s="412" t="s">
        <v>1570</v>
      </c>
      <c r="W2975" s="413"/>
    </row>
    <row r="2976" spans="6:23" ht="24" customHeight="1">
      <c r="F2976" s="414">
        <v>1</v>
      </c>
      <c r="G2976" s="414" t="s">
        <v>701</v>
      </c>
      <c r="H2976" s="412" t="s">
        <v>1194</v>
      </c>
      <c r="I2976" s="414">
        <f t="shared" si="283"/>
        <v>7.3</v>
      </c>
      <c r="J2976" s="413" t="s">
        <v>701</v>
      </c>
      <c r="K2976" s="414">
        <f t="shared" si="284"/>
        <v>7.3</v>
      </c>
      <c r="W2976" s="413"/>
    </row>
    <row r="2977" spans="6:23" ht="24" customHeight="1">
      <c r="F2977" s="414">
        <v>1</v>
      </c>
      <c r="G2977" s="414" t="s">
        <v>701</v>
      </c>
      <c r="H2977" s="412" t="s">
        <v>1614</v>
      </c>
      <c r="I2977" s="414">
        <f t="shared" si="283"/>
        <v>49.55</v>
      </c>
      <c r="J2977" s="413" t="s">
        <v>701</v>
      </c>
      <c r="K2977" s="414">
        <f t="shared" si="284"/>
        <v>49.55</v>
      </c>
      <c r="M2977" s="416">
        <v>2.2549999999999999</v>
      </c>
      <c r="N2977" s="414" t="s">
        <v>488</v>
      </c>
      <c r="O2977" s="426" t="s">
        <v>595</v>
      </c>
      <c r="P2977" s="414">
        <f>I2970</f>
        <v>2180</v>
      </c>
      <c r="Q2977" s="413" t="s">
        <v>488</v>
      </c>
      <c r="R2977" s="414">
        <f>M2978*P2977</f>
        <v>4915.8999999999996</v>
      </c>
      <c r="W2977" s="413"/>
    </row>
    <row r="2978" spans="6:23" ht="24" customHeight="1">
      <c r="J2978" s="413"/>
      <c r="K2978" s="423">
        <v>0.63</v>
      </c>
      <c r="M2978" s="416">
        <v>2.2549999999999999</v>
      </c>
      <c r="N2978" s="414" t="s">
        <v>488</v>
      </c>
      <c r="O2978" s="412" t="s">
        <v>356</v>
      </c>
      <c r="P2978" s="414">
        <f t="shared" ref="P2978:P2984" si="285">I2971</f>
        <v>214.1</v>
      </c>
      <c r="Q2978" s="413" t="s">
        <v>488</v>
      </c>
      <c r="R2978" s="414">
        <f t="shared" ref="R2978:R2984" si="286">(M2978*P2978)</f>
        <v>482.8</v>
      </c>
      <c r="W2978" s="413"/>
    </row>
    <row r="2979" spans="6:23" ht="24" customHeight="1">
      <c r="H2979" s="412" t="s">
        <v>1567</v>
      </c>
      <c r="J2979" s="413"/>
      <c r="K2979" s="414">
        <f>SUM(K2970:K2978)</f>
        <v>4678.5</v>
      </c>
      <c r="M2979" s="414">
        <v>2</v>
      </c>
      <c r="N2979" s="414" t="s">
        <v>619</v>
      </c>
      <c r="O2979" s="412" t="s">
        <v>1190</v>
      </c>
      <c r="P2979" s="414">
        <f t="shared" si="285"/>
        <v>57.65</v>
      </c>
      <c r="Q2979" s="413" t="s">
        <v>701</v>
      </c>
      <c r="R2979" s="414">
        <f t="shared" si="286"/>
        <v>115.3</v>
      </c>
      <c r="W2979" s="413"/>
    </row>
    <row r="2980" spans="6:23" ht="24" customHeight="1">
      <c r="J2980" s="413"/>
      <c r="K2980" s="418" t="s">
        <v>1288</v>
      </c>
      <c r="M2980" s="414">
        <v>3</v>
      </c>
      <c r="N2980" s="414" t="s">
        <v>701</v>
      </c>
      <c r="O2980" s="412" t="s">
        <v>1191</v>
      </c>
      <c r="P2980" s="414">
        <f t="shared" si="285"/>
        <v>89.6</v>
      </c>
      <c r="Q2980" s="413" t="s">
        <v>701</v>
      </c>
      <c r="R2980" s="414">
        <f t="shared" si="286"/>
        <v>268.8</v>
      </c>
      <c r="W2980" s="413"/>
    </row>
    <row r="2981" spans="6:23" ht="24" customHeight="1">
      <c r="H2981" s="412" t="s">
        <v>447</v>
      </c>
      <c r="J2981" s="413"/>
      <c r="K2981" s="414">
        <f>K2979/F2971</f>
        <v>2852.74</v>
      </c>
      <c r="M2981" s="414">
        <v>2</v>
      </c>
      <c r="N2981" s="414" t="s">
        <v>701</v>
      </c>
      <c r="O2981" s="412" t="s">
        <v>1192</v>
      </c>
      <c r="P2981" s="414">
        <f t="shared" si="285"/>
        <v>64.8</v>
      </c>
      <c r="Q2981" s="413" t="s">
        <v>701</v>
      </c>
      <c r="R2981" s="414">
        <f t="shared" si="286"/>
        <v>129.6</v>
      </c>
      <c r="W2981" s="413"/>
    </row>
    <row r="2982" spans="6:23" ht="24" hidden="1" customHeight="1">
      <c r="F2982" s="412" t="s">
        <v>790</v>
      </c>
      <c r="J2982" s="413"/>
      <c r="M2982" s="414">
        <v>1</v>
      </c>
      <c r="N2982" s="414" t="s">
        <v>701</v>
      </c>
      <c r="O2982" s="412" t="s">
        <v>1193</v>
      </c>
      <c r="P2982" s="414">
        <f t="shared" si="285"/>
        <v>181</v>
      </c>
      <c r="Q2982" s="413" t="s">
        <v>701</v>
      </c>
      <c r="R2982" s="414">
        <f t="shared" si="286"/>
        <v>181</v>
      </c>
      <c r="W2982" s="413"/>
    </row>
    <row r="2983" spans="6:23" ht="24" customHeight="1">
      <c r="J2983" s="413"/>
      <c r="M2983" s="414">
        <v>1</v>
      </c>
      <c r="N2983" s="414" t="s">
        <v>701</v>
      </c>
      <c r="O2983" s="412" t="s">
        <v>1194</v>
      </c>
      <c r="P2983" s="414">
        <f t="shared" si="285"/>
        <v>7.3</v>
      </c>
      <c r="Q2983" s="413" t="s">
        <v>701</v>
      </c>
      <c r="R2983" s="414">
        <f t="shared" si="286"/>
        <v>7.3</v>
      </c>
      <c r="W2983" s="413"/>
    </row>
    <row r="2984" spans="6:23" ht="24" customHeight="1">
      <c r="F2984" s="414" t="s">
        <v>1161</v>
      </c>
      <c r="J2984" s="413"/>
      <c r="M2984" s="414">
        <v>1</v>
      </c>
      <c r="N2984" s="414" t="s">
        <v>701</v>
      </c>
      <c r="O2984" s="412" t="s">
        <v>1614</v>
      </c>
      <c r="P2984" s="414">
        <f t="shared" si="285"/>
        <v>49.55</v>
      </c>
      <c r="Q2984" s="413" t="s">
        <v>701</v>
      </c>
      <c r="R2984" s="414">
        <f t="shared" si="286"/>
        <v>49.55</v>
      </c>
      <c r="W2984" s="413"/>
    </row>
    <row r="2985" spans="6:23" ht="24" customHeight="1">
      <c r="J2985" s="413"/>
      <c r="Q2985" s="413"/>
      <c r="R2985" s="418" t="s">
        <v>1288</v>
      </c>
      <c r="W2985" s="413"/>
    </row>
    <row r="2986" spans="6:23" ht="24" customHeight="1">
      <c r="F2986" s="414" t="s">
        <v>1162</v>
      </c>
      <c r="J2986" s="413"/>
      <c r="O2986" s="412" t="s">
        <v>1571</v>
      </c>
      <c r="Q2986" s="413"/>
      <c r="R2986" s="414">
        <f>SUM(R2977:R2984)+0.17</f>
        <v>6150.42</v>
      </c>
      <c r="W2986" s="413"/>
    </row>
    <row r="2987" spans="6:23" ht="24" customHeight="1">
      <c r="J2987" s="413"/>
      <c r="Q2987" s="413"/>
      <c r="R2987" s="418" t="s">
        <v>1288</v>
      </c>
      <c r="W2987" s="413"/>
    </row>
    <row r="2988" spans="6:23" ht="24" customHeight="1">
      <c r="G2988" s="440">
        <v>0.99350000000000005</v>
      </c>
      <c r="H2988" s="414" t="s">
        <v>1749</v>
      </c>
      <c r="J2988" s="413"/>
      <c r="O2988" s="412" t="s">
        <v>447</v>
      </c>
      <c r="Q2988" s="413"/>
      <c r="R2988" s="414">
        <f>R2986/M2978</f>
        <v>2727.46</v>
      </c>
      <c r="W2988" s="413"/>
    </row>
    <row r="2989" spans="6:23" ht="24" customHeight="1">
      <c r="J2989" s="413"/>
      <c r="W2989" s="413"/>
    </row>
    <row r="2990" spans="6:23" ht="24" customHeight="1">
      <c r="F2990" s="417" t="s">
        <v>372</v>
      </c>
      <c r="J2990" s="413"/>
      <c r="W2990" s="413"/>
    </row>
    <row r="2991" spans="6:23" ht="24" customHeight="1">
      <c r="J2991" s="413"/>
      <c r="W2991" s="413"/>
    </row>
    <row r="2992" spans="6:23" ht="24" customHeight="1">
      <c r="F2992" s="440">
        <v>0.42</v>
      </c>
      <c r="G2992" s="414" t="s">
        <v>1749</v>
      </c>
      <c r="H2992" s="414" t="s">
        <v>373</v>
      </c>
      <c r="I2992" s="414" t="e">
        <f>K817</f>
        <v>#REF!</v>
      </c>
      <c r="J2992" s="423" t="s">
        <v>1749</v>
      </c>
      <c r="K2992" s="414" t="e">
        <f>F2992*I2992</f>
        <v>#REF!</v>
      </c>
      <c r="W2992" s="413"/>
    </row>
    <row r="2993" spans="6:23" ht="24" customHeight="1">
      <c r="F2993" s="414">
        <v>0.25</v>
      </c>
      <c r="G2993" s="414" t="s">
        <v>1130</v>
      </c>
      <c r="H2993" s="414" t="s">
        <v>374</v>
      </c>
      <c r="I2993" s="414">
        <f>C11</f>
        <v>932</v>
      </c>
      <c r="J2993" s="423" t="s">
        <v>1134</v>
      </c>
      <c r="K2993" s="414">
        <f>F2993*I2993</f>
        <v>233</v>
      </c>
      <c r="W2993" s="413"/>
    </row>
    <row r="2994" spans="6:23" ht="24" customHeight="1">
      <c r="F2994" s="414">
        <v>3.5</v>
      </c>
      <c r="G2994" s="414" t="s">
        <v>1166</v>
      </c>
      <c r="H2994" s="414" t="s">
        <v>272</v>
      </c>
      <c r="I2994" s="414">
        <f>C12</f>
        <v>651</v>
      </c>
      <c r="J2994" s="423" t="s">
        <v>1134</v>
      </c>
      <c r="K2994" s="414">
        <f>F2994*I2994</f>
        <v>2278.5</v>
      </c>
      <c r="W2994" s="413"/>
    </row>
    <row r="2995" spans="6:23" ht="24" customHeight="1">
      <c r="F2995" s="414">
        <v>32.1</v>
      </c>
      <c r="G2995" s="414" t="s">
        <v>1341</v>
      </c>
      <c r="H2995" s="414" t="s">
        <v>1295</v>
      </c>
      <c r="J2995" s="423"/>
      <c r="K2995" s="414">
        <f>(F2995*I2995)/1000</f>
        <v>0</v>
      </c>
      <c r="W2995" s="413"/>
    </row>
    <row r="2996" spans="6:23" ht="24" customHeight="1">
      <c r="G2996" s="414" t="s">
        <v>375</v>
      </c>
      <c r="H2996" s="414" t="s">
        <v>768</v>
      </c>
      <c r="J2996" s="423" t="s">
        <v>49</v>
      </c>
      <c r="K2996" s="414">
        <f>(K2993+K2994)*10%</f>
        <v>251.15</v>
      </c>
      <c r="W2996" s="413"/>
    </row>
    <row r="2997" spans="6:23" ht="24" customHeight="1">
      <c r="J2997" s="413"/>
      <c r="K2997" s="414" t="s">
        <v>769</v>
      </c>
      <c r="W2997" s="413"/>
    </row>
    <row r="2998" spans="6:23" ht="24" customHeight="1">
      <c r="J2998" s="413"/>
      <c r="W2998" s="413"/>
    </row>
    <row r="2999" spans="6:23" ht="24" customHeight="1">
      <c r="I2999" s="414" t="s">
        <v>853</v>
      </c>
      <c r="J2999" s="413"/>
      <c r="K2999" s="414" t="e">
        <f>SUM(K2992:K2996)</f>
        <v>#REF!</v>
      </c>
      <c r="W2999" s="413"/>
    </row>
    <row r="3000" spans="6:23" ht="24" customHeight="1">
      <c r="J3000" s="413"/>
      <c r="W3000" s="413"/>
    </row>
    <row r="3001" spans="6:23" ht="24" customHeight="1">
      <c r="I3001" s="414" t="s">
        <v>1532</v>
      </c>
      <c r="J3001" s="413"/>
      <c r="K3001" s="414" t="e">
        <f>K2999/3.5</f>
        <v>#REF!</v>
      </c>
      <c r="W3001" s="413"/>
    </row>
    <row r="3002" spans="6:23" ht="24" customHeight="1">
      <c r="G3002" s="417" t="s">
        <v>854</v>
      </c>
      <c r="J3002" s="413"/>
      <c r="W3002" s="413"/>
    </row>
    <row r="3003" spans="6:23" ht="24" customHeight="1">
      <c r="J3003" s="413"/>
      <c r="W3003" s="413"/>
    </row>
    <row r="3004" spans="6:23" ht="24" customHeight="1">
      <c r="F3004" s="414">
        <v>1</v>
      </c>
      <c r="G3004" s="414" t="s">
        <v>1749</v>
      </c>
      <c r="H3004" s="414" t="s">
        <v>167</v>
      </c>
      <c r="I3004" s="414" t="e">
        <f>AC38</f>
        <v>#REF!</v>
      </c>
      <c r="J3004" s="423" t="s">
        <v>1749</v>
      </c>
      <c r="K3004" s="414" t="e">
        <f>F3004*I3004</f>
        <v>#REF!</v>
      </c>
      <c r="W3004" s="413"/>
    </row>
    <row r="3005" spans="6:23" ht="24" customHeight="1">
      <c r="F3005" s="414">
        <v>1</v>
      </c>
      <c r="G3005" s="414" t="s">
        <v>1749</v>
      </c>
      <c r="H3005" s="414" t="s">
        <v>855</v>
      </c>
      <c r="I3005" s="414">
        <f>AE28</f>
        <v>38.950000000000003</v>
      </c>
      <c r="J3005" s="423" t="s">
        <v>1749</v>
      </c>
      <c r="K3005" s="414">
        <f>F3005*I3005</f>
        <v>38.950000000000003</v>
      </c>
      <c r="W3005" s="413"/>
    </row>
    <row r="3006" spans="6:23" ht="24" customHeight="1">
      <c r="J3006" s="413"/>
      <c r="K3006" s="417" t="e">
        <f>SUM(K3004:K3005)</f>
        <v>#REF!</v>
      </c>
      <c r="W3006" s="413"/>
    </row>
    <row r="3007" spans="6:23" ht="24" customHeight="1">
      <c r="W3007" s="413"/>
    </row>
    <row r="3008" spans="6:23" ht="24" customHeight="1">
      <c r="H3008" s="414" t="s">
        <v>1553</v>
      </c>
      <c r="I3008" s="431"/>
      <c r="J3008" s="413"/>
      <c r="W3008" s="413"/>
    </row>
    <row r="3009" spans="8:23" ht="37.9" customHeight="1">
      <c r="H3009" s="431" t="s">
        <v>3193</v>
      </c>
      <c r="I3009" s="414">
        <v>1020</v>
      </c>
      <c r="J3009" s="413" t="s">
        <v>1394</v>
      </c>
      <c r="K3009" s="414">
        <f>I3009</f>
        <v>1020</v>
      </c>
      <c r="W3009" s="413"/>
    </row>
    <row r="3010" spans="8:23" ht="24" customHeight="1">
      <c r="J3010" s="413"/>
      <c r="W3010" s="413"/>
    </row>
    <row r="3011" spans="8:23" ht="24" customHeight="1">
      <c r="J3011" s="413"/>
      <c r="W3011" s="413"/>
    </row>
    <row r="3012" spans="8:23" ht="37.9" customHeight="1">
      <c r="H3012" s="431" t="s">
        <v>3194</v>
      </c>
      <c r="I3012" s="414">
        <v>494.7</v>
      </c>
      <c r="J3012" s="413" t="s">
        <v>1394</v>
      </c>
      <c r="K3012" s="414">
        <f>I3012</f>
        <v>494.7</v>
      </c>
      <c r="W3012" s="413"/>
    </row>
    <row r="3013" spans="8:23" ht="24" customHeight="1">
      <c r="J3013" s="413"/>
      <c r="W3013" s="413"/>
    </row>
    <row r="3014" spans="8:23" ht="37.9" customHeight="1">
      <c r="H3014" s="431" t="s">
        <v>3195</v>
      </c>
      <c r="I3014" s="414">
        <v>398.3</v>
      </c>
      <c r="J3014" s="413" t="s">
        <v>1394</v>
      </c>
      <c r="K3014" s="414">
        <f>I3014</f>
        <v>398.3</v>
      </c>
      <c r="W3014" s="413"/>
    </row>
    <row r="3015" spans="8:23" ht="24" customHeight="1">
      <c r="J3015" s="413"/>
      <c r="W3015" s="413"/>
    </row>
    <row r="3016" spans="8:23" ht="24" customHeight="1">
      <c r="H3016" s="414" t="s">
        <v>1050</v>
      </c>
      <c r="J3016" s="413"/>
      <c r="W3016" s="413"/>
    </row>
    <row r="3017" spans="8:23" ht="24" customHeight="1">
      <c r="H3017" s="414" t="s">
        <v>3196</v>
      </c>
      <c r="I3017" s="414">
        <v>995</v>
      </c>
      <c r="J3017" s="413" t="s">
        <v>1394</v>
      </c>
      <c r="K3017" s="414">
        <f>I3017</f>
        <v>995</v>
      </c>
      <c r="W3017" s="413"/>
    </row>
    <row r="3018" spans="8:23" ht="24" customHeight="1">
      <c r="H3018" s="412" t="s">
        <v>863</v>
      </c>
      <c r="I3018" s="414" t="e">
        <f>K2291</f>
        <v>#REF!</v>
      </c>
      <c r="J3018" s="413"/>
      <c r="K3018" s="414" t="e">
        <f>I3018</f>
        <v>#REF!</v>
      </c>
      <c r="W3018" s="413"/>
    </row>
    <row r="3019" spans="8:23" ht="24" customHeight="1">
      <c r="J3019" s="413"/>
      <c r="W3019" s="413"/>
    </row>
    <row r="3020" spans="8:23" ht="24" hidden="1" customHeight="1">
      <c r="J3020" s="413"/>
      <c r="W3020" s="413"/>
    </row>
    <row r="3021" spans="8:23" ht="44.25" hidden="1" customHeight="1">
      <c r="J3021" s="413"/>
      <c r="W3021" s="413"/>
    </row>
    <row r="3022" spans="8:23" ht="68.25" hidden="1" customHeight="1">
      <c r="J3022" s="413"/>
      <c r="W3022" s="413"/>
    </row>
    <row r="3023" spans="8:23" ht="24" hidden="1" customHeight="1">
      <c r="J3023" s="413"/>
      <c r="W3023" s="413"/>
    </row>
    <row r="3024" spans="8:23" ht="24" hidden="1" customHeight="1">
      <c r="J3024" s="413"/>
      <c r="W3024" s="413"/>
    </row>
    <row r="3025" spans="8:23" ht="24" hidden="1" customHeight="1">
      <c r="H3025" s="423"/>
      <c r="J3025" s="413"/>
      <c r="W3025" s="413"/>
    </row>
    <row r="3026" spans="8:23" ht="24" hidden="1" customHeight="1">
      <c r="J3026" s="413"/>
      <c r="W3026" s="413"/>
    </row>
    <row r="3027" spans="8:23" ht="24" hidden="1" customHeight="1">
      <c r="H3027" s="419"/>
      <c r="I3027" s="417"/>
      <c r="J3027" s="420"/>
      <c r="K3027" s="417"/>
      <c r="W3027" s="413"/>
    </row>
    <row r="3028" spans="8:23" ht="24" hidden="1" customHeight="1">
      <c r="W3028" s="413"/>
    </row>
    <row r="3029" spans="8:23" ht="24" hidden="1" customHeight="1">
      <c r="W3029" s="413"/>
    </row>
    <row r="3030" spans="8:23" ht="24" customHeight="1">
      <c r="H3030" s="414" t="s">
        <v>818</v>
      </c>
      <c r="W3030" s="413"/>
    </row>
    <row r="3031" spans="8:23" ht="24" customHeight="1">
      <c r="H3031" s="414" t="s">
        <v>819</v>
      </c>
      <c r="J3031" s="412" t="s">
        <v>1134</v>
      </c>
      <c r="K3031" s="414">
        <v>130</v>
      </c>
      <c r="W3031" s="413"/>
    </row>
    <row r="3032" spans="8:23" ht="24" customHeight="1">
      <c r="W3032" s="413"/>
    </row>
    <row r="3033" spans="8:23" ht="24" customHeight="1">
      <c r="H3033" s="414" t="s">
        <v>820</v>
      </c>
      <c r="J3033" s="412" t="s">
        <v>1134</v>
      </c>
      <c r="K3033" s="414">
        <v>170</v>
      </c>
      <c r="W3033" s="413"/>
    </row>
    <row r="3034" spans="8:23" ht="24" customHeight="1">
      <c r="W3034" s="413"/>
    </row>
    <row r="3035" spans="8:23" ht="24" hidden="1" customHeight="1">
      <c r="W3035" s="413"/>
    </row>
    <row r="3036" spans="8:23" ht="24" customHeight="1">
      <c r="H3036" s="412" t="s">
        <v>1024</v>
      </c>
      <c r="J3036" s="412" t="s">
        <v>1134</v>
      </c>
      <c r="K3036" s="414">
        <v>443</v>
      </c>
      <c r="W3036" s="413"/>
    </row>
    <row r="3037" spans="8:23" ht="24" customHeight="1">
      <c r="W3037" s="413"/>
    </row>
    <row r="3038" spans="8:23" ht="37.9" customHeight="1">
      <c r="H3038" s="426" t="s">
        <v>161</v>
      </c>
      <c r="J3038" s="412" t="s">
        <v>1134</v>
      </c>
      <c r="K3038" s="414">
        <f>[14]Elec.Data!K936</f>
        <v>1552.7</v>
      </c>
      <c r="W3038" s="413"/>
    </row>
    <row r="3039" spans="8:23" ht="45" hidden="1" customHeight="1">
      <c r="W3039" s="413"/>
    </row>
    <row r="3040" spans="8:23" ht="24" customHeight="1">
      <c r="W3040" s="413"/>
    </row>
    <row r="3041" spans="6:23" ht="24" customHeight="1">
      <c r="H3041" s="414" t="s">
        <v>1050</v>
      </c>
      <c r="J3041" s="412" t="s">
        <v>1134</v>
      </c>
      <c r="K3041" s="414">
        <f>K3017</f>
        <v>995</v>
      </c>
      <c r="W3041" s="413"/>
    </row>
    <row r="3042" spans="6:23" ht="24" customHeight="1">
      <c r="H3042" s="414" t="s">
        <v>1051</v>
      </c>
      <c r="W3042" s="413"/>
    </row>
    <row r="3043" spans="6:23" ht="24" customHeight="1">
      <c r="W3043" s="413"/>
    </row>
    <row r="3044" spans="6:23" ht="24" customHeight="1">
      <c r="F3044" s="414">
        <v>0.5</v>
      </c>
      <c r="H3044" s="414" t="s">
        <v>1519</v>
      </c>
      <c r="J3044" s="412">
        <f>C15</f>
        <v>866</v>
      </c>
      <c r="K3044" s="414">
        <f>J3044*F3044</f>
        <v>433</v>
      </c>
      <c r="W3044" s="413"/>
    </row>
    <row r="3045" spans="6:23" ht="24" customHeight="1">
      <c r="F3045" s="414">
        <v>0.5</v>
      </c>
      <c r="H3045" s="414" t="s">
        <v>272</v>
      </c>
      <c r="J3045" s="412">
        <f>C12</f>
        <v>651</v>
      </c>
      <c r="K3045" s="414">
        <f>J3045*F3045</f>
        <v>325.5</v>
      </c>
      <c r="W3045" s="413"/>
    </row>
    <row r="3046" spans="6:23" ht="24" customHeight="1">
      <c r="I3046" s="1243" t="s">
        <v>860</v>
      </c>
      <c r="J3046" s="1243"/>
      <c r="K3046" s="417">
        <f>SUM(K3041:K3045)</f>
        <v>1753.5</v>
      </c>
      <c r="W3046" s="413"/>
    </row>
    <row r="3047" spans="6:23" ht="24" customHeight="1">
      <c r="W3047" s="413"/>
    </row>
    <row r="3048" spans="6:23" ht="24" hidden="1" customHeight="1">
      <c r="W3048" s="413"/>
    </row>
    <row r="3049" spans="6:23" ht="24" customHeight="1">
      <c r="F3049" s="413" t="s">
        <v>456</v>
      </c>
      <c r="G3049" s="414" t="s">
        <v>1833</v>
      </c>
      <c r="H3049" s="412" t="s">
        <v>1440</v>
      </c>
      <c r="J3049" s="413"/>
      <c r="W3049" s="413"/>
    </row>
    <row r="3050" spans="6:23" ht="24" customHeight="1">
      <c r="H3050" s="412" t="s">
        <v>200</v>
      </c>
      <c r="J3050" s="413"/>
      <c r="W3050" s="413"/>
    </row>
    <row r="3051" spans="6:23" ht="24" customHeight="1">
      <c r="H3051" s="412" t="s">
        <v>1148</v>
      </c>
      <c r="J3051" s="413"/>
      <c r="W3051" s="413"/>
    </row>
    <row r="3052" spans="6:23" ht="24" customHeight="1">
      <c r="H3052" s="418" t="s">
        <v>1288</v>
      </c>
      <c r="J3052" s="413"/>
      <c r="W3052" s="413"/>
    </row>
    <row r="3053" spans="6:23" ht="24" customHeight="1">
      <c r="H3053" s="412" t="s">
        <v>610</v>
      </c>
      <c r="J3053" s="413"/>
      <c r="W3053" s="413"/>
    </row>
    <row r="3054" spans="6:23" ht="24" customHeight="1">
      <c r="J3054" s="413"/>
      <c r="W3054" s="413"/>
    </row>
    <row r="3055" spans="6:23" ht="52.15" customHeight="1">
      <c r="F3055" s="440">
        <v>2.2275</v>
      </c>
      <c r="G3055" s="414" t="s">
        <v>488</v>
      </c>
      <c r="H3055" s="426" t="s">
        <v>595</v>
      </c>
      <c r="I3055" s="414">
        <f>I2834</f>
        <v>2180</v>
      </c>
      <c r="J3055" s="413" t="s">
        <v>488</v>
      </c>
      <c r="K3055" s="414">
        <f>F3056*I3055</f>
        <v>4855.95</v>
      </c>
      <c r="W3055" s="413"/>
    </row>
    <row r="3056" spans="6:23" ht="24" customHeight="1">
      <c r="F3056" s="440">
        <f>F3055</f>
        <v>2.2275</v>
      </c>
      <c r="G3056" s="414" t="s">
        <v>488</v>
      </c>
      <c r="H3056" s="412" t="s">
        <v>356</v>
      </c>
      <c r="I3056" s="423">
        <f>I2867</f>
        <v>330.2</v>
      </c>
      <c r="J3056" s="413" t="s">
        <v>488</v>
      </c>
      <c r="K3056" s="414">
        <f t="shared" ref="K3056:K3062" si="287">(F3056*I3056)</f>
        <v>735.52</v>
      </c>
      <c r="M3056" s="413" t="s">
        <v>456</v>
      </c>
      <c r="N3056" s="414" t="s">
        <v>1833</v>
      </c>
      <c r="O3056" s="412" t="s">
        <v>1440</v>
      </c>
      <c r="Q3056" s="413"/>
      <c r="W3056" s="413"/>
    </row>
    <row r="3057" spans="6:23" ht="24" customHeight="1">
      <c r="F3057" s="414">
        <v>4</v>
      </c>
      <c r="G3057" s="414" t="s">
        <v>619</v>
      </c>
      <c r="H3057" s="412" t="s">
        <v>1190</v>
      </c>
      <c r="I3057" s="414">
        <f t="shared" ref="I3057:I3062" si="288">I2972</f>
        <v>57.65</v>
      </c>
      <c r="J3057" s="413" t="s">
        <v>701</v>
      </c>
      <c r="K3057" s="414">
        <f t="shared" si="287"/>
        <v>230.6</v>
      </c>
      <c r="O3057" s="412" t="s">
        <v>200</v>
      </c>
      <c r="Q3057" s="413"/>
      <c r="W3057" s="413"/>
    </row>
    <row r="3058" spans="6:23" ht="24" customHeight="1">
      <c r="F3058" s="414">
        <v>6</v>
      </c>
      <c r="G3058" s="414" t="s">
        <v>701</v>
      </c>
      <c r="H3058" s="412" t="s">
        <v>1191</v>
      </c>
      <c r="I3058" s="414">
        <f t="shared" si="288"/>
        <v>89.6</v>
      </c>
      <c r="J3058" s="413" t="s">
        <v>701</v>
      </c>
      <c r="K3058" s="414">
        <f t="shared" si="287"/>
        <v>537.6</v>
      </c>
      <c r="O3058" s="412" t="s">
        <v>62</v>
      </c>
      <c r="Q3058" s="413"/>
      <c r="W3058" s="413"/>
    </row>
    <row r="3059" spans="6:23" ht="24" customHeight="1">
      <c r="F3059" s="414">
        <v>4</v>
      </c>
      <c r="G3059" s="414" t="s">
        <v>701</v>
      </c>
      <c r="H3059" s="412" t="s">
        <v>1192</v>
      </c>
      <c r="I3059" s="414">
        <f t="shared" si="288"/>
        <v>64.8</v>
      </c>
      <c r="J3059" s="413" t="s">
        <v>701</v>
      </c>
      <c r="K3059" s="414">
        <f t="shared" si="287"/>
        <v>259.2</v>
      </c>
      <c r="O3059" s="418" t="s">
        <v>1288</v>
      </c>
      <c r="Q3059" s="413"/>
      <c r="W3059" s="413"/>
    </row>
    <row r="3060" spans="6:23" ht="24" customHeight="1">
      <c r="F3060" s="414">
        <v>1</v>
      </c>
      <c r="G3060" s="414" t="s">
        <v>701</v>
      </c>
      <c r="H3060" s="412" t="s">
        <v>1193</v>
      </c>
      <c r="I3060" s="414">
        <f t="shared" si="288"/>
        <v>181</v>
      </c>
      <c r="J3060" s="413" t="s">
        <v>701</v>
      </c>
      <c r="K3060" s="414">
        <f t="shared" si="287"/>
        <v>181</v>
      </c>
      <c r="O3060" s="412" t="s">
        <v>286</v>
      </c>
      <c r="Q3060" s="413"/>
      <c r="W3060" s="413"/>
    </row>
    <row r="3061" spans="6:23" ht="24" customHeight="1">
      <c r="F3061" s="414">
        <v>2</v>
      </c>
      <c r="G3061" s="414" t="s">
        <v>701</v>
      </c>
      <c r="H3061" s="412" t="s">
        <v>1194</v>
      </c>
      <c r="I3061" s="414">
        <f t="shared" si="288"/>
        <v>7.3</v>
      </c>
      <c r="J3061" s="413" t="s">
        <v>701</v>
      </c>
      <c r="K3061" s="414">
        <f t="shared" si="287"/>
        <v>14.6</v>
      </c>
      <c r="Q3061" s="413"/>
      <c r="W3061" s="413"/>
    </row>
    <row r="3062" spans="6:23" ht="24" customHeight="1">
      <c r="F3062" s="414">
        <v>2</v>
      </c>
      <c r="G3062" s="414" t="s">
        <v>701</v>
      </c>
      <c r="H3062" s="412" t="s">
        <v>1614</v>
      </c>
      <c r="I3062" s="414">
        <f t="shared" si="288"/>
        <v>49.55</v>
      </c>
      <c r="J3062" s="413" t="s">
        <v>701</v>
      </c>
      <c r="K3062" s="414">
        <f t="shared" si="287"/>
        <v>99.1</v>
      </c>
      <c r="M3062" s="416">
        <v>3.29</v>
      </c>
      <c r="N3062" s="414" t="s">
        <v>488</v>
      </c>
      <c r="O3062" s="426" t="s">
        <v>595</v>
      </c>
      <c r="P3062" s="414">
        <f>I3055</f>
        <v>2180</v>
      </c>
      <c r="Q3062" s="413" t="s">
        <v>488</v>
      </c>
      <c r="R3062" s="414">
        <f>M3063*P3062</f>
        <v>7172.2</v>
      </c>
      <c r="W3062" s="413"/>
    </row>
    <row r="3063" spans="6:23" ht="24" customHeight="1">
      <c r="J3063" s="413"/>
      <c r="K3063" s="423">
        <v>0.2</v>
      </c>
      <c r="M3063" s="416">
        <v>3.29</v>
      </c>
      <c r="N3063" s="414" t="s">
        <v>488</v>
      </c>
      <c r="O3063" s="412" t="s">
        <v>356</v>
      </c>
      <c r="P3063" s="414">
        <f t="shared" ref="P3063:P3069" si="289">I3056</f>
        <v>330.2</v>
      </c>
      <c r="Q3063" s="413" t="s">
        <v>488</v>
      </c>
      <c r="R3063" s="414">
        <f t="shared" ref="R3063:R3069" si="290">(M3063*P3063)</f>
        <v>1086.3599999999999</v>
      </c>
      <c r="W3063" s="413"/>
    </row>
    <row r="3064" spans="6:23" ht="24" customHeight="1">
      <c r="H3064" s="412" t="s">
        <v>611</v>
      </c>
      <c r="J3064" s="413"/>
      <c r="K3064" s="414">
        <f>SUM(K3055:K3063)</f>
        <v>6913.77</v>
      </c>
      <c r="M3064" s="414">
        <v>4</v>
      </c>
      <c r="N3064" s="414" t="s">
        <v>619</v>
      </c>
      <c r="O3064" s="412" t="s">
        <v>1190</v>
      </c>
      <c r="P3064" s="414">
        <f t="shared" si="289"/>
        <v>57.65</v>
      </c>
      <c r="Q3064" s="413" t="s">
        <v>701</v>
      </c>
      <c r="R3064" s="414">
        <f t="shared" si="290"/>
        <v>230.6</v>
      </c>
      <c r="W3064" s="413"/>
    </row>
    <row r="3065" spans="6:23" ht="24" customHeight="1">
      <c r="J3065" s="413"/>
      <c r="K3065" s="418" t="s">
        <v>1288</v>
      </c>
      <c r="M3065" s="414">
        <v>6</v>
      </c>
      <c r="N3065" s="414" t="s">
        <v>701</v>
      </c>
      <c r="O3065" s="412" t="s">
        <v>1191</v>
      </c>
      <c r="P3065" s="414">
        <f t="shared" si="289"/>
        <v>89.6</v>
      </c>
      <c r="Q3065" s="413" t="s">
        <v>701</v>
      </c>
      <c r="R3065" s="414">
        <f t="shared" si="290"/>
        <v>537.6</v>
      </c>
      <c r="W3065" s="413"/>
    </row>
    <row r="3066" spans="6:23" ht="24" customHeight="1">
      <c r="H3066" s="412" t="s">
        <v>447</v>
      </c>
      <c r="J3066" s="413"/>
      <c r="K3066" s="414">
        <f>K3064/F3056</f>
        <v>3103.82</v>
      </c>
      <c r="M3066" s="414">
        <v>4</v>
      </c>
      <c r="N3066" s="414" t="s">
        <v>701</v>
      </c>
      <c r="O3066" s="412" t="s">
        <v>1192</v>
      </c>
      <c r="P3066" s="414">
        <f t="shared" si="289"/>
        <v>64.8</v>
      </c>
      <c r="Q3066" s="413" t="s">
        <v>701</v>
      </c>
      <c r="R3066" s="414">
        <f t="shared" si="290"/>
        <v>259.2</v>
      </c>
      <c r="W3066" s="413"/>
    </row>
    <row r="3067" spans="6:23" ht="24" customHeight="1">
      <c r="M3067" s="414">
        <v>1</v>
      </c>
      <c r="N3067" s="414" t="s">
        <v>701</v>
      </c>
      <c r="O3067" s="412" t="s">
        <v>1193</v>
      </c>
      <c r="P3067" s="414">
        <f t="shared" si="289"/>
        <v>181</v>
      </c>
      <c r="Q3067" s="413" t="s">
        <v>701</v>
      </c>
      <c r="R3067" s="414">
        <f t="shared" si="290"/>
        <v>181</v>
      </c>
      <c r="W3067" s="413"/>
    </row>
    <row r="3068" spans="6:23" ht="24" customHeight="1">
      <c r="F3068" s="413" t="s">
        <v>456</v>
      </c>
      <c r="G3068" s="414" t="s">
        <v>1833</v>
      </c>
      <c r="H3068" s="412" t="s">
        <v>1440</v>
      </c>
      <c r="J3068" s="413"/>
      <c r="M3068" s="414">
        <v>2</v>
      </c>
      <c r="N3068" s="414" t="s">
        <v>701</v>
      </c>
      <c r="O3068" s="412" t="s">
        <v>1194</v>
      </c>
      <c r="P3068" s="414">
        <f t="shared" si="289"/>
        <v>7.3</v>
      </c>
      <c r="Q3068" s="413" t="s">
        <v>701</v>
      </c>
      <c r="R3068" s="414">
        <f t="shared" si="290"/>
        <v>14.6</v>
      </c>
      <c r="W3068" s="413"/>
    </row>
    <row r="3069" spans="6:23" ht="24" customHeight="1">
      <c r="H3069" s="412" t="s">
        <v>200</v>
      </c>
      <c r="J3069" s="413"/>
      <c r="M3069" s="414">
        <v>2</v>
      </c>
      <c r="N3069" s="414" t="s">
        <v>701</v>
      </c>
      <c r="O3069" s="412" t="s">
        <v>1614</v>
      </c>
      <c r="P3069" s="414">
        <f t="shared" si="289"/>
        <v>49.55</v>
      </c>
      <c r="Q3069" s="413" t="s">
        <v>701</v>
      </c>
      <c r="R3069" s="414">
        <f t="shared" si="290"/>
        <v>99.1</v>
      </c>
      <c r="W3069" s="413"/>
    </row>
    <row r="3070" spans="6:23" ht="24" customHeight="1">
      <c r="H3070" s="412" t="s">
        <v>1568</v>
      </c>
      <c r="J3070" s="413"/>
      <c r="Q3070" s="413"/>
      <c r="R3070" s="418" t="s">
        <v>1288</v>
      </c>
      <c r="W3070" s="413"/>
    </row>
    <row r="3071" spans="6:23" ht="24" customHeight="1">
      <c r="H3071" s="418" t="s">
        <v>1288</v>
      </c>
      <c r="J3071" s="413"/>
      <c r="O3071" s="412" t="s">
        <v>287</v>
      </c>
      <c r="Q3071" s="413"/>
      <c r="R3071" s="414">
        <f>SUM(R3062:R3070)+0.5</f>
        <v>9581.16</v>
      </c>
      <c r="W3071" s="413"/>
    </row>
    <row r="3072" spans="6:23" ht="24" customHeight="1">
      <c r="H3072" s="412" t="s">
        <v>80</v>
      </c>
      <c r="J3072" s="413"/>
      <c r="Q3072" s="413"/>
      <c r="R3072" s="418" t="s">
        <v>1288</v>
      </c>
      <c r="W3072" s="413"/>
    </row>
    <row r="3073" spans="6:23" ht="24" customHeight="1">
      <c r="J3073" s="413"/>
      <c r="O3073" s="412" t="s">
        <v>447</v>
      </c>
      <c r="Q3073" s="413"/>
      <c r="R3073" s="414">
        <f>R3071/M3062</f>
        <v>2912.21</v>
      </c>
      <c r="W3073" s="413"/>
    </row>
    <row r="3074" spans="6:23" ht="52.9" customHeight="1">
      <c r="F3074" s="416">
        <v>2.87</v>
      </c>
      <c r="G3074" s="414" t="s">
        <v>488</v>
      </c>
      <c r="H3074" s="426" t="s">
        <v>595</v>
      </c>
      <c r="I3074" s="414">
        <f>I3055</f>
        <v>2180</v>
      </c>
      <c r="J3074" s="413" t="s">
        <v>488</v>
      </c>
      <c r="K3074" s="414">
        <f>F3075*I3074</f>
        <v>6256.6</v>
      </c>
      <c r="Q3074" s="412"/>
      <c r="W3074" s="413"/>
    </row>
    <row r="3075" spans="6:23" ht="24" customHeight="1">
      <c r="F3075" s="416">
        <f>F3074</f>
        <v>2.87</v>
      </c>
      <c r="G3075" s="414" t="s">
        <v>488</v>
      </c>
      <c r="H3075" s="412" t="s">
        <v>356</v>
      </c>
      <c r="I3075" s="423">
        <f t="shared" ref="I3075:I3081" si="291">I3056</f>
        <v>330.2</v>
      </c>
      <c r="J3075" s="413" t="s">
        <v>488</v>
      </c>
      <c r="K3075" s="414">
        <f t="shared" ref="K3075:K3081" si="292">(F3075*I3075)</f>
        <v>947.67</v>
      </c>
      <c r="W3075" s="413"/>
    </row>
    <row r="3076" spans="6:23" ht="24" customHeight="1">
      <c r="F3076" s="414">
        <v>4</v>
      </c>
      <c r="G3076" s="414" t="s">
        <v>619</v>
      </c>
      <c r="H3076" s="412" t="s">
        <v>1190</v>
      </c>
      <c r="I3076" s="414">
        <f t="shared" si="291"/>
        <v>57.65</v>
      </c>
      <c r="J3076" s="413" t="s">
        <v>701</v>
      </c>
      <c r="K3076" s="414">
        <f t="shared" si="292"/>
        <v>230.6</v>
      </c>
      <c r="W3076" s="413"/>
    </row>
    <row r="3077" spans="6:23" ht="24" customHeight="1">
      <c r="F3077" s="414">
        <v>6</v>
      </c>
      <c r="G3077" s="414" t="s">
        <v>701</v>
      </c>
      <c r="H3077" s="412" t="s">
        <v>1191</v>
      </c>
      <c r="I3077" s="414">
        <f t="shared" si="291"/>
        <v>89.6</v>
      </c>
      <c r="J3077" s="413" t="s">
        <v>701</v>
      </c>
      <c r="K3077" s="414">
        <f t="shared" si="292"/>
        <v>537.6</v>
      </c>
      <c r="W3077" s="413"/>
    </row>
    <row r="3078" spans="6:23" ht="24" customHeight="1">
      <c r="F3078" s="414">
        <v>4</v>
      </c>
      <c r="G3078" s="414" t="s">
        <v>701</v>
      </c>
      <c r="H3078" s="412" t="s">
        <v>1192</v>
      </c>
      <c r="I3078" s="414">
        <f t="shared" si="291"/>
        <v>64.8</v>
      </c>
      <c r="J3078" s="413" t="s">
        <v>701</v>
      </c>
      <c r="K3078" s="414">
        <f t="shared" si="292"/>
        <v>259.2</v>
      </c>
      <c r="W3078" s="413"/>
    </row>
    <row r="3079" spans="6:23" ht="24" customHeight="1">
      <c r="F3079" s="414">
        <v>1</v>
      </c>
      <c r="G3079" s="414" t="s">
        <v>701</v>
      </c>
      <c r="H3079" s="412" t="s">
        <v>1193</v>
      </c>
      <c r="I3079" s="414">
        <f t="shared" si="291"/>
        <v>181</v>
      </c>
      <c r="J3079" s="413" t="s">
        <v>701</v>
      </c>
      <c r="K3079" s="414">
        <f t="shared" si="292"/>
        <v>181</v>
      </c>
      <c r="W3079" s="413"/>
    </row>
    <row r="3080" spans="6:23" ht="24" customHeight="1">
      <c r="F3080" s="414">
        <v>2</v>
      </c>
      <c r="G3080" s="414" t="s">
        <v>701</v>
      </c>
      <c r="H3080" s="412" t="s">
        <v>1194</v>
      </c>
      <c r="I3080" s="414">
        <f t="shared" si="291"/>
        <v>7.3</v>
      </c>
      <c r="J3080" s="413" t="s">
        <v>701</v>
      </c>
      <c r="K3080" s="414">
        <f t="shared" si="292"/>
        <v>14.6</v>
      </c>
      <c r="W3080" s="413"/>
    </row>
    <row r="3081" spans="6:23" ht="24" customHeight="1">
      <c r="F3081" s="414">
        <v>2</v>
      </c>
      <c r="G3081" s="414" t="s">
        <v>701</v>
      </c>
      <c r="H3081" s="412" t="s">
        <v>1614</v>
      </c>
      <c r="I3081" s="414">
        <f t="shared" si="291"/>
        <v>49.55</v>
      </c>
      <c r="J3081" s="413" t="s">
        <v>701</v>
      </c>
      <c r="K3081" s="414">
        <f t="shared" si="292"/>
        <v>99.1</v>
      </c>
      <c r="W3081" s="413"/>
    </row>
    <row r="3082" spans="6:23" ht="24" customHeight="1">
      <c r="J3082" s="413"/>
      <c r="K3082" s="423">
        <f>1.19+0.16</f>
        <v>1.35</v>
      </c>
      <c r="W3082" s="413"/>
    </row>
    <row r="3083" spans="6:23" ht="24" customHeight="1">
      <c r="H3083" s="412" t="s">
        <v>81</v>
      </c>
      <c r="J3083" s="413"/>
      <c r="K3083" s="414">
        <f>SUM(K3074:K3082)</f>
        <v>8527.7199999999993</v>
      </c>
      <c r="W3083" s="413"/>
    </row>
    <row r="3084" spans="6:23" ht="24" customHeight="1">
      <c r="J3084" s="413"/>
      <c r="K3084" s="418" t="s">
        <v>1288</v>
      </c>
      <c r="W3084" s="413"/>
    </row>
    <row r="3085" spans="6:23" ht="24" customHeight="1">
      <c r="H3085" s="412" t="s">
        <v>447</v>
      </c>
      <c r="J3085" s="413"/>
      <c r="K3085" s="414">
        <f>K3083/F3075</f>
        <v>2971.33</v>
      </c>
      <c r="W3085" s="413"/>
    </row>
    <row r="3086" spans="6:23" ht="24" customHeight="1">
      <c r="W3086" s="413"/>
    </row>
    <row r="3087" spans="6:23" ht="24" customHeight="1">
      <c r="F3087" s="427" t="s">
        <v>712</v>
      </c>
      <c r="H3087" s="412" t="s">
        <v>1000</v>
      </c>
      <c r="W3087" s="413"/>
    </row>
    <row r="3088" spans="6:23" ht="24" customHeight="1">
      <c r="H3088" s="418" t="s">
        <v>1288</v>
      </c>
      <c r="I3088" s="418" t="s">
        <v>1288</v>
      </c>
      <c r="J3088" s="412" t="s">
        <v>1288</v>
      </c>
      <c r="W3088" s="413"/>
    </row>
    <row r="3089" spans="6:42" ht="24" customHeight="1">
      <c r="W3089" s="413"/>
    </row>
    <row r="3090" spans="6:42" ht="24" customHeight="1">
      <c r="H3090" s="412" t="s">
        <v>1628</v>
      </c>
      <c r="W3090" s="413"/>
    </row>
    <row r="3091" spans="6:42" ht="24" customHeight="1">
      <c r="H3091" s="412"/>
      <c r="W3091" s="413"/>
    </row>
    <row r="3092" spans="6:42" ht="24" customHeight="1">
      <c r="H3092" s="412" t="s">
        <v>1629</v>
      </c>
      <c r="W3092" s="413"/>
    </row>
    <row r="3093" spans="6:42" ht="24" customHeight="1">
      <c r="H3093" s="412" t="s">
        <v>363</v>
      </c>
      <c r="W3093" s="413"/>
    </row>
    <row r="3094" spans="6:42" ht="24" customHeight="1">
      <c r="H3094" s="412" t="s">
        <v>364</v>
      </c>
      <c r="S3094" s="413"/>
      <c r="U3094" s="412"/>
      <c r="W3094" s="413"/>
    </row>
    <row r="3095" spans="6:42" ht="24" customHeight="1">
      <c r="H3095" s="412" t="s">
        <v>365</v>
      </c>
      <c r="S3095" s="414"/>
      <c r="U3095" s="412"/>
      <c r="W3095" s="413"/>
    </row>
    <row r="3096" spans="6:42" ht="24" customHeight="1">
      <c r="H3096" s="412" t="s">
        <v>713</v>
      </c>
      <c r="J3096" s="412" t="s">
        <v>790</v>
      </c>
      <c r="K3096" s="439">
        <v>3.7699999999999997E-2</v>
      </c>
      <c r="S3096" s="414"/>
      <c r="U3096" s="412"/>
      <c r="W3096" s="413"/>
    </row>
    <row r="3097" spans="6:42" ht="24" customHeight="1">
      <c r="H3097" s="412" t="s">
        <v>361</v>
      </c>
      <c r="J3097" s="449" t="s">
        <v>790</v>
      </c>
      <c r="K3097" s="449" t="s">
        <v>790</v>
      </c>
      <c r="S3097" s="414"/>
      <c r="U3097" s="412"/>
      <c r="W3097" s="413"/>
    </row>
    <row r="3098" spans="6:42" ht="24" customHeight="1">
      <c r="H3098" s="412" t="s">
        <v>1485</v>
      </c>
      <c r="K3098" s="449" t="s">
        <v>790</v>
      </c>
      <c r="S3098" s="414"/>
      <c r="U3098" s="412"/>
      <c r="W3098" s="413"/>
    </row>
    <row r="3099" spans="6:42" ht="24" customHeight="1">
      <c r="S3099" s="414"/>
      <c r="U3099" s="414" t="s">
        <v>2147</v>
      </c>
      <c r="W3099" s="413"/>
    </row>
    <row r="3100" spans="6:42" ht="24" customHeight="1">
      <c r="F3100" s="450">
        <v>1.18E-2</v>
      </c>
      <c r="G3100" s="414" t="s">
        <v>702</v>
      </c>
      <c r="H3100" s="412" t="s">
        <v>553</v>
      </c>
      <c r="I3100" s="414" t="e">
        <f>I2662</f>
        <v>#REF!</v>
      </c>
      <c r="J3100" s="412" t="s">
        <v>702</v>
      </c>
      <c r="K3100" s="414" t="e">
        <f t="shared" ref="K3100:K3108" si="293">(F3100*I3100)</f>
        <v>#REF!</v>
      </c>
      <c r="S3100" s="414"/>
      <c r="U3100" s="419"/>
      <c r="W3100" s="413"/>
    </row>
    <row r="3101" spans="6:42" ht="24" customHeight="1">
      <c r="F3101" s="450">
        <v>3.7699999999999997E-2</v>
      </c>
      <c r="G3101" s="414" t="s">
        <v>702</v>
      </c>
      <c r="H3101" s="412" t="s">
        <v>554</v>
      </c>
      <c r="I3101" s="414" t="e">
        <f t="shared" ref="I3101:I3108" si="294">I2663</f>
        <v>#REF!</v>
      </c>
      <c r="J3101" s="412" t="s">
        <v>702</v>
      </c>
      <c r="K3101" s="414" t="e">
        <f t="shared" si="293"/>
        <v>#REF!</v>
      </c>
      <c r="S3101" s="414"/>
      <c r="U3101" s="412" t="s">
        <v>2148</v>
      </c>
      <c r="V3101" s="440">
        <f xml:space="preserve"> 3.08*2.1</f>
        <v>6.468</v>
      </c>
      <c r="W3101" s="413" t="s">
        <v>184</v>
      </c>
      <c r="X3101" s="414" t="s">
        <v>184</v>
      </c>
    </row>
    <row r="3102" spans="6:42" ht="24" customHeight="1">
      <c r="F3102" s="450">
        <v>1.8550000000000001E-2</v>
      </c>
      <c r="G3102" s="414" t="s">
        <v>702</v>
      </c>
      <c r="H3102" s="412" t="s">
        <v>717</v>
      </c>
      <c r="I3102" s="414">
        <f t="shared" si="294"/>
        <v>13690</v>
      </c>
      <c r="J3102" s="412" t="s">
        <v>702</v>
      </c>
      <c r="K3102" s="414">
        <f t="shared" si="293"/>
        <v>253.95</v>
      </c>
      <c r="S3102" s="414"/>
      <c r="U3102" s="412" t="s">
        <v>2318</v>
      </c>
      <c r="V3102" s="439">
        <f>4*2.05*0.075*0.0375</f>
        <v>2.3060000000000001E-2</v>
      </c>
      <c r="W3102" s="413" t="s">
        <v>1089</v>
      </c>
      <c r="AE3102" s="417" t="s">
        <v>2200</v>
      </c>
      <c r="AP3102" s="417" t="s">
        <v>2574</v>
      </c>
    </row>
    <row r="3103" spans="6:42" ht="24" customHeight="1">
      <c r="F3103" s="450">
        <v>1.36</v>
      </c>
      <c r="G3103" s="414" t="s">
        <v>488</v>
      </c>
      <c r="H3103" s="412" t="s">
        <v>1001</v>
      </c>
      <c r="I3103" s="414">
        <f>I1055</f>
        <v>387.4</v>
      </c>
      <c r="J3103" s="412" t="s">
        <v>488</v>
      </c>
      <c r="K3103" s="414">
        <f t="shared" si="293"/>
        <v>526.86</v>
      </c>
      <c r="S3103" s="414"/>
      <c r="W3103" s="413" t="s">
        <v>1288</v>
      </c>
      <c r="AE3103" s="414" t="s">
        <v>2017</v>
      </c>
      <c r="AP3103" s="414" t="s">
        <v>2017</v>
      </c>
    </row>
    <row r="3104" spans="6:42" ht="24" customHeight="1">
      <c r="F3104" s="450">
        <v>2.0499999999999998</v>
      </c>
      <c r="G3104" s="414" t="s">
        <v>488</v>
      </c>
      <c r="H3104" s="412" t="s">
        <v>1225</v>
      </c>
      <c r="I3104" s="414">
        <f t="shared" si="294"/>
        <v>1281</v>
      </c>
      <c r="J3104" s="412" t="s">
        <v>488</v>
      </c>
      <c r="K3104" s="414">
        <f t="shared" si="293"/>
        <v>2626.05</v>
      </c>
      <c r="S3104" s="414"/>
      <c r="U3104" s="412" t="s">
        <v>2319</v>
      </c>
      <c r="V3104" s="439">
        <f>2*3*0.55*0.15*0.0375</f>
        <v>1.856E-2</v>
      </c>
      <c r="W3104" s="413" t="s">
        <v>1089</v>
      </c>
      <c r="AE3104" s="414" t="s">
        <v>2201</v>
      </c>
      <c r="AP3104" s="414" t="s">
        <v>2201</v>
      </c>
    </row>
    <row r="3105" spans="6:47" ht="24" customHeight="1">
      <c r="F3105" s="414">
        <v>2</v>
      </c>
      <c r="G3105" s="414" t="s">
        <v>701</v>
      </c>
      <c r="H3105" s="412" t="s">
        <v>3197</v>
      </c>
      <c r="I3105" s="414">
        <v>57</v>
      </c>
      <c r="J3105" s="412" t="s">
        <v>701</v>
      </c>
      <c r="K3105" s="414">
        <f t="shared" si="293"/>
        <v>114</v>
      </c>
      <c r="S3105" s="414"/>
      <c r="U3105" s="412" t="s">
        <v>790</v>
      </c>
      <c r="V3105" s="412" t="s">
        <v>790</v>
      </c>
      <c r="W3105" s="413"/>
      <c r="X3105" s="449" t="s">
        <v>790</v>
      </c>
      <c r="AC3105" s="414">
        <v>0.1</v>
      </c>
      <c r="AD3105" s="414" t="s">
        <v>1166</v>
      </c>
      <c r="AE3105" s="414" t="s">
        <v>524</v>
      </c>
      <c r="AF3105" s="414">
        <f>AE17</f>
        <v>881</v>
      </c>
      <c r="AG3105" s="414" t="s">
        <v>1134</v>
      </c>
      <c r="AH3105" s="414">
        <f>AC3105*AF3105</f>
        <v>88.1</v>
      </c>
      <c r="AM3105" s="414">
        <v>0.1</v>
      </c>
      <c r="AN3105" s="414" t="s">
        <v>1166</v>
      </c>
      <c r="AP3105" s="414" t="s">
        <v>524</v>
      </c>
      <c r="AQ3105" s="414">
        <f>AF3105</f>
        <v>881</v>
      </c>
      <c r="AR3105" s="414" t="s">
        <v>1134</v>
      </c>
      <c r="AS3105" s="414">
        <f>AQ3105*AM3105</f>
        <v>88.1</v>
      </c>
    </row>
    <row r="3106" spans="6:47" ht="24" customHeight="1">
      <c r="F3106" s="414">
        <v>6</v>
      </c>
      <c r="G3106" s="414" t="s">
        <v>701</v>
      </c>
      <c r="H3106" s="412" t="s">
        <v>1091</v>
      </c>
      <c r="I3106" s="414">
        <f t="shared" si="294"/>
        <v>49.35</v>
      </c>
      <c r="J3106" s="412" t="s">
        <v>701</v>
      </c>
      <c r="K3106" s="414">
        <f t="shared" si="293"/>
        <v>296.10000000000002</v>
      </c>
      <c r="S3106" s="414"/>
      <c r="W3106" s="413" t="s">
        <v>790</v>
      </c>
      <c r="X3106" s="412" t="s">
        <v>790</v>
      </c>
      <c r="AC3106" s="414">
        <v>0.1</v>
      </c>
      <c r="AD3106" s="414" t="s">
        <v>2202</v>
      </c>
      <c r="AE3106" s="414" t="s">
        <v>272</v>
      </c>
      <c r="AF3106" s="414">
        <f>AE11</f>
        <v>651</v>
      </c>
      <c r="AG3106" s="414" t="s">
        <v>1134</v>
      </c>
      <c r="AH3106" s="414">
        <f>AC3106*AF3106</f>
        <v>65.099999999999994</v>
      </c>
      <c r="AM3106" s="414">
        <v>0.1</v>
      </c>
      <c r="AN3106" s="414" t="s">
        <v>2202</v>
      </c>
      <c r="AP3106" s="414" t="s">
        <v>272</v>
      </c>
      <c r="AQ3106" s="414">
        <f>AF3106</f>
        <v>651</v>
      </c>
      <c r="AR3106" s="414" t="s">
        <v>1134</v>
      </c>
      <c r="AS3106" s="414">
        <f>AQ3106*AM3106</f>
        <v>65.099999999999994</v>
      </c>
    </row>
    <row r="3107" spans="6:47" ht="24" customHeight="1">
      <c r="F3107" s="414">
        <v>2</v>
      </c>
      <c r="G3107" s="414" t="s">
        <v>701</v>
      </c>
      <c r="H3107" s="412" t="s">
        <v>1126</v>
      </c>
      <c r="I3107" s="414">
        <f t="shared" si="294"/>
        <v>60.9</v>
      </c>
      <c r="J3107" s="412" t="s">
        <v>701</v>
      </c>
      <c r="K3107" s="414">
        <f t="shared" si="293"/>
        <v>121.8</v>
      </c>
      <c r="S3107" s="414"/>
      <c r="U3107" s="412" t="s">
        <v>1890</v>
      </c>
      <c r="V3107" s="414">
        <f>2*0.625*0.425</f>
        <v>0.53</v>
      </c>
      <c r="W3107" s="488" t="s">
        <v>790</v>
      </c>
      <c r="X3107" s="449" t="s">
        <v>790</v>
      </c>
      <c r="AC3107" s="414">
        <v>10</v>
      </c>
      <c r="AD3107" s="414" t="s">
        <v>2203</v>
      </c>
      <c r="AE3107" s="414" t="s">
        <v>3022</v>
      </c>
      <c r="AF3107" s="414">
        <v>18.45</v>
      </c>
      <c r="AG3107" s="414" t="s">
        <v>2204</v>
      </c>
      <c r="AH3107" s="414">
        <f>(AC3107*AF3107)/100</f>
        <v>1.85</v>
      </c>
      <c r="AM3107" s="414">
        <v>10</v>
      </c>
      <c r="AN3107" s="414" t="s">
        <v>2203</v>
      </c>
      <c r="AP3107" s="414" t="s">
        <v>2636</v>
      </c>
      <c r="AQ3107" s="414">
        <f>AF3107</f>
        <v>18.45</v>
      </c>
      <c r="AR3107" s="414" t="s">
        <v>2204</v>
      </c>
      <c r="AS3107" s="414">
        <f>(AQ3107*AM3107)/100</f>
        <v>1.85</v>
      </c>
    </row>
    <row r="3108" spans="6:47" ht="24" customHeight="1">
      <c r="F3108" s="414">
        <v>1</v>
      </c>
      <c r="G3108" s="414" t="s">
        <v>701</v>
      </c>
      <c r="H3108" s="412" t="s">
        <v>1152</v>
      </c>
      <c r="I3108" s="414">
        <f t="shared" si="294"/>
        <v>63.2</v>
      </c>
      <c r="J3108" s="412" t="s">
        <v>701</v>
      </c>
      <c r="K3108" s="414">
        <f t="shared" si="293"/>
        <v>63.2</v>
      </c>
      <c r="S3108" s="414"/>
      <c r="U3108" s="412" t="s">
        <v>1891</v>
      </c>
      <c r="V3108" s="414">
        <f>2*0.425*1.025</f>
        <v>0.87</v>
      </c>
      <c r="W3108" s="413"/>
      <c r="X3108" s="449">
        <v>1.26</v>
      </c>
      <c r="AC3108" s="414">
        <v>0.25</v>
      </c>
      <c r="AD3108" s="414" t="s">
        <v>1166</v>
      </c>
      <c r="AE3108" s="414" t="s">
        <v>3023</v>
      </c>
      <c r="AF3108" s="414">
        <v>3.6</v>
      </c>
      <c r="AG3108" s="414" t="s">
        <v>1134</v>
      </c>
      <c r="AH3108" s="414">
        <v>1</v>
      </c>
      <c r="AM3108" s="414">
        <v>0.25</v>
      </c>
      <c r="AN3108" s="414" t="s">
        <v>1166</v>
      </c>
      <c r="AP3108" s="414" t="s">
        <v>2637</v>
      </c>
      <c r="AQ3108" s="414">
        <f>AF3108</f>
        <v>3.6</v>
      </c>
      <c r="AR3108" s="414" t="s">
        <v>1134</v>
      </c>
      <c r="AS3108" s="414">
        <f>AQ3108*AM3108</f>
        <v>0.9</v>
      </c>
      <c r="AU3108" s="414">
        <f>3.09/0.25</f>
        <v>12.36</v>
      </c>
    </row>
    <row r="3109" spans="6:47" ht="24" customHeight="1">
      <c r="F3109" s="414">
        <v>6.55</v>
      </c>
      <c r="G3109" s="414" t="s">
        <v>488</v>
      </c>
      <c r="H3109" s="412" t="s">
        <v>1092</v>
      </c>
      <c r="I3109" s="414">
        <f>K1540</f>
        <v>233.74</v>
      </c>
      <c r="J3109" s="412" t="s">
        <v>488</v>
      </c>
      <c r="K3109" s="414">
        <f>(F3109*I3109)</f>
        <v>1531</v>
      </c>
      <c r="S3109" s="414"/>
      <c r="V3109" s="417">
        <f>SUM(V3107:V3108)</f>
        <v>1.4</v>
      </c>
      <c r="W3109" s="413" t="s">
        <v>184</v>
      </c>
      <c r="X3109" s="412" t="s">
        <v>790</v>
      </c>
      <c r="AF3109" s="414" t="s">
        <v>2205</v>
      </c>
      <c r="AH3109" s="414">
        <f>SUM(AH3105:AH3108)</f>
        <v>156.05000000000001</v>
      </c>
      <c r="AQ3109" s="414" t="s">
        <v>2205</v>
      </c>
      <c r="AS3109" s="414">
        <f>SUM(AS3105:AS3108)</f>
        <v>155.94999999999999</v>
      </c>
    </row>
    <row r="3110" spans="6:47" ht="24" customHeight="1">
      <c r="F3110" s="414">
        <v>50</v>
      </c>
      <c r="G3110" s="414" t="s">
        <v>1166</v>
      </c>
      <c r="H3110" s="412" t="s">
        <v>1083</v>
      </c>
      <c r="I3110" s="423">
        <f>I961</f>
        <v>2.41</v>
      </c>
      <c r="K3110" s="414">
        <f>(F3110*I3110)</f>
        <v>120.5</v>
      </c>
      <c r="S3110" s="414"/>
      <c r="W3110" s="413"/>
      <c r="X3110" s="449" t="s">
        <v>790</v>
      </c>
    </row>
    <row r="3111" spans="6:47" ht="24" customHeight="1">
      <c r="H3111" s="417"/>
      <c r="I3111" s="417"/>
      <c r="J3111" s="415"/>
      <c r="K3111" s="436" t="s">
        <v>1288</v>
      </c>
      <c r="S3111" s="414"/>
      <c r="W3111" s="413"/>
      <c r="X3111" s="412" t="s">
        <v>790</v>
      </c>
      <c r="AE3111" s="414" t="s">
        <v>372</v>
      </c>
      <c r="AF3111" s="414" t="s">
        <v>2206</v>
      </c>
      <c r="AG3111" s="414" t="s">
        <v>2206</v>
      </c>
      <c r="AH3111" s="414" t="s">
        <v>2207</v>
      </c>
      <c r="AP3111" s="414" t="s">
        <v>372</v>
      </c>
      <c r="AQ3111" s="417" t="s">
        <v>2206</v>
      </c>
      <c r="AR3111" s="417" t="s">
        <v>2207</v>
      </c>
    </row>
    <row r="3112" spans="6:47" ht="26.25" customHeight="1">
      <c r="H3112" s="420" t="s">
        <v>1150</v>
      </c>
      <c r="I3112" s="417"/>
      <c r="J3112" s="415"/>
      <c r="K3112" s="417" t="e">
        <f>SUM(K3100:K3110)</f>
        <v>#REF!</v>
      </c>
      <c r="S3112" s="413" t="s">
        <v>1200</v>
      </c>
      <c r="U3112" s="415" t="s">
        <v>2154</v>
      </c>
      <c r="W3112" s="413"/>
      <c r="X3112" s="412" t="s">
        <v>790</v>
      </c>
      <c r="AF3112" s="414">
        <v>331</v>
      </c>
      <c r="AG3112" s="414">
        <v>331</v>
      </c>
      <c r="AH3112" s="414">
        <v>283</v>
      </c>
    </row>
    <row r="3113" spans="6:47" ht="24" customHeight="1">
      <c r="G3113" s="414" t="s">
        <v>790</v>
      </c>
      <c r="H3113" s="417"/>
      <c r="I3113" s="417"/>
      <c r="J3113" s="415"/>
      <c r="K3113" s="436" t="s">
        <v>1288</v>
      </c>
      <c r="S3113" s="414"/>
      <c r="U3113" s="418" t="s">
        <v>1288</v>
      </c>
      <c r="W3113" s="413"/>
      <c r="AE3113" s="414" t="s">
        <v>2208</v>
      </c>
      <c r="AF3113" s="414">
        <f>AH3109</f>
        <v>156.05000000000001</v>
      </c>
      <c r="AG3113" s="414">
        <f>AH3109</f>
        <v>156.05000000000001</v>
      </c>
      <c r="AH3113" s="414">
        <f>AH3109</f>
        <v>156.05000000000001</v>
      </c>
      <c r="AP3113" s="414" t="s">
        <v>2208</v>
      </c>
      <c r="AQ3113" s="417">
        <v>96</v>
      </c>
      <c r="AR3113" s="417">
        <v>85</v>
      </c>
      <c r="AS3113" s="417">
        <v>85</v>
      </c>
    </row>
    <row r="3114" spans="6:47" ht="24" customHeight="1">
      <c r="H3114" s="420" t="s">
        <v>447</v>
      </c>
      <c r="I3114" s="417"/>
      <c r="J3114" s="415"/>
      <c r="K3114" s="417" t="e">
        <f>K3112/2.52</f>
        <v>#REF!</v>
      </c>
      <c r="S3114" s="439">
        <v>7.0699999999999999E-2</v>
      </c>
      <c r="T3114" s="414" t="s">
        <v>702</v>
      </c>
      <c r="U3114" s="412" t="s">
        <v>2149</v>
      </c>
      <c r="V3114" s="414" t="e">
        <f>P3154</f>
        <v>#REF!</v>
      </c>
      <c r="W3114" s="413" t="s">
        <v>702</v>
      </c>
      <c r="X3114" s="414" t="e">
        <f>V3114*S3114</f>
        <v>#REF!</v>
      </c>
      <c r="AE3114" s="414" t="s">
        <v>1479</v>
      </c>
      <c r="AF3114" s="414">
        <f>SUM(AF3112:AF3113)</f>
        <v>487.05</v>
      </c>
      <c r="AG3114" s="414">
        <f>SUM(AG3112:AG3113)</f>
        <v>487.05</v>
      </c>
      <c r="AH3114" s="414">
        <f>SUM(AH3112:AH3113)</f>
        <v>439.05</v>
      </c>
      <c r="AP3114" s="414" t="s">
        <v>1479</v>
      </c>
      <c r="AQ3114" s="414">
        <f>AS3109</f>
        <v>155.94999999999999</v>
      </c>
      <c r="AR3114" s="414">
        <f>AS3109</f>
        <v>155.94999999999999</v>
      </c>
    </row>
    <row r="3115" spans="6:47" ht="21" customHeight="1">
      <c r="H3115" s="417"/>
      <c r="I3115" s="417"/>
      <c r="J3115" s="415"/>
      <c r="K3115" s="436" t="s">
        <v>1676</v>
      </c>
      <c r="S3115" s="439">
        <v>3.6659999999999999</v>
      </c>
      <c r="T3115" s="414" t="s">
        <v>488</v>
      </c>
      <c r="U3115" s="412" t="s">
        <v>2150</v>
      </c>
      <c r="V3115" s="414">
        <f>I1176</f>
        <v>306.89999999999998</v>
      </c>
      <c r="W3115" s="413" t="s">
        <v>702</v>
      </c>
      <c r="X3115" s="414">
        <f t="shared" ref="X3115:X3122" si="295">V3115*S3115</f>
        <v>1125.0999999999999</v>
      </c>
      <c r="AF3115" s="414">
        <f>ROUNDUP(AF3114,0)</f>
        <v>488</v>
      </c>
      <c r="AG3115" s="414">
        <f>ROUNDUP(AG3114,0)</f>
        <v>488</v>
      </c>
      <c r="AH3115" s="414">
        <f>ROUNDUP(AH3114,0)</f>
        <v>440</v>
      </c>
      <c r="AQ3115" s="417">
        <f>SUM(AQ3112:AQ3114)</f>
        <v>251.95</v>
      </c>
      <c r="AR3115" s="417">
        <f>SUM(AR3112:AR3114)</f>
        <v>240.95</v>
      </c>
    </row>
    <row r="3116" spans="6:47" ht="23.25" customHeight="1">
      <c r="S3116" s="440">
        <v>5.16</v>
      </c>
      <c r="T3116" s="414" t="s">
        <v>488</v>
      </c>
      <c r="U3116" s="412" t="s">
        <v>1701</v>
      </c>
      <c r="V3116" s="414">
        <f>AE32</f>
        <v>1436</v>
      </c>
      <c r="W3116" s="413" t="s">
        <v>488</v>
      </c>
      <c r="X3116" s="414">
        <f t="shared" si="295"/>
        <v>7409.76</v>
      </c>
      <c r="AQ3116" s="414">
        <f>ROUNDUP(AQ3115,0)</f>
        <v>252</v>
      </c>
      <c r="AR3116" s="414">
        <f>ROUNDUP(AR3115,0)</f>
        <v>241</v>
      </c>
    </row>
    <row r="3117" spans="6:47" ht="39" hidden="1" customHeight="1">
      <c r="S3117" s="440">
        <v>22.66</v>
      </c>
      <c r="T3117" s="414" t="s">
        <v>2155</v>
      </c>
      <c r="U3117" s="412" t="s">
        <v>2151</v>
      </c>
      <c r="V3117" s="414">
        <v>15.45</v>
      </c>
      <c r="W3117" s="413" t="s">
        <v>2895</v>
      </c>
      <c r="X3117" s="414">
        <f t="shared" si="295"/>
        <v>350.1</v>
      </c>
    </row>
    <row r="3118" spans="6:47" ht="24" customHeight="1">
      <c r="H3118" s="417" t="s">
        <v>1002</v>
      </c>
      <c r="O3118" s="417" t="s">
        <v>2236</v>
      </c>
      <c r="Q3118" s="412"/>
      <c r="S3118" s="414">
        <v>15</v>
      </c>
      <c r="T3118" s="414" t="s">
        <v>701</v>
      </c>
      <c r="U3118" s="412" t="s">
        <v>1234</v>
      </c>
      <c r="V3118" s="414">
        <f>C279</f>
        <v>89.6</v>
      </c>
      <c r="W3118" s="413" t="s">
        <v>701</v>
      </c>
      <c r="X3118" s="414">
        <f t="shared" si="295"/>
        <v>1344</v>
      </c>
    </row>
    <row r="3119" spans="6:47" ht="24" customHeight="1">
      <c r="F3119" s="414">
        <v>1</v>
      </c>
      <c r="H3119" s="414" t="s">
        <v>362</v>
      </c>
      <c r="I3119" s="414">
        <v>143.97999999999999</v>
      </c>
      <c r="J3119" s="412" t="s">
        <v>1134</v>
      </c>
      <c r="K3119" s="414">
        <f>I3119</f>
        <v>143.97999999999999</v>
      </c>
      <c r="M3119" s="414">
        <v>1</v>
      </c>
      <c r="O3119" s="414" t="s">
        <v>2858</v>
      </c>
      <c r="P3119" s="414">
        <v>17.2</v>
      </c>
      <c r="Q3119" s="412" t="s">
        <v>1134</v>
      </c>
      <c r="R3119" s="414">
        <f>P3119</f>
        <v>17.2</v>
      </c>
      <c r="S3119" s="414">
        <v>10</v>
      </c>
      <c r="T3119" s="414" t="s">
        <v>701</v>
      </c>
      <c r="U3119" s="412" t="s">
        <v>2152</v>
      </c>
      <c r="V3119" s="414">
        <v>82.25</v>
      </c>
      <c r="W3119" s="413" t="s">
        <v>701</v>
      </c>
      <c r="X3119" s="414">
        <f t="shared" si="295"/>
        <v>822.5</v>
      </c>
    </row>
    <row r="3120" spans="6:47" ht="24" customHeight="1">
      <c r="F3120" s="414">
        <v>1</v>
      </c>
      <c r="H3120" s="414" t="s">
        <v>1003</v>
      </c>
      <c r="I3120" s="414">
        <v>49.2</v>
      </c>
      <c r="J3120" s="412" t="s">
        <v>1134</v>
      </c>
      <c r="K3120" s="414">
        <f>I3120</f>
        <v>49.2</v>
      </c>
      <c r="M3120" s="414">
        <v>1</v>
      </c>
      <c r="O3120" s="414" t="s">
        <v>2857</v>
      </c>
      <c r="P3120" s="414">
        <v>8.5</v>
      </c>
      <c r="Q3120" s="412" t="s">
        <v>1134</v>
      </c>
      <c r="R3120" s="414">
        <f>P3120</f>
        <v>8.5</v>
      </c>
      <c r="S3120" s="414">
        <v>5</v>
      </c>
      <c r="T3120" s="414" t="s">
        <v>701</v>
      </c>
      <c r="U3120" s="412" t="s">
        <v>2153</v>
      </c>
      <c r="V3120" s="414">
        <f>P3161</f>
        <v>57.65</v>
      </c>
      <c r="W3120" s="413" t="s">
        <v>701</v>
      </c>
      <c r="X3120" s="414">
        <f t="shared" si="295"/>
        <v>288.25</v>
      </c>
    </row>
    <row r="3121" spans="6:24" ht="24" customHeight="1">
      <c r="F3121" s="416">
        <v>0.125</v>
      </c>
      <c r="H3121" s="414" t="s">
        <v>1004</v>
      </c>
      <c r="I3121" s="414">
        <f>C15</f>
        <v>866</v>
      </c>
      <c r="J3121" s="412" t="s">
        <v>1134</v>
      </c>
      <c r="K3121" s="414">
        <f>F3121*I3121</f>
        <v>108.25</v>
      </c>
      <c r="M3121" s="416">
        <v>0.125</v>
      </c>
      <c r="O3121" s="414" t="s">
        <v>1004</v>
      </c>
      <c r="P3121" s="414">
        <f>I3121</f>
        <v>866</v>
      </c>
      <c r="Q3121" s="412" t="s">
        <v>1134</v>
      </c>
      <c r="R3121" s="414">
        <f>M3121*P3121</f>
        <v>108.25</v>
      </c>
      <c r="S3121" s="414">
        <v>5</v>
      </c>
      <c r="T3121" s="414" t="s">
        <v>701</v>
      </c>
      <c r="U3121" s="412" t="s">
        <v>1612</v>
      </c>
      <c r="V3121" s="414">
        <f>P3160</f>
        <v>7.3</v>
      </c>
      <c r="W3121" s="413" t="s">
        <v>701</v>
      </c>
      <c r="X3121" s="414">
        <f t="shared" si="295"/>
        <v>36.5</v>
      </c>
    </row>
    <row r="3122" spans="6:24" ht="24" customHeight="1">
      <c r="F3122" s="416"/>
      <c r="H3122" s="414" t="s">
        <v>1850</v>
      </c>
      <c r="K3122" s="414">
        <v>2.11</v>
      </c>
      <c r="M3122" s="416"/>
      <c r="O3122" s="414" t="s">
        <v>1850</v>
      </c>
      <c r="Q3122" s="412"/>
      <c r="R3122" s="414">
        <v>4.37</v>
      </c>
      <c r="S3122" s="414">
        <v>10</v>
      </c>
      <c r="T3122" s="414" t="s">
        <v>701</v>
      </c>
      <c r="U3122" s="412" t="s">
        <v>1084</v>
      </c>
      <c r="V3122" s="414">
        <f>I3110</f>
        <v>2.41</v>
      </c>
      <c r="W3122" s="413" t="s">
        <v>701</v>
      </c>
      <c r="X3122" s="414">
        <f t="shared" si="295"/>
        <v>24.1</v>
      </c>
    </row>
    <row r="3123" spans="6:24" ht="24" customHeight="1">
      <c r="H3123" s="419" t="s">
        <v>415</v>
      </c>
      <c r="I3123" s="417"/>
      <c r="J3123" s="415"/>
      <c r="K3123" s="417">
        <f>SUM(K3119:K3122)</f>
        <v>303.54000000000002</v>
      </c>
      <c r="O3123" s="414" t="s">
        <v>1850</v>
      </c>
      <c r="P3123" s="417"/>
      <c r="Q3123" s="415"/>
      <c r="R3123" s="417">
        <f>SUM(R3119:R3122)</f>
        <v>138.32</v>
      </c>
      <c r="S3123" s="414"/>
      <c r="T3123" s="414">
        <f>R3123-90</f>
        <v>48.32</v>
      </c>
      <c r="U3123" s="412"/>
      <c r="W3123" s="413" t="s">
        <v>701</v>
      </c>
      <c r="X3123" s="418" t="s">
        <v>1288</v>
      </c>
    </row>
    <row r="3124" spans="6:24" ht="24" customHeight="1">
      <c r="R3124" s="414">
        <f>R3123-87</f>
        <v>51.32</v>
      </c>
      <c r="S3124" s="414"/>
      <c r="U3124" s="413" t="s">
        <v>2156</v>
      </c>
      <c r="W3124" s="413"/>
      <c r="X3124" s="414" t="e">
        <f>SUM(X3114:X3122)</f>
        <v>#REF!</v>
      </c>
    </row>
    <row r="3125" spans="6:24" ht="24" hidden="1" customHeight="1">
      <c r="S3125" s="414"/>
      <c r="W3125" s="413"/>
      <c r="X3125" s="418" t="s">
        <v>1288</v>
      </c>
    </row>
    <row r="3126" spans="6:24" ht="24" customHeight="1">
      <c r="F3126" s="413" t="s">
        <v>371</v>
      </c>
      <c r="G3126" s="414" t="s">
        <v>1833</v>
      </c>
      <c r="H3126" s="412" t="s">
        <v>1772</v>
      </c>
      <c r="S3126" s="414"/>
      <c r="T3126" s="414" t="s">
        <v>790</v>
      </c>
      <c r="U3126" s="420" t="s">
        <v>447</v>
      </c>
      <c r="W3126" s="413"/>
      <c r="X3126" s="417" t="e">
        <f>X3124/S3116</f>
        <v>#REF!</v>
      </c>
    </row>
    <row r="3127" spans="6:24" ht="24" customHeight="1">
      <c r="H3127" s="412" t="s">
        <v>1774</v>
      </c>
      <c r="S3127" s="414"/>
      <c r="W3127" s="413"/>
      <c r="X3127" s="418" t="s">
        <v>1676</v>
      </c>
    </row>
    <row r="3128" spans="6:24" ht="24" customHeight="1">
      <c r="H3128" s="412" t="s">
        <v>1775</v>
      </c>
      <c r="S3128" s="414"/>
      <c r="W3128" s="413"/>
    </row>
    <row r="3129" spans="6:24" ht="24" customHeight="1">
      <c r="H3129" s="412" t="s">
        <v>1776</v>
      </c>
      <c r="S3129" s="413"/>
      <c r="U3129" s="412" t="s">
        <v>2157</v>
      </c>
      <c r="W3129" s="413"/>
      <c r="X3129" s="412" t="s">
        <v>790</v>
      </c>
    </row>
    <row r="3130" spans="6:24" ht="24" customHeight="1">
      <c r="H3130" s="412" t="s">
        <v>1777</v>
      </c>
      <c r="S3130" s="414"/>
      <c r="U3130" s="418" t="s">
        <v>1288</v>
      </c>
      <c r="W3130" s="413"/>
    </row>
    <row r="3131" spans="6:24" ht="24" customHeight="1">
      <c r="H3131" s="412" t="s">
        <v>1778</v>
      </c>
      <c r="S3131" s="439">
        <v>2.7400000000000001E-2</v>
      </c>
      <c r="T3131" s="414" t="s">
        <v>702</v>
      </c>
      <c r="U3131" s="412" t="s">
        <v>2149</v>
      </c>
      <c r="V3131" s="414" t="e">
        <f>V3114</f>
        <v>#REF!</v>
      </c>
      <c r="W3131" s="413" t="s">
        <v>702</v>
      </c>
      <c r="X3131" s="414" t="e">
        <f>V3131*S3131</f>
        <v>#REF!</v>
      </c>
    </row>
    <row r="3132" spans="6:24" ht="24" customHeight="1">
      <c r="H3132" s="418" t="s">
        <v>1288</v>
      </c>
      <c r="S3132" s="439">
        <v>1.1599999999999999</v>
      </c>
      <c r="T3132" s="414" t="s">
        <v>488</v>
      </c>
      <c r="U3132" s="412" t="s">
        <v>2150</v>
      </c>
      <c r="V3132" s="414">
        <f t="shared" ref="V3132:V3139" si="296">V3115</f>
        <v>306.89999999999998</v>
      </c>
      <c r="W3132" s="413" t="s">
        <v>702</v>
      </c>
      <c r="X3132" s="414">
        <f t="shared" ref="X3132:X3139" si="297">V3132*S3132</f>
        <v>356</v>
      </c>
    </row>
    <row r="3133" spans="6:24" ht="24" customHeight="1">
      <c r="H3133" s="412" t="s">
        <v>1461</v>
      </c>
      <c r="M3133" s="413" t="s">
        <v>371</v>
      </c>
      <c r="N3133" s="414" t="s">
        <v>1833</v>
      </c>
      <c r="O3133" s="412" t="s">
        <v>1772</v>
      </c>
      <c r="Q3133" s="412"/>
      <c r="S3133" s="440">
        <v>1.74</v>
      </c>
      <c r="T3133" s="414" t="s">
        <v>488</v>
      </c>
      <c r="U3133" s="412" t="s">
        <v>1701</v>
      </c>
      <c r="V3133" s="414">
        <f t="shared" si="296"/>
        <v>1436</v>
      </c>
      <c r="W3133" s="413" t="s">
        <v>488</v>
      </c>
      <c r="X3133" s="414">
        <f t="shared" si="297"/>
        <v>2498.64</v>
      </c>
    </row>
    <row r="3134" spans="6:24" ht="24" customHeight="1">
      <c r="H3134" s="412" t="s">
        <v>1779</v>
      </c>
      <c r="O3134" s="412" t="s">
        <v>1774</v>
      </c>
      <c r="Q3134" s="412"/>
      <c r="S3134" s="440">
        <v>8.74</v>
      </c>
      <c r="T3134" s="414" t="s">
        <v>2155</v>
      </c>
      <c r="U3134" s="412" t="s">
        <v>2151</v>
      </c>
      <c r="V3134" s="414">
        <f t="shared" si="296"/>
        <v>15.45</v>
      </c>
      <c r="W3134" s="413" t="s">
        <v>488</v>
      </c>
      <c r="X3134" s="414">
        <f t="shared" si="297"/>
        <v>135.03</v>
      </c>
    </row>
    <row r="3135" spans="6:24" ht="24" customHeight="1">
      <c r="J3135" s="412" t="s">
        <v>1288</v>
      </c>
      <c r="O3135" s="412" t="s">
        <v>1775</v>
      </c>
      <c r="Q3135" s="412"/>
      <c r="S3135" s="414">
        <v>6</v>
      </c>
      <c r="T3135" s="414" t="s">
        <v>701</v>
      </c>
      <c r="U3135" s="412" t="s">
        <v>1234</v>
      </c>
      <c r="V3135" s="414">
        <f t="shared" si="296"/>
        <v>89.6</v>
      </c>
      <c r="W3135" s="413" t="s">
        <v>701</v>
      </c>
      <c r="X3135" s="414">
        <f t="shared" si="297"/>
        <v>537.6</v>
      </c>
    </row>
    <row r="3136" spans="6:24" ht="24" customHeight="1">
      <c r="H3136" s="412" t="s">
        <v>1023</v>
      </c>
      <c r="O3136" s="412" t="s">
        <v>1776</v>
      </c>
      <c r="Q3136" s="412"/>
      <c r="S3136" s="414">
        <v>4</v>
      </c>
      <c r="T3136" s="414" t="s">
        <v>701</v>
      </c>
      <c r="U3136" s="412" t="s">
        <v>2152</v>
      </c>
      <c r="V3136" s="414">
        <f t="shared" si="296"/>
        <v>82.25</v>
      </c>
      <c r="W3136" s="413" t="s">
        <v>701</v>
      </c>
      <c r="X3136" s="414">
        <f t="shared" si="297"/>
        <v>329</v>
      </c>
    </row>
    <row r="3137" spans="6:24" ht="24" customHeight="1">
      <c r="H3137" s="412" t="s">
        <v>790</v>
      </c>
      <c r="I3137" s="412" t="s">
        <v>790</v>
      </c>
      <c r="K3137" s="449" t="s">
        <v>790</v>
      </c>
      <c r="O3137" s="412" t="s">
        <v>1777</v>
      </c>
      <c r="Q3137" s="412"/>
      <c r="S3137" s="414">
        <v>2</v>
      </c>
      <c r="T3137" s="414" t="s">
        <v>701</v>
      </c>
      <c r="U3137" s="412" t="s">
        <v>2153</v>
      </c>
      <c r="V3137" s="414">
        <f t="shared" si="296"/>
        <v>57.65</v>
      </c>
      <c r="W3137" s="413" t="s">
        <v>701</v>
      </c>
      <c r="X3137" s="414">
        <f t="shared" si="297"/>
        <v>115.3</v>
      </c>
    </row>
    <row r="3138" spans="6:24" ht="24" hidden="1" customHeight="1">
      <c r="J3138" s="412" t="s">
        <v>790</v>
      </c>
      <c r="K3138" s="412" t="s">
        <v>790</v>
      </c>
      <c r="O3138" s="412" t="s">
        <v>1778</v>
      </c>
      <c r="Q3138" s="412"/>
      <c r="S3138" s="414">
        <v>2</v>
      </c>
      <c r="T3138" s="414" t="s">
        <v>701</v>
      </c>
      <c r="U3138" s="412" t="s">
        <v>1612</v>
      </c>
      <c r="V3138" s="414">
        <f t="shared" si="296"/>
        <v>7.3</v>
      </c>
      <c r="W3138" s="413" t="s">
        <v>701</v>
      </c>
      <c r="X3138" s="414">
        <f t="shared" si="297"/>
        <v>14.6</v>
      </c>
    </row>
    <row r="3139" spans="6:24" ht="24" customHeight="1">
      <c r="H3139" s="412" t="s">
        <v>1991</v>
      </c>
      <c r="J3139" s="449" t="s">
        <v>790</v>
      </c>
      <c r="K3139" s="449" t="s">
        <v>790</v>
      </c>
      <c r="O3139" s="419" t="s">
        <v>1888</v>
      </c>
      <c r="Q3139" s="412"/>
      <c r="S3139" s="414">
        <v>10</v>
      </c>
      <c r="T3139" s="414" t="s">
        <v>701</v>
      </c>
      <c r="U3139" s="412" t="s">
        <v>1084</v>
      </c>
      <c r="V3139" s="414">
        <f t="shared" si="296"/>
        <v>2.41</v>
      </c>
      <c r="W3139" s="413" t="s">
        <v>701</v>
      </c>
      <c r="X3139" s="414">
        <f t="shared" si="297"/>
        <v>24.1</v>
      </c>
    </row>
    <row r="3140" spans="6:24" ht="24" customHeight="1">
      <c r="H3140" s="412" t="s">
        <v>1992</v>
      </c>
      <c r="K3140" s="449">
        <v>1.26</v>
      </c>
      <c r="O3140" s="412" t="s">
        <v>1889</v>
      </c>
      <c r="P3140" s="440">
        <f>1.1*2.05</f>
        <v>2.2549999999999999</v>
      </c>
      <c r="Q3140" s="412" t="s">
        <v>184</v>
      </c>
      <c r="S3140" s="414"/>
      <c r="U3140" s="412"/>
      <c r="W3140" s="413" t="s">
        <v>701</v>
      </c>
      <c r="X3140" s="418" t="s">
        <v>1288</v>
      </c>
    </row>
    <row r="3141" spans="6:24" ht="24" customHeight="1">
      <c r="K3141" s="412" t="s">
        <v>790</v>
      </c>
      <c r="O3141" s="412" t="s">
        <v>2300</v>
      </c>
      <c r="P3141" s="439">
        <f>2*2.05*0.075*0.0375</f>
        <v>1.153E-2</v>
      </c>
      <c r="Q3141" s="412" t="s">
        <v>1089</v>
      </c>
      <c r="S3141" s="414"/>
      <c r="U3141" s="413" t="s">
        <v>2158</v>
      </c>
      <c r="W3141" s="413"/>
      <c r="X3141" s="414" t="e">
        <f>SUM(X3131:X3139)</f>
        <v>#REF!</v>
      </c>
    </row>
    <row r="3142" spans="6:24" ht="24" hidden="1" customHeight="1">
      <c r="K3142" s="449" t="s">
        <v>790</v>
      </c>
      <c r="Q3142" s="412" t="s">
        <v>1288</v>
      </c>
      <c r="S3142" s="414"/>
      <c r="W3142" s="413"/>
      <c r="X3142" s="418" t="s">
        <v>1288</v>
      </c>
    </row>
    <row r="3143" spans="6:24" ht="24" hidden="1" customHeight="1">
      <c r="K3143" s="412" t="s">
        <v>790</v>
      </c>
      <c r="O3143" s="412" t="s">
        <v>2301</v>
      </c>
      <c r="P3143" s="439">
        <f>1*3*1.1*0.15*0.0375</f>
        <v>1.856E-2</v>
      </c>
      <c r="Q3143" s="412" t="s">
        <v>1089</v>
      </c>
      <c r="S3143" s="414"/>
      <c r="T3143" s="414" t="s">
        <v>790</v>
      </c>
      <c r="U3143" s="420" t="s">
        <v>447</v>
      </c>
      <c r="W3143" s="413"/>
      <c r="X3143" s="417" t="e">
        <f>X3141/S3133</f>
        <v>#REF!</v>
      </c>
    </row>
    <row r="3144" spans="6:24" ht="24" customHeight="1">
      <c r="F3144" s="413" t="s">
        <v>1200</v>
      </c>
      <c r="H3144" s="412" t="s">
        <v>1471</v>
      </c>
      <c r="K3144" s="412" t="s">
        <v>790</v>
      </c>
      <c r="O3144" s="412" t="s">
        <v>790</v>
      </c>
      <c r="P3144" s="412" t="s">
        <v>790</v>
      </c>
      <c r="Q3144" s="412"/>
      <c r="R3144" s="449" t="s">
        <v>790</v>
      </c>
      <c r="S3144" s="414"/>
      <c r="W3144" s="413"/>
      <c r="X3144" s="418" t="s">
        <v>1676</v>
      </c>
    </row>
    <row r="3145" spans="6:24" ht="24" customHeight="1">
      <c r="H3145" s="418" t="s">
        <v>1288</v>
      </c>
      <c r="Q3145" s="412" t="s">
        <v>790</v>
      </c>
      <c r="R3145" s="412" t="s">
        <v>790</v>
      </c>
      <c r="W3145" s="413"/>
    </row>
    <row r="3146" spans="6:24" ht="24" customHeight="1">
      <c r="F3146" s="439">
        <v>1.153E-2</v>
      </c>
      <c r="G3146" s="414" t="s">
        <v>702</v>
      </c>
      <c r="H3146" s="412" t="s">
        <v>553</v>
      </c>
      <c r="I3146" s="414" t="e">
        <f>AC26</f>
        <v>#REF!</v>
      </c>
      <c r="J3146" s="412" t="s">
        <v>702</v>
      </c>
      <c r="K3146" s="414" t="e">
        <f>I3146*F3146</f>
        <v>#REF!</v>
      </c>
      <c r="O3146" s="412" t="s">
        <v>2302</v>
      </c>
      <c r="P3146" s="414">
        <f>1*0.625*0.975</f>
        <v>0.61</v>
      </c>
      <c r="Q3146" s="449" t="s">
        <v>790</v>
      </c>
      <c r="R3146" s="449" t="s">
        <v>790</v>
      </c>
      <c r="W3146" s="413"/>
    </row>
    <row r="3147" spans="6:24" ht="24" customHeight="1">
      <c r="F3147" s="440">
        <v>1.52E-2</v>
      </c>
      <c r="G3147" s="414" t="s">
        <v>702</v>
      </c>
      <c r="H3147" s="412" t="s">
        <v>554</v>
      </c>
      <c r="I3147" s="414" t="e">
        <f>AC27</f>
        <v>#REF!</v>
      </c>
      <c r="J3147" s="412" t="s">
        <v>702</v>
      </c>
      <c r="K3147" s="414" t="e">
        <f t="shared" ref="K3147:K3155" si="298">I3147*F3147</f>
        <v>#REF!</v>
      </c>
      <c r="O3147" s="412" t="s">
        <v>1891</v>
      </c>
      <c r="P3147" s="414">
        <f>1*0.975*1.025</f>
        <v>1</v>
      </c>
      <c r="Q3147" s="412"/>
      <c r="R3147" s="449">
        <v>1.26</v>
      </c>
      <c r="U3147" s="415" t="s">
        <v>2626</v>
      </c>
      <c r="W3147" s="413"/>
    </row>
    <row r="3148" spans="6:24" ht="24" customHeight="1">
      <c r="F3148" s="440">
        <f>K3140</f>
        <v>1.26</v>
      </c>
      <c r="G3148" s="414" t="s">
        <v>488</v>
      </c>
      <c r="H3148" s="412" t="s">
        <v>1700</v>
      </c>
      <c r="I3148" s="414">
        <f>C783</f>
        <v>387.4</v>
      </c>
      <c r="J3148" s="412" t="s">
        <v>488</v>
      </c>
      <c r="K3148" s="414">
        <f t="shared" si="298"/>
        <v>488.12</v>
      </c>
      <c r="P3148" s="417">
        <f>SUM(P3146:P3147)</f>
        <v>1.61</v>
      </c>
      <c r="Q3148" s="412" t="s">
        <v>184</v>
      </c>
      <c r="R3148" s="412" t="s">
        <v>790</v>
      </c>
      <c r="S3148" s="1244" t="s">
        <v>2627</v>
      </c>
      <c r="T3148" s="1244"/>
      <c r="U3148" s="416">
        <f>2*2*0.075*0.0375*1.95</f>
        <v>2.1999999999999999E-2</v>
      </c>
      <c r="W3148" s="413"/>
    </row>
    <row r="3149" spans="6:24" ht="24" customHeight="1">
      <c r="F3149" s="440">
        <v>1.845</v>
      </c>
      <c r="G3149" s="414" t="s">
        <v>488</v>
      </c>
      <c r="H3149" s="412" t="s">
        <v>1701</v>
      </c>
      <c r="I3149" s="414">
        <f>D30</f>
        <v>1281</v>
      </c>
      <c r="J3149" s="412" t="s">
        <v>488</v>
      </c>
      <c r="K3149" s="414">
        <f t="shared" si="298"/>
        <v>2363.4499999999998</v>
      </c>
      <c r="Q3149" s="412"/>
      <c r="R3149" s="449" t="s">
        <v>790</v>
      </c>
      <c r="S3149" s="416" t="s">
        <v>2628</v>
      </c>
      <c r="U3149" s="439">
        <f>2*2*0.065*0.075*0.375</f>
        <v>7.3099999999999997E-3</v>
      </c>
      <c r="W3149" s="413"/>
    </row>
    <row r="3150" spans="6:24" ht="24" customHeight="1">
      <c r="F3150" s="414">
        <v>2</v>
      </c>
      <c r="G3150" s="414" t="s">
        <v>701</v>
      </c>
      <c r="H3150" s="412" t="s">
        <v>1702</v>
      </c>
      <c r="I3150" s="414">
        <f>C284</f>
        <v>64.8</v>
      </c>
      <c r="J3150" s="412" t="s">
        <v>701</v>
      </c>
      <c r="K3150" s="414">
        <f t="shared" si="298"/>
        <v>129.6</v>
      </c>
      <c r="Q3150" s="412"/>
      <c r="R3150" s="412" t="s">
        <v>790</v>
      </c>
      <c r="U3150" s="482">
        <f>SUM(U3148:U3149)</f>
        <v>2.93E-2</v>
      </c>
      <c r="V3150" s="414" t="s">
        <v>2629</v>
      </c>
      <c r="W3150" s="413"/>
    </row>
    <row r="3151" spans="6:24" ht="24" customHeight="1">
      <c r="F3151" s="414">
        <v>3</v>
      </c>
      <c r="G3151" s="414" t="s">
        <v>701</v>
      </c>
      <c r="H3151" s="412" t="s">
        <v>1234</v>
      </c>
      <c r="I3151" s="414">
        <f>C279</f>
        <v>89.6</v>
      </c>
      <c r="J3151" s="412" t="s">
        <v>701</v>
      </c>
      <c r="K3151" s="414">
        <f t="shared" si="298"/>
        <v>268.8</v>
      </c>
      <c r="M3151" s="413" t="s">
        <v>1200</v>
      </c>
      <c r="O3151" s="412" t="s">
        <v>1892</v>
      </c>
      <c r="Q3151" s="412"/>
      <c r="R3151" s="412" t="s">
        <v>790</v>
      </c>
      <c r="S3151" s="416" t="s">
        <v>2630</v>
      </c>
      <c r="U3151" s="416">
        <f>2*0.65*1.95</f>
        <v>2.5350000000000001</v>
      </c>
      <c r="V3151" s="414" t="s">
        <v>736</v>
      </c>
      <c r="W3151" s="413"/>
    </row>
    <row r="3152" spans="6:24" ht="24" customHeight="1">
      <c r="F3152" s="414">
        <v>1</v>
      </c>
      <c r="G3152" s="414" t="s">
        <v>701</v>
      </c>
      <c r="H3152" s="412" t="s">
        <v>1611</v>
      </c>
      <c r="I3152" s="414">
        <f>C286</f>
        <v>181</v>
      </c>
      <c r="J3152" s="412" t="s">
        <v>701</v>
      </c>
      <c r="K3152" s="414">
        <f t="shared" si="298"/>
        <v>181</v>
      </c>
      <c r="O3152" s="418" t="s">
        <v>1288</v>
      </c>
      <c r="Q3152" s="412"/>
      <c r="S3152" s="416" t="s">
        <v>2631</v>
      </c>
      <c r="U3152" s="416">
        <f>1*2*0.525*1.825</f>
        <v>1.9159999999999999</v>
      </c>
      <c r="V3152" s="414" t="s">
        <v>2632</v>
      </c>
      <c r="W3152" s="413"/>
    </row>
    <row r="3153" spans="6:24" ht="24" customHeight="1">
      <c r="F3153" s="414">
        <v>1</v>
      </c>
      <c r="G3153" s="414" t="s">
        <v>701</v>
      </c>
      <c r="H3153" s="412" t="s">
        <v>1612</v>
      </c>
      <c r="I3153" s="414">
        <f>C288</f>
        <v>7.3</v>
      </c>
      <c r="J3153" s="412" t="s">
        <v>701</v>
      </c>
      <c r="K3153" s="414">
        <f t="shared" si="298"/>
        <v>7.3</v>
      </c>
      <c r="M3153" s="439">
        <f>P3141</f>
        <v>1.153E-2</v>
      </c>
      <c r="N3153" s="414" t="s">
        <v>702</v>
      </c>
      <c r="O3153" s="412" t="s">
        <v>553</v>
      </c>
      <c r="P3153" s="414" t="e">
        <f>I3146</f>
        <v>#REF!</v>
      </c>
      <c r="Q3153" s="412" t="s">
        <v>702</v>
      </c>
      <c r="R3153" s="414" t="e">
        <f>P3153*M3153</f>
        <v>#REF!</v>
      </c>
      <c r="S3153" s="416" t="s">
        <v>2633</v>
      </c>
      <c r="U3153" s="416">
        <f>2*2*(0.525+1.825)</f>
        <v>9.4</v>
      </c>
      <c r="V3153" s="414" t="s">
        <v>2634</v>
      </c>
      <c r="W3153" s="413"/>
    </row>
    <row r="3154" spans="6:24" ht="24" customHeight="1">
      <c r="F3154" s="414">
        <v>1</v>
      </c>
      <c r="G3154" s="414" t="s">
        <v>701</v>
      </c>
      <c r="H3154" s="412" t="s">
        <v>1613</v>
      </c>
      <c r="I3154" s="414">
        <f>C598</f>
        <v>57.65</v>
      </c>
      <c r="J3154" s="412" t="s">
        <v>701</v>
      </c>
      <c r="K3154" s="414">
        <f t="shared" si="298"/>
        <v>57.65</v>
      </c>
      <c r="M3154" s="439">
        <f>P3143</f>
        <v>1.856E-2</v>
      </c>
      <c r="N3154" s="414" t="s">
        <v>702</v>
      </c>
      <c r="O3154" s="412" t="s">
        <v>554</v>
      </c>
      <c r="P3154" s="414" t="e">
        <f t="shared" ref="P3154:P3162" si="299">I3147</f>
        <v>#REF!</v>
      </c>
      <c r="Q3154" s="412" t="s">
        <v>702</v>
      </c>
      <c r="R3154" s="414" t="e">
        <f t="shared" ref="R3154:R3163" si="300">P3154*M3154</f>
        <v>#REF!</v>
      </c>
      <c r="S3154" s="413"/>
      <c r="W3154" s="413"/>
      <c r="X3154" s="412" t="s">
        <v>790</v>
      </c>
    </row>
    <row r="3155" spans="6:24" ht="24" customHeight="1">
      <c r="F3155" s="414">
        <v>1</v>
      </c>
      <c r="G3155" s="414" t="s">
        <v>701</v>
      </c>
      <c r="H3155" s="412" t="s">
        <v>1614</v>
      </c>
      <c r="I3155" s="414">
        <f>D598</f>
        <v>49.55</v>
      </c>
      <c r="J3155" s="412" t="s">
        <v>701</v>
      </c>
      <c r="K3155" s="414">
        <f t="shared" si="298"/>
        <v>49.55</v>
      </c>
      <c r="M3155" s="440">
        <f>P3148</f>
        <v>1.61</v>
      </c>
      <c r="N3155" s="414" t="s">
        <v>488</v>
      </c>
      <c r="O3155" s="412" t="s">
        <v>1700</v>
      </c>
      <c r="P3155" s="414">
        <f t="shared" si="299"/>
        <v>387.4</v>
      </c>
      <c r="Q3155" s="412" t="s">
        <v>488</v>
      </c>
      <c r="R3155" s="414">
        <f t="shared" si="300"/>
        <v>623.71</v>
      </c>
      <c r="S3155" s="414"/>
      <c r="U3155" s="418" t="s">
        <v>1288</v>
      </c>
      <c r="W3155" s="413"/>
    </row>
    <row r="3156" spans="6:24" ht="24" customHeight="1">
      <c r="H3156" s="414" t="s">
        <v>1084</v>
      </c>
      <c r="K3156" s="423">
        <f>10*2.18</f>
        <v>21.8</v>
      </c>
      <c r="M3156" s="440">
        <f>P3140</f>
        <v>2.2549999999999999</v>
      </c>
      <c r="N3156" s="414" t="s">
        <v>488</v>
      </c>
      <c r="O3156" s="412" t="s">
        <v>1701</v>
      </c>
      <c r="P3156" s="414">
        <f t="shared" si="299"/>
        <v>1281</v>
      </c>
      <c r="Q3156" s="412" t="s">
        <v>488</v>
      </c>
      <c r="R3156" s="414">
        <f t="shared" si="300"/>
        <v>2888.66</v>
      </c>
      <c r="S3156" s="439">
        <v>9.2099999999999994E-3</v>
      </c>
      <c r="T3156" s="414" t="s">
        <v>702</v>
      </c>
      <c r="U3156" s="412" t="s">
        <v>2149</v>
      </c>
      <c r="V3156" s="414" t="e">
        <f>V3131</f>
        <v>#REF!</v>
      </c>
      <c r="W3156" s="413" t="s">
        <v>702</v>
      </c>
      <c r="X3156" s="414" t="e">
        <f>V3156*S3156</f>
        <v>#REF!</v>
      </c>
    </row>
    <row r="3157" spans="6:24" ht="24" customHeight="1">
      <c r="H3157" s="413" t="s">
        <v>366</v>
      </c>
      <c r="K3157" s="414" t="e">
        <f>SUM(K3146:K3156)</f>
        <v>#REF!</v>
      </c>
      <c r="M3157" s="414">
        <v>2</v>
      </c>
      <c r="N3157" s="414" t="s">
        <v>701</v>
      </c>
      <c r="O3157" s="412" t="s">
        <v>1702</v>
      </c>
      <c r="P3157" s="414">
        <f t="shared" si="299"/>
        <v>64.8</v>
      </c>
      <c r="Q3157" s="412" t="s">
        <v>701</v>
      </c>
      <c r="R3157" s="414">
        <f t="shared" si="300"/>
        <v>129.6</v>
      </c>
      <c r="S3157" s="439">
        <v>0.65249999999999997</v>
      </c>
      <c r="T3157" s="414" t="s">
        <v>488</v>
      </c>
      <c r="U3157" s="412" t="s">
        <v>2150</v>
      </c>
      <c r="V3157" s="414">
        <f>V3132</f>
        <v>306.89999999999998</v>
      </c>
      <c r="W3157" s="413" t="s">
        <v>702</v>
      </c>
      <c r="X3157" s="414">
        <f t="shared" ref="X3157:X3164" si="301">V3157*S3157</f>
        <v>200.25</v>
      </c>
    </row>
    <row r="3158" spans="6:24" ht="24" customHeight="1">
      <c r="G3158" s="414" t="s">
        <v>790</v>
      </c>
      <c r="K3158" s="418" t="s">
        <v>1288</v>
      </c>
      <c r="M3158" s="414">
        <v>3</v>
      </c>
      <c r="N3158" s="414" t="s">
        <v>701</v>
      </c>
      <c r="O3158" s="412" t="s">
        <v>1234</v>
      </c>
      <c r="P3158" s="414">
        <f t="shared" si="299"/>
        <v>89.6</v>
      </c>
      <c r="Q3158" s="412" t="s">
        <v>701</v>
      </c>
      <c r="R3158" s="414">
        <f t="shared" si="300"/>
        <v>268.8</v>
      </c>
      <c r="S3158" s="440">
        <v>0.879</v>
      </c>
      <c r="T3158" s="414" t="s">
        <v>488</v>
      </c>
      <c r="U3158" s="412" t="s">
        <v>1701</v>
      </c>
      <c r="V3158" s="414">
        <f t="shared" ref="V3158:V3163" si="302">V3133</f>
        <v>1436</v>
      </c>
      <c r="W3158" s="413" t="s">
        <v>488</v>
      </c>
      <c r="X3158" s="414">
        <f t="shared" si="301"/>
        <v>1262.24</v>
      </c>
    </row>
    <row r="3159" spans="6:24" ht="24" customHeight="1">
      <c r="H3159" s="420" t="s">
        <v>447</v>
      </c>
      <c r="K3159" s="417" t="e">
        <f>K3157/F3149</f>
        <v>#REF!</v>
      </c>
      <c r="M3159" s="414">
        <v>1</v>
      </c>
      <c r="N3159" s="414" t="s">
        <v>701</v>
      </c>
      <c r="O3159" s="412" t="s">
        <v>1611</v>
      </c>
      <c r="P3159" s="414">
        <f t="shared" si="299"/>
        <v>181</v>
      </c>
      <c r="Q3159" s="412" t="s">
        <v>701</v>
      </c>
      <c r="R3159" s="414">
        <f t="shared" si="300"/>
        <v>181</v>
      </c>
      <c r="S3159" s="440">
        <v>4.3250000000000002</v>
      </c>
      <c r="T3159" s="414" t="s">
        <v>2155</v>
      </c>
      <c r="U3159" s="412" t="s">
        <v>2151</v>
      </c>
      <c r="V3159" s="414">
        <f t="shared" si="302"/>
        <v>15.45</v>
      </c>
      <c r="W3159" s="413" t="s">
        <v>488</v>
      </c>
      <c r="X3159" s="414">
        <f t="shared" si="301"/>
        <v>66.819999999999993</v>
      </c>
    </row>
    <row r="3160" spans="6:24" ht="24" customHeight="1">
      <c r="K3160" s="418" t="s">
        <v>1676</v>
      </c>
      <c r="M3160" s="414">
        <v>1</v>
      </c>
      <c r="N3160" s="414" t="s">
        <v>701</v>
      </c>
      <c r="O3160" s="412" t="s">
        <v>1612</v>
      </c>
      <c r="P3160" s="414">
        <f t="shared" si="299"/>
        <v>7.3</v>
      </c>
      <c r="Q3160" s="412" t="s">
        <v>701</v>
      </c>
      <c r="R3160" s="414">
        <f t="shared" si="300"/>
        <v>7.3</v>
      </c>
      <c r="S3160" s="414">
        <v>3</v>
      </c>
      <c r="T3160" s="414" t="s">
        <v>701</v>
      </c>
      <c r="U3160" s="412" t="s">
        <v>1234</v>
      </c>
      <c r="V3160" s="414">
        <f t="shared" si="302"/>
        <v>89.6</v>
      </c>
      <c r="W3160" s="413" t="s">
        <v>701</v>
      </c>
      <c r="X3160" s="414">
        <f t="shared" si="301"/>
        <v>268.8</v>
      </c>
    </row>
    <row r="3161" spans="6:24" ht="24" hidden="1" customHeight="1">
      <c r="M3161" s="414">
        <v>1</v>
      </c>
      <c r="N3161" s="414" t="s">
        <v>701</v>
      </c>
      <c r="O3161" s="412" t="s">
        <v>1613</v>
      </c>
      <c r="P3161" s="414">
        <f t="shared" si="299"/>
        <v>57.65</v>
      </c>
      <c r="Q3161" s="412" t="s">
        <v>701</v>
      </c>
      <c r="R3161" s="414">
        <f t="shared" si="300"/>
        <v>57.65</v>
      </c>
      <c r="S3161" s="414">
        <v>2</v>
      </c>
      <c r="T3161" s="414" t="s">
        <v>701</v>
      </c>
      <c r="U3161" s="412" t="s">
        <v>2152</v>
      </c>
      <c r="V3161" s="414">
        <f t="shared" si="302"/>
        <v>82.25</v>
      </c>
      <c r="W3161" s="413" t="s">
        <v>701</v>
      </c>
      <c r="X3161" s="414">
        <f t="shared" si="301"/>
        <v>164.5</v>
      </c>
    </row>
    <row r="3162" spans="6:24" ht="24" hidden="1" customHeight="1">
      <c r="M3162" s="414">
        <v>1</v>
      </c>
      <c r="N3162" s="414" t="s">
        <v>701</v>
      </c>
      <c r="O3162" s="412" t="s">
        <v>1614</v>
      </c>
      <c r="P3162" s="414">
        <f t="shared" si="299"/>
        <v>49.55</v>
      </c>
      <c r="Q3162" s="412" t="s">
        <v>701</v>
      </c>
      <c r="R3162" s="414">
        <f t="shared" si="300"/>
        <v>49.55</v>
      </c>
      <c r="S3162" s="414">
        <v>1</v>
      </c>
      <c r="T3162" s="414" t="s">
        <v>701</v>
      </c>
      <c r="U3162" s="412" t="s">
        <v>2153</v>
      </c>
      <c r="V3162" s="414">
        <f t="shared" si="302"/>
        <v>57.65</v>
      </c>
      <c r="W3162" s="413" t="s">
        <v>701</v>
      </c>
      <c r="X3162" s="414">
        <f t="shared" si="301"/>
        <v>57.65</v>
      </c>
    </row>
    <row r="3163" spans="6:24" ht="24" hidden="1" customHeight="1">
      <c r="M3163" s="414">
        <v>58</v>
      </c>
      <c r="O3163" s="414" t="s">
        <v>1084</v>
      </c>
      <c r="P3163" s="414">
        <f>P2864</f>
        <v>2.41</v>
      </c>
      <c r="Q3163" s="412"/>
      <c r="R3163" s="414">
        <f t="shared" si="300"/>
        <v>139.78</v>
      </c>
      <c r="S3163" s="414">
        <v>1</v>
      </c>
      <c r="T3163" s="414" t="s">
        <v>701</v>
      </c>
      <c r="U3163" s="412" t="s">
        <v>1612</v>
      </c>
      <c r="V3163" s="414">
        <f t="shared" si="302"/>
        <v>7.3</v>
      </c>
      <c r="W3163" s="413" t="s">
        <v>701</v>
      </c>
      <c r="X3163" s="414">
        <f t="shared" si="301"/>
        <v>7.3</v>
      </c>
    </row>
    <row r="3164" spans="6:24" ht="24" hidden="1" customHeight="1">
      <c r="O3164" s="413" t="s">
        <v>2070</v>
      </c>
      <c r="Q3164" s="412"/>
      <c r="R3164" s="414" t="e">
        <f>SUM(R3153:R3163)</f>
        <v>#REF!</v>
      </c>
      <c r="S3164" s="414">
        <v>36</v>
      </c>
      <c r="T3164" s="414" t="s">
        <v>701</v>
      </c>
      <c r="U3164" s="412" t="s">
        <v>1084</v>
      </c>
      <c r="V3164" s="414">
        <f>V3139</f>
        <v>2.41</v>
      </c>
      <c r="W3164" s="413" t="s">
        <v>701</v>
      </c>
      <c r="X3164" s="414">
        <f t="shared" si="301"/>
        <v>86.76</v>
      </c>
    </row>
    <row r="3165" spans="6:24" ht="24" customHeight="1">
      <c r="N3165" s="414" t="s">
        <v>790</v>
      </c>
      <c r="Q3165" s="412"/>
      <c r="R3165" s="418" t="s">
        <v>1288</v>
      </c>
      <c r="S3165" s="414"/>
      <c r="U3165" s="412"/>
      <c r="W3165" s="413" t="s">
        <v>701</v>
      </c>
      <c r="X3165" s="418" t="s">
        <v>1288</v>
      </c>
    </row>
    <row r="3166" spans="6:24" ht="24" customHeight="1">
      <c r="H3166" s="414" t="s">
        <v>2580</v>
      </c>
      <c r="J3166" s="414"/>
      <c r="O3166" s="420" t="s">
        <v>447</v>
      </c>
      <c r="Q3166" s="412"/>
      <c r="R3166" s="417" t="e">
        <f>R3164/M3156</f>
        <v>#REF!</v>
      </c>
      <c r="S3166" s="414"/>
      <c r="U3166" s="420" t="s">
        <v>2635</v>
      </c>
      <c r="W3166" s="413"/>
      <c r="X3166" s="414" t="e">
        <f>SUM(X3156:X3164)</f>
        <v>#REF!</v>
      </c>
    </row>
    <row r="3167" spans="6:24" ht="24" customHeight="1">
      <c r="J3167" s="414"/>
      <c r="Q3167" s="412"/>
      <c r="R3167" s="418" t="s">
        <v>1676</v>
      </c>
      <c r="S3167" s="414"/>
      <c r="W3167" s="413"/>
      <c r="X3167" s="418" t="s">
        <v>1288</v>
      </c>
    </row>
    <row r="3168" spans="6:24" ht="24" customHeight="1">
      <c r="F3168" s="414">
        <v>3.23</v>
      </c>
      <c r="G3168" s="414" t="s">
        <v>734</v>
      </c>
      <c r="H3168" s="414" t="s">
        <v>1993</v>
      </c>
      <c r="I3168" s="414">
        <f>I1505</f>
        <v>49.85</v>
      </c>
      <c r="J3168" s="414" t="s">
        <v>734</v>
      </c>
      <c r="K3168" s="414">
        <f>I3168*F3168</f>
        <v>161.02000000000001</v>
      </c>
      <c r="S3168" s="414"/>
      <c r="T3168" s="414" t="s">
        <v>790</v>
      </c>
      <c r="U3168" s="420" t="s">
        <v>447</v>
      </c>
      <c r="W3168" s="413"/>
      <c r="X3168" s="417" t="e">
        <f>X3166/S3158</f>
        <v>#REF!</v>
      </c>
    </row>
    <row r="3169" spans="6:24" ht="24" customHeight="1">
      <c r="F3169" s="414">
        <v>0.5</v>
      </c>
      <c r="G3169" s="414" t="s">
        <v>202</v>
      </c>
      <c r="H3169" s="414" t="s">
        <v>1994</v>
      </c>
      <c r="I3169" s="414">
        <f>I1506</f>
        <v>797</v>
      </c>
      <c r="J3169" s="414" t="s">
        <v>202</v>
      </c>
      <c r="K3169" s="414">
        <f>I3169*F3169</f>
        <v>398.5</v>
      </c>
      <c r="S3169" s="414"/>
      <c r="W3169" s="413"/>
      <c r="X3169" s="418" t="s">
        <v>1676</v>
      </c>
    </row>
    <row r="3170" spans="6:24" ht="24" customHeight="1">
      <c r="F3170" s="414">
        <v>0.5</v>
      </c>
      <c r="G3170" s="414" t="s">
        <v>202</v>
      </c>
      <c r="H3170" s="412" t="s">
        <v>1550</v>
      </c>
      <c r="I3170" s="414">
        <f>I1507</f>
        <v>651</v>
      </c>
      <c r="J3170" s="414" t="s">
        <v>202</v>
      </c>
      <c r="K3170" s="414">
        <f>I3170*F3170</f>
        <v>325.5</v>
      </c>
      <c r="M3170" s="413"/>
      <c r="N3170" s="414" t="s">
        <v>1833</v>
      </c>
      <c r="O3170" s="412" t="s">
        <v>1964</v>
      </c>
      <c r="Q3170" s="413"/>
      <c r="W3170" s="413"/>
    </row>
    <row r="3171" spans="6:24" ht="24" customHeight="1">
      <c r="F3171" s="414">
        <v>0.8</v>
      </c>
      <c r="G3171" s="414" t="s">
        <v>202</v>
      </c>
      <c r="H3171" s="412" t="s">
        <v>245</v>
      </c>
      <c r="I3171" s="414">
        <f>I1508</f>
        <v>534</v>
      </c>
      <c r="J3171" s="414" t="s">
        <v>202</v>
      </c>
      <c r="K3171" s="414">
        <f>I3171*F3171</f>
        <v>427.2</v>
      </c>
      <c r="O3171" s="412" t="s">
        <v>200</v>
      </c>
      <c r="Q3171" s="413"/>
      <c r="W3171" s="413"/>
    </row>
    <row r="3172" spans="6:24" ht="24" customHeight="1">
      <c r="F3172" s="414">
        <v>10</v>
      </c>
      <c r="G3172" s="414" t="s">
        <v>1861</v>
      </c>
      <c r="H3172" s="412" t="s">
        <v>2331</v>
      </c>
      <c r="I3172" s="414">
        <f>C460</f>
        <v>4.2</v>
      </c>
      <c r="J3172" s="414" t="s">
        <v>1861</v>
      </c>
      <c r="K3172" s="414">
        <f>I3172*F3172</f>
        <v>42</v>
      </c>
      <c r="O3172" s="415" t="s">
        <v>1965</v>
      </c>
      <c r="Q3172" s="413"/>
      <c r="W3172" s="413"/>
    </row>
    <row r="3173" spans="6:24" ht="24" customHeight="1">
      <c r="H3173" s="412" t="s">
        <v>1996</v>
      </c>
      <c r="I3173" s="423" t="s">
        <v>528</v>
      </c>
      <c r="J3173" s="413"/>
      <c r="K3173" s="414">
        <v>1.75</v>
      </c>
      <c r="O3173" s="418" t="s">
        <v>1288</v>
      </c>
      <c r="Q3173" s="413"/>
      <c r="W3173" s="413"/>
    </row>
    <row r="3174" spans="6:24" ht="24" customHeight="1">
      <c r="J3174" s="413"/>
      <c r="K3174" s="414">
        <f>SUM(K3168:K3173)</f>
        <v>1355.97</v>
      </c>
      <c r="O3174" s="412" t="s">
        <v>2024</v>
      </c>
      <c r="P3174" s="423" t="s">
        <v>1676</v>
      </c>
      <c r="Q3174" s="454">
        <v>3.1219999999999999</v>
      </c>
      <c r="R3174" s="414" t="s">
        <v>1861</v>
      </c>
      <c r="W3174" s="413"/>
    </row>
    <row r="3175" spans="6:24" ht="24" customHeight="1">
      <c r="J3175" s="413"/>
      <c r="K3175" s="414">
        <f>K3174/10</f>
        <v>135.6</v>
      </c>
      <c r="O3175" s="412"/>
      <c r="P3175" s="423"/>
      <c r="Q3175" s="454"/>
      <c r="W3175" s="413"/>
    </row>
    <row r="3176" spans="6:24" ht="24" customHeight="1">
      <c r="J3176" s="414"/>
      <c r="L3176" s="414">
        <f>K3210</f>
        <v>317.74</v>
      </c>
      <c r="O3176" s="412" t="s">
        <v>4357</v>
      </c>
      <c r="P3176" s="423" t="s">
        <v>1676</v>
      </c>
      <c r="Q3176" s="483">
        <v>5.1999999999999998E-2</v>
      </c>
      <c r="R3176" s="414" t="s">
        <v>1749</v>
      </c>
      <c r="W3176" s="413"/>
    </row>
    <row r="3177" spans="6:24" ht="24" hidden="1" customHeight="1">
      <c r="J3177" s="414"/>
      <c r="L3177" s="414">
        <f>K3211</f>
        <v>557.9</v>
      </c>
      <c r="O3177" s="412" t="s">
        <v>2025</v>
      </c>
      <c r="Q3177" s="423"/>
      <c r="W3177" s="413"/>
    </row>
    <row r="3178" spans="6:24" ht="24" hidden="1" customHeight="1">
      <c r="J3178" s="414"/>
      <c r="O3178" s="412" t="s">
        <v>2026</v>
      </c>
      <c r="P3178" s="423" t="s">
        <v>1676</v>
      </c>
      <c r="Q3178" s="492">
        <v>2.2780000000000002E-2</v>
      </c>
      <c r="W3178" s="413"/>
    </row>
    <row r="3179" spans="6:24" ht="24" customHeight="1">
      <c r="H3179" s="414" t="s">
        <v>2581</v>
      </c>
      <c r="J3179" s="414"/>
      <c r="L3179" s="414">
        <v>1.5</v>
      </c>
      <c r="O3179" s="412" t="s">
        <v>1966</v>
      </c>
      <c r="P3179" s="423" t="s">
        <v>1676</v>
      </c>
      <c r="Q3179" s="492">
        <v>1.013E-2</v>
      </c>
      <c r="R3179" s="439"/>
      <c r="W3179" s="413"/>
    </row>
    <row r="3180" spans="6:24" ht="24" customHeight="1">
      <c r="J3180" s="414"/>
      <c r="L3180" s="414">
        <f>SUM(L3176:L3179)</f>
        <v>877.14</v>
      </c>
      <c r="Q3180" s="418" t="s">
        <v>1288</v>
      </c>
      <c r="W3180" s="413"/>
    </row>
    <row r="3181" spans="6:24" ht="24" customHeight="1">
      <c r="F3181" s="414">
        <v>1.8</v>
      </c>
      <c r="G3181" s="414" t="s">
        <v>734</v>
      </c>
      <c r="H3181" s="414" t="s">
        <v>1993</v>
      </c>
      <c r="I3181" s="414">
        <f>I3168</f>
        <v>49.85</v>
      </c>
      <c r="J3181" s="414" t="s">
        <v>734</v>
      </c>
      <c r="K3181" s="414">
        <f>I3181*F3181</f>
        <v>89.73</v>
      </c>
      <c r="Q3181" s="493">
        <v>3.2910000000000002E-2</v>
      </c>
      <c r="R3181" s="414" t="s">
        <v>1749</v>
      </c>
      <c r="W3181" s="413"/>
    </row>
    <row r="3182" spans="6:24" ht="24" customHeight="1">
      <c r="F3182" s="414">
        <v>0.25</v>
      </c>
      <c r="G3182" s="414" t="s">
        <v>202</v>
      </c>
      <c r="H3182" s="414" t="s">
        <v>1994</v>
      </c>
      <c r="I3182" s="414">
        <f>I3169</f>
        <v>797</v>
      </c>
      <c r="J3182" s="414" t="s">
        <v>202</v>
      </c>
      <c r="K3182" s="414">
        <f>I3182*F3182</f>
        <v>199.25</v>
      </c>
      <c r="L3182" s="414">
        <f>L3180/10</f>
        <v>87.71</v>
      </c>
      <c r="Q3182" s="418" t="s">
        <v>1288</v>
      </c>
      <c r="W3182" s="413"/>
    </row>
    <row r="3183" spans="6:24" ht="24" customHeight="1">
      <c r="F3183" s="414">
        <v>0.25</v>
      </c>
      <c r="G3183" s="414" t="s">
        <v>202</v>
      </c>
      <c r="H3183" s="412" t="s">
        <v>1550</v>
      </c>
      <c r="I3183" s="414">
        <f>I3170</f>
        <v>651</v>
      </c>
      <c r="J3183" s="414" t="s">
        <v>202</v>
      </c>
      <c r="K3183" s="414">
        <f>I3183*F3183</f>
        <v>162.75</v>
      </c>
      <c r="O3183" s="412" t="s">
        <v>2027</v>
      </c>
      <c r="Q3183" s="494">
        <v>1.7600000000000001E-2</v>
      </c>
      <c r="R3183" s="439"/>
      <c r="W3183" s="413"/>
    </row>
    <row r="3184" spans="6:24" ht="24" customHeight="1">
      <c r="F3184" s="414">
        <v>0.4</v>
      </c>
      <c r="G3184" s="414" t="s">
        <v>202</v>
      </c>
      <c r="H3184" s="412" t="s">
        <v>245</v>
      </c>
      <c r="I3184" s="414">
        <f>I3171</f>
        <v>534</v>
      </c>
      <c r="J3184" s="414" t="s">
        <v>202</v>
      </c>
      <c r="K3184" s="414">
        <f>I3184*F3184</f>
        <v>213.6</v>
      </c>
      <c r="O3184" s="412" t="s">
        <v>2028</v>
      </c>
      <c r="Q3184" s="494">
        <v>8.3999999999999995E-3</v>
      </c>
      <c r="R3184" s="439"/>
      <c r="W3184" s="413"/>
    </row>
    <row r="3185" spans="6:23" ht="24" customHeight="1">
      <c r="F3185" s="414">
        <v>10</v>
      </c>
      <c r="G3185" s="414" t="s">
        <v>1861</v>
      </c>
      <c r="H3185" s="412" t="s">
        <v>1995</v>
      </c>
      <c r="I3185" s="414">
        <f>I3172</f>
        <v>4.2</v>
      </c>
      <c r="J3185" s="414" t="s">
        <v>1861</v>
      </c>
      <c r="K3185" s="414">
        <f>I3185*F3185</f>
        <v>42</v>
      </c>
      <c r="O3185" s="412"/>
      <c r="Q3185" s="418" t="s">
        <v>1288</v>
      </c>
      <c r="R3185" s="439"/>
      <c r="W3185" s="413"/>
    </row>
    <row r="3186" spans="6:23" ht="24" customHeight="1">
      <c r="H3186" s="412" t="s">
        <v>1996</v>
      </c>
      <c r="I3186" s="423" t="s">
        <v>1997</v>
      </c>
      <c r="J3186" s="413"/>
      <c r="K3186" s="414">
        <v>1.6</v>
      </c>
      <c r="O3186" s="412"/>
      <c r="Q3186" s="483">
        <v>2.5999999999999999E-2</v>
      </c>
      <c r="R3186" s="439" t="s">
        <v>1749</v>
      </c>
      <c r="W3186" s="413"/>
    </row>
    <row r="3187" spans="6:23" ht="24" customHeight="1">
      <c r="J3187" s="413"/>
      <c r="K3187" s="414">
        <f>SUM(K3181:K3186)</f>
        <v>708.93</v>
      </c>
      <c r="Q3187" s="418" t="s">
        <v>1288</v>
      </c>
      <c r="R3187" s="418"/>
      <c r="W3187" s="413"/>
    </row>
    <row r="3188" spans="6:23" ht="24" customHeight="1">
      <c r="J3188" s="413"/>
      <c r="K3188" s="414">
        <f>K3187/10</f>
        <v>70.89</v>
      </c>
      <c r="M3188" s="439">
        <v>5.1999999999999998E-2</v>
      </c>
      <c r="N3188" s="414" t="s">
        <v>702</v>
      </c>
      <c r="O3188" s="412" t="s">
        <v>234</v>
      </c>
      <c r="P3188" s="414" t="e">
        <f>AC26</f>
        <v>#REF!</v>
      </c>
      <c r="Q3188" s="413" t="s">
        <v>702</v>
      </c>
      <c r="R3188" s="414" t="e">
        <f>P3188*M3188</f>
        <v>#REF!</v>
      </c>
      <c r="W3188" s="413"/>
    </row>
    <row r="3189" spans="6:23" ht="24" customHeight="1">
      <c r="J3189" s="414"/>
      <c r="M3189" s="439">
        <v>3.2910000000000002E-2</v>
      </c>
      <c r="N3189" s="414" t="s">
        <v>702</v>
      </c>
      <c r="O3189" s="412" t="s">
        <v>235</v>
      </c>
      <c r="P3189" s="414" t="e">
        <f>AC27</f>
        <v>#REF!</v>
      </c>
      <c r="Q3189" s="413" t="s">
        <v>702</v>
      </c>
      <c r="R3189" s="414" t="e">
        <f t="shared" ref="R3189:R3199" si="303">P3189*M3189</f>
        <v>#REF!</v>
      </c>
      <c r="W3189" s="413"/>
    </row>
    <row r="3190" spans="6:23" ht="24" hidden="1" customHeight="1">
      <c r="J3190" s="414"/>
      <c r="M3190" s="439">
        <v>2.5999999999999999E-2</v>
      </c>
      <c r="N3190" s="414" t="s">
        <v>702</v>
      </c>
      <c r="O3190" s="412" t="s">
        <v>2029</v>
      </c>
      <c r="P3190" s="414">
        <v>107000</v>
      </c>
      <c r="Q3190" s="413" t="s">
        <v>702</v>
      </c>
      <c r="R3190" s="414">
        <f t="shared" si="303"/>
        <v>2782</v>
      </c>
      <c r="W3190" s="413"/>
    </row>
    <row r="3191" spans="6:23" ht="24" hidden="1" customHeight="1">
      <c r="J3191" s="414"/>
      <c r="L3191" s="414">
        <f>K3225</f>
        <v>530.36</v>
      </c>
      <c r="M3191" s="440"/>
      <c r="O3191" s="412" t="s">
        <v>2355</v>
      </c>
      <c r="Q3191" s="413"/>
      <c r="R3191" s="414">
        <f t="shared" si="303"/>
        <v>0</v>
      </c>
      <c r="W3191" s="413"/>
    </row>
    <row r="3192" spans="6:23" ht="24" customHeight="1">
      <c r="H3192" s="414" t="s">
        <v>1998</v>
      </c>
      <c r="J3192" s="414"/>
      <c r="L3192" s="414">
        <f>K3226</f>
        <v>956.4</v>
      </c>
      <c r="M3192" s="440">
        <v>3.1219999999999999</v>
      </c>
      <c r="N3192" s="414" t="s">
        <v>488</v>
      </c>
      <c r="O3192" s="412" t="s">
        <v>356</v>
      </c>
      <c r="P3192" s="414">
        <f>I954</f>
        <v>1537</v>
      </c>
      <c r="Q3192" s="413" t="s">
        <v>488</v>
      </c>
      <c r="R3192" s="414">
        <f t="shared" si="303"/>
        <v>4798.51</v>
      </c>
      <c r="W3192" s="413"/>
    </row>
    <row r="3193" spans="6:23" ht="24" customHeight="1">
      <c r="H3193" s="414" t="s">
        <v>851</v>
      </c>
      <c r="J3193" s="414"/>
      <c r="M3193" s="414">
        <v>4</v>
      </c>
      <c r="N3193" s="414" t="s">
        <v>619</v>
      </c>
      <c r="O3193" s="412" t="s">
        <v>2030</v>
      </c>
      <c r="P3193" s="414">
        <f>I2637</f>
        <v>254.5</v>
      </c>
      <c r="Q3193" s="413" t="s">
        <v>701</v>
      </c>
      <c r="R3193" s="414">
        <f t="shared" si="303"/>
        <v>1018</v>
      </c>
      <c r="W3193" s="413"/>
    </row>
    <row r="3194" spans="6:23" ht="24" customHeight="1">
      <c r="H3194" s="414" t="s">
        <v>1007</v>
      </c>
      <c r="J3194" s="414"/>
      <c r="L3194" s="414">
        <f>K3228</f>
        <v>6.65</v>
      </c>
      <c r="M3194" s="414">
        <v>8</v>
      </c>
      <c r="N3194" s="414" t="s">
        <v>701</v>
      </c>
      <c r="O3194" s="412" t="s">
        <v>1191</v>
      </c>
      <c r="P3194" s="414">
        <f>P3158</f>
        <v>89.6</v>
      </c>
      <c r="Q3194" s="413" t="s">
        <v>701</v>
      </c>
      <c r="R3194" s="414">
        <f t="shared" si="303"/>
        <v>716.8</v>
      </c>
      <c r="W3194" s="413"/>
    </row>
    <row r="3195" spans="6:23" ht="24" customHeight="1">
      <c r="J3195" s="414"/>
      <c r="L3195" s="414">
        <f>SUM(L3191:L3194)</f>
        <v>1493.41</v>
      </c>
      <c r="M3195" s="414">
        <v>4</v>
      </c>
      <c r="N3195" s="414" t="s">
        <v>701</v>
      </c>
      <c r="O3195" s="412" t="s">
        <v>3024</v>
      </c>
      <c r="P3195" s="414">
        <v>97.85</v>
      </c>
      <c r="Q3195" s="413" t="s">
        <v>701</v>
      </c>
      <c r="R3195" s="414">
        <f t="shared" si="303"/>
        <v>391.4</v>
      </c>
      <c r="W3195" s="413"/>
    </row>
    <row r="3196" spans="6:23" ht="24" customHeight="1">
      <c r="F3196" s="414">
        <v>1.1100000000000001</v>
      </c>
      <c r="G3196" s="414" t="s">
        <v>1922</v>
      </c>
      <c r="H3196" s="414" t="s">
        <v>961</v>
      </c>
      <c r="I3196" s="414">
        <f>I1547</f>
        <v>227.6</v>
      </c>
      <c r="J3196" s="414" t="s">
        <v>1922</v>
      </c>
      <c r="K3196" s="414">
        <f>I3196*F3196</f>
        <v>252.64</v>
      </c>
      <c r="M3196" s="414">
        <v>1</v>
      </c>
      <c r="N3196" s="414" t="s">
        <v>701</v>
      </c>
      <c r="O3196" s="412" t="s">
        <v>3025</v>
      </c>
      <c r="P3196" s="414">
        <v>209.9</v>
      </c>
      <c r="Q3196" s="413" t="s">
        <v>701</v>
      </c>
      <c r="R3196" s="414">
        <f t="shared" si="303"/>
        <v>209.9</v>
      </c>
      <c r="W3196" s="413"/>
    </row>
    <row r="3197" spans="6:23" ht="24" customHeight="1">
      <c r="F3197" s="414">
        <v>0.7</v>
      </c>
      <c r="G3197" s="414" t="s">
        <v>202</v>
      </c>
      <c r="H3197" s="414" t="s">
        <v>960</v>
      </c>
      <c r="I3197" s="414">
        <f>I3182</f>
        <v>797</v>
      </c>
      <c r="J3197" s="414" t="s">
        <v>202</v>
      </c>
      <c r="K3197" s="414">
        <f>I3197*F3197</f>
        <v>557.9</v>
      </c>
      <c r="L3197" s="414">
        <f>L3195/10</f>
        <v>149.34</v>
      </c>
      <c r="M3197" s="414">
        <v>2</v>
      </c>
      <c r="N3197" s="414" t="s">
        <v>701</v>
      </c>
      <c r="O3197" s="412" t="s">
        <v>3026</v>
      </c>
      <c r="P3197" s="414">
        <v>23.1</v>
      </c>
      <c r="Q3197" s="413" t="s">
        <v>701</v>
      </c>
      <c r="R3197" s="414">
        <f t="shared" si="303"/>
        <v>46.2</v>
      </c>
      <c r="W3197" s="413"/>
    </row>
    <row r="3198" spans="6:23" ht="24" customHeight="1">
      <c r="F3198" s="414">
        <v>10</v>
      </c>
      <c r="G3198" s="414" t="s">
        <v>1861</v>
      </c>
      <c r="H3198" s="412" t="s">
        <v>3027</v>
      </c>
      <c r="I3198" s="414">
        <f>AE54</f>
        <v>9.1</v>
      </c>
      <c r="J3198" s="414" t="s">
        <v>1861</v>
      </c>
      <c r="K3198" s="414">
        <f>I3198*F3198</f>
        <v>91</v>
      </c>
      <c r="M3198" s="414">
        <v>2</v>
      </c>
      <c r="N3198" s="414" t="s">
        <v>701</v>
      </c>
      <c r="O3198" s="412" t="s">
        <v>3028</v>
      </c>
      <c r="P3198" s="414">
        <v>49.55</v>
      </c>
      <c r="Q3198" s="413" t="s">
        <v>701</v>
      </c>
      <c r="R3198" s="414">
        <f t="shared" si="303"/>
        <v>99.1</v>
      </c>
      <c r="S3198" s="416">
        <f>0.42*3.122</f>
        <v>1.3109999999999999</v>
      </c>
      <c r="T3198" s="414">
        <f>S3198+19.79</f>
        <v>21.1</v>
      </c>
      <c r="W3198" s="413"/>
    </row>
    <row r="3199" spans="6:23" ht="24" customHeight="1">
      <c r="H3199" s="412" t="s">
        <v>1996</v>
      </c>
      <c r="I3199" s="414" t="s">
        <v>528</v>
      </c>
      <c r="J3199" s="413"/>
      <c r="K3199" s="414">
        <v>2.8</v>
      </c>
      <c r="M3199" s="414">
        <v>118</v>
      </c>
      <c r="N3199" s="414" t="s">
        <v>701</v>
      </c>
      <c r="O3199" s="414" t="s">
        <v>1084</v>
      </c>
      <c r="P3199" s="414">
        <f>I961</f>
        <v>2.41</v>
      </c>
      <c r="Q3199" s="413" t="s">
        <v>701</v>
      </c>
      <c r="R3199" s="414">
        <f t="shared" si="303"/>
        <v>284.38</v>
      </c>
      <c r="W3199" s="413"/>
    </row>
    <row r="3200" spans="6:23" ht="24" customHeight="1">
      <c r="H3200" s="414" t="s">
        <v>351</v>
      </c>
      <c r="J3200" s="413"/>
      <c r="K3200" s="414">
        <f>SUM(K3196:K3199)</f>
        <v>904.34</v>
      </c>
      <c r="Q3200" s="413"/>
      <c r="R3200" s="418" t="s">
        <v>1288</v>
      </c>
      <c r="W3200" s="413"/>
    </row>
    <row r="3201" spans="6:23" ht="24" customHeight="1">
      <c r="J3201" s="413"/>
      <c r="O3201" s="412" t="s">
        <v>2035</v>
      </c>
      <c r="Q3201" s="413"/>
      <c r="R3201" s="414" t="e">
        <f>SUM(R3188:R3199)</f>
        <v>#REF!</v>
      </c>
      <c r="W3201" s="413"/>
    </row>
    <row r="3202" spans="6:23" ht="24" customHeight="1">
      <c r="H3202" s="414" t="s">
        <v>447</v>
      </c>
      <c r="J3202" s="413"/>
      <c r="K3202" s="414">
        <f>K3200/10</f>
        <v>90.43</v>
      </c>
      <c r="Q3202" s="413"/>
      <c r="R3202" s="418" t="s">
        <v>1288</v>
      </c>
      <c r="W3202" s="413"/>
    </row>
    <row r="3203" spans="6:23" ht="24" customHeight="1">
      <c r="J3203" s="413"/>
      <c r="O3203" s="415" t="s">
        <v>447</v>
      </c>
      <c r="Q3203" s="419" t="s">
        <v>577</v>
      </c>
      <c r="R3203" s="417" t="e">
        <f>R3201/M3192</f>
        <v>#REF!</v>
      </c>
      <c r="W3203" s="413"/>
    </row>
    <row r="3204" spans="6:23" ht="24" hidden="1" customHeight="1">
      <c r="J3204" s="413"/>
      <c r="M3204" s="413"/>
      <c r="N3204" s="414" t="s">
        <v>1833</v>
      </c>
      <c r="O3204" s="412" t="s">
        <v>2036</v>
      </c>
      <c r="Q3204" s="413"/>
      <c r="W3204" s="413"/>
    </row>
    <row r="3205" spans="6:23" ht="24" hidden="1" customHeight="1">
      <c r="J3205" s="413"/>
      <c r="O3205" s="412" t="s">
        <v>200</v>
      </c>
      <c r="Q3205" s="413"/>
      <c r="W3205" s="413"/>
    </row>
    <row r="3206" spans="6:23" ht="24" customHeight="1">
      <c r="H3206" s="414" t="s">
        <v>1998</v>
      </c>
      <c r="J3206" s="413"/>
      <c r="O3206" s="415" t="s">
        <v>1965</v>
      </c>
      <c r="Q3206" s="413"/>
      <c r="W3206" s="413"/>
    </row>
    <row r="3207" spans="6:23" ht="24" customHeight="1">
      <c r="H3207" s="414" t="s">
        <v>1119</v>
      </c>
      <c r="J3207" s="413"/>
      <c r="L3207" s="414">
        <f>K3241</f>
        <v>430.16</v>
      </c>
      <c r="O3207" s="418" t="s">
        <v>1288</v>
      </c>
      <c r="Q3207" s="413"/>
      <c r="W3207" s="413"/>
    </row>
    <row r="3208" spans="6:23" ht="24" customHeight="1">
      <c r="H3208" s="414" t="s">
        <v>1007</v>
      </c>
      <c r="J3208" s="413"/>
      <c r="L3208" s="414">
        <f>K3242</f>
        <v>876.7</v>
      </c>
      <c r="O3208" s="412" t="s">
        <v>2024</v>
      </c>
      <c r="P3208" s="423" t="s">
        <v>1676</v>
      </c>
      <c r="Q3208" s="454">
        <v>3.1219999999999999</v>
      </c>
      <c r="R3208" s="412" t="s">
        <v>1861</v>
      </c>
      <c r="W3208" s="413"/>
    </row>
    <row r="3209" spans="6:23" ht="24" customHeight="1">
      <c r="J3209" s="413"/>
      <c r="O3209" s="412"/>
      <c r="P3209" s="423"/>
      <c r="Q3209" s="454"/>
      <c r="R3209" s="412"/>
      <c r="W3209" s="413"/>
    </row>
    <row r="3210" spans="6:23" ht="24" customHeight="1">
      <c r="F3210" s="414">
        <v>1.33</v>
      </c>
      <c r="G3210" s="414" t="s">
        <v>1922</v>
      </c>
      <c r="H3210" s="414" t="s">
        <v>961</v>
      </c>
      <c r="I3210" s="414">
        <f>I1534</f>
        <v>238.9</v>
      </c>
      <c r="J3210" s="414" t="s">
        <v>1922</v>
      </c>
      <c r="K3210" s="414">
        <f>I3210*F3210</f>
        <v>317.74</v>
      </c>
      <c r="L3210" s="414">
        <f>K3244</f>
        <v>1.9</v>
      </c>
      <c r="O3210" s="412" t="s">
        <v>4357</v>
      </c>
      <c r="P3210" s="423" t="s">
        <v>1676</v>
      </c>
      <c r="Q3210" s="483">
        <v>5.1999999999999998E-2</v>
      </c>
      <c r="R3210" s="412" t="s">
        <v>1749</v>
      </c>
      <c r="W3210" s="413"/>
    </row>
    <row r="3211" spans="6:23" ht="24" customHeight="1">
      <c r="F3211" s="414">
        <v>0.7</v>
      </c>
      <c r="G3211" s="414" t="s">
        <v>202</v>
      </c>
      <c r="H3211" s="414" t="s">
        <v>960</v>
      </c>
      <c r="I3211" s="414">
        <f>I3197</f>
        <v>797</v>
      </c>
      <c r="J3211" s="414" t="s">
        <v>202</v>
      </c>
      <c r="K3211" s="414">
        <f>I3211*F3211</f>
        <v>557.9</v>
      </c>
      <c r="L3211" s="414">
        <f>SUM(L3207:L3210)</f>
        <v>1308.76</v>
      </c>
      <c r="O3211" s="412" t="s">
        <v>2025</v>
      </c>
      <c r="Q3211" s="423"/>
      <c r="R3211" s="412"/>
      <c r="W3211" s="413"/>
    </row>
    <row r="3212" spans="6:23" ht="24" customHeight="1">
      <c r="F3212" s="414">
        <v>10</v>
      </c>
      <c r="G3212" s="414" t="s">
        <v>1861</v>
      </c>
      <c r="H3212" s="414" t="s">
        <v>2851</v>
      </c>
      <c r="I3212" s="414">
        <f>AE55</f>
        <v>9.85</v>
      </c>
      <c r="J3212" s="414" t="s">
        <v>1861</v>
      </c>
      <c r="K3212" s="414">
        <f>I3212*F3212</f>
        <v>98.5</v>
      </c>
      <c r="O3212" s="412" t="s">
        <v>2064</v>
      </c>
      <c r="P3212" s="423" t="s">
        <v>1676</v>
      </c>
      <c r="Q3212" s="492">
        <v>2.2780000000000002E-2</v>
      </c>
      <c r="R3212" s="412"/>
      <c r="W3212" s="413"/>
    </row>
    <row r="3213" spans="6:23" ht="24" customHeight="1">
      <c r="H3213" s="414" t="s">
        <v>1996</v>
      </c>
      <c r="I3213" s="414" t="s">
        <v>528</v>
      </c>
      <c r="J3213" s="413"/>
      <c r="K3213" s="414">
        <v>3.43</v>
      </c>
      <c r="O3213" s="412" t="s">
        <v>1966</v>
      </c>
      <c r="P3213" s="423" t="s">
        <v>1676</v>
      </c>
      <c r="Q3213" s="492">
        <v>1.013E-2</v>
      </c>
      <c r="R3213" s="449"/>
      <c r="W3213" s="413"/>
    </row>
    <row r="3214" spans="6:23" ht="24" customHeight="1">
      <c r="H3214" s="414" t="s">
        <v>351</v>
      </c>
      <c r="J3214" s="413"/>
      <c r="K3214" s="414">
        <f>SUM(K3210:K3213)</f>
        <v>977.57</v>
      </c>
      <c r="Q3214" s="495" t="s">
        <v>2003</v>
      </c>
      <c r="R3214" s="412"/>
      <c r="W3214" s="413"/>
    </row>
    <row r="3215" spans="6:23" ht="24" customHeight="1">
      <c r="J3215" s="413"/>
      <c r="Q3215" s="493">
        <v>3.2910000000000002E-2</v>
      </c>
      <c r="R3215" s="412" t="s">
        <v>1749</v>
      </c>
      <c r="W3215" s="413"/>
    </row>
    <row r="3216" spans="6:23" ht="24" customHeight="1">
      <c r="H3216" s="414" t="s">
        <v>447</v>
      </c>
      <c r="J3216" s="413"/>
      <c r="K3216" s="414">
        <f>K3214/10</f>
        <v>97.76</v>
      </c>
      <c r="Q3216" s="495" t="s">
        <v>2003</v>
      </c>
      <c r="R3216" s="412"/>
      <c r="W3216" s="413"/>
    </row>
    <row r="3217" spans="6:23" ht="24" customHeight="1">
      <c r="J3217" s="413"/>
      <c r="O3217" s="412" t="s">
        <v>2038</v>
      </c>
      <c r="Q3217" s="483">
        <v>0.94</v>
      </c>
      <c r="R3217" s="449" t="s">
        <v>1861</v>
      </c>
      <c r="W3217" s="413"/>
    </row>
    <row r="3218" spans="6:23" ht="24" hidden="1" customHeight="1">
      <c r="J3218" s="413"/>
      <c r="O3218" s="412" t="s">
        <v>2037</v>
      </c>
      <c r="Q3218" s="483">
        <v>8.3999999999999995E-3</v>
      </c>
      <c r="R3218" s="449" t="s">
        <v>1749</v>
      </c>
      <c r="W3218" s="413"/>
    </row>
    <row r="3219" spans="6:23" ht="24" hidden="1" customHeight="1">
      <c r="J3219" s="413"/>
      <c r="O3219" s="412" t="s">
        <v>2040</v>
      </c>
      <c r="Q3219" s="483">
        <v>7.9</v>
      </c>
      <c r="R3219" s="449" t="s">
        <v>669</v>
      </c>
      <c r="W3219" s="413"/>
    </row>
    <row r="3220" spans="6:23" ht="24" hidden="1" customHeight="1">
      <c r="J3220" s="413"/>
      <c r="Q3220" s="418"/>
      <c r="R3220" s="418"/>
      <c r="W3220" s="413"/>
    </row>
    <row r="3221" spans="6:23" ht="24" customHeight="1">
      <c r="H3221" s="414" t="s">
        <v>1923</v>
      </c>
      <c r="J3221" s="413"/>
      <c r="M3221" s="439">
        <v>5.1999999999999998E-2</v>
      </c>
      <c r="N3221" s="414" t="s">
        <v>702</v>
      </c>
      <c r="O3221" s="412" t="s">
        <v>234</v>
      </c>
      <c r="P3221" s="414" t="e">
        <f>P3188</f>
        <v>#REF!</v>
      </c>
      <c r="Q3221" s="413" t="s">
        <v>702</v>
      </c>
      <c r="R3221" s="414" t="e">
        <f>P3221*M3221</f>
        <v>#REF!</v>
      </c>
      <c r="W3221" s="413"/>
    </row>
    <row r="3222" spans="6:23" ht="24" customHeight="1">
      <c r="H3222" s="414" t="s">
        <v>1119</v>
      </c>
      <c r="J3222" s="413"/>
      <c r="M3222" s="439">
        <v>3.2910000000000002E-2</v>
      </c>
      <c r="N3222" s="414" t="s">
        <v>702</v>
      </c>
      <c r="O3222" s="412" t="s">
        <v>235</v>
      </c>
      <c r="P3222" s="414" t="e">
        <f>P3189</f>
        <v>#REF!</v>
      </c>
      <c r="Q3222" s="413" t="s">
        <v>702</v>
      </c>
      <c r="R3222" s="414" t="e">
        <f t="shared" ref="R3222:R3234" si="304">P3222*M3222</f>
        <v>#REF!</v>
      </c>
      <c r="W3222" s="413"/>
    </row>
    <row r="3223" spans="6:23" ht="24" customHeight="1">
      <c r="H3223" s="414" t="s">
        <v>1007</v>
      </c>
      <c r="J3223" s="413"/>
      <c r="M3223" s="439">
        <v>8.3999999999999995E-3</v>
      </c>
      <c r="N3223" s="414" t="s">
        <v>702</v>
      </c>
      <c r="O3223" s="412" t="s">
        <v>2029</v>
      </c>
      <c r="P3223" s="414">
        <f>P3190</f>
        <v>107000</v>
      </c>
      <c r="Q3223" s="413" t="s">
        <v>702</v>
      </c>
      <c r="R3223" s="414">
        <f t="shared" si="304"/>
        <v>898.8</v>
      </c>
      <c r="W3223" s="413"/>
    </row>
    <row r="3224" spans="6:23" ht="24" customHeight="1">
      <c r="J3224" s="413"/>
      <c r="M3224" s="440"/>
      <c r="O3224" s="412" t="s">
        <v>2138</v>
      </c>
      <c r="Q3224" s="413"/>
      <c r="R3224" s="414">
        <f t="shared" si="304"/>
        <v>0</v>
      </c>
      <c r="W3224" s="413"/>
    </row>
    <row r="3225" spans="6:23" ht="24" customHeight="1">
      <c r="F3225" s="414">
        <v>2.2200000000000002</v>
      </c>
      <c r="G3225" s="414" t="s">
        <v>1922</v>
      </c>
      <c r="H3225" s="414" t="s">
        <v>961</v>
      </c>
      <c r="I3225" s="414">
        <f>I3210</f>
        <v>238.9</v>
      </c>
      <c r="J3225" s="414" t="s">
        <v>1922</v>
      </c>
      <c r="K3225" s="414">
        <f>I3225*F3225</f>
        <v>530.36</v>
      </c>
      <c r="M3225" s="440">
        <v>0.94</v>
      </c>
      <c r="N3225" s="414" t="s">
        <v>488</v>
      </c>
      <c r="O3225" s="412" t="s">
        <v>3029</v>
      </c>
      <c r="P3225" s="414">
        <v>562.5</v>
      </c>
      <c r="Q3225" s="413" t="s">
        <v>488</v>
      </c>
      <c r="R3225" s="414">
        <f t="shared" si="304"/>
        <v>528.75</v>
      </c>
      <c r="W3225" s="413"/>
    </row>
    <row r="3226" spans="6:23" ht="24" customHeight="1">
      <c r="F3226" s="414">
        <v>1.2</v>
      </c>
      <c r="G3226" s="414" t="s">
        <v>202</v>
      </c>
      <c r="H3226" s="414" t="s">
        <v>960</v>
      </c>
      <c r="I3226" s="414">
        <f>I3211</f>
        <v>797</v>
      </c>
      <c r="J3226" s="414" t="s">
        <v>202</v>
      </c>
      <c r="K3226" s="414">
        <f>I3226*F3226</f>
        <v>956.4</v>
      </c>
      <c r="M3226" s="440">
        <v>7.9</v>
      </c>
      <c r="N3226" s="414" t="s">
        <v>1443</v>
      </c>
      <c r="O3226" s="412" t="s">
        <v>3030</v>
      </c>
      <c r="P3226" s="414">
        <v>15.45</v>
      </c>
      <c r="Q3226" s="413" t="s">
        <v>669</v>
      </c>
      <c r="R3226" s="414">
        <f t="shared" si="304"/>
        <v>122.06</v>
      </c>
      <c r="W3226" s="413"/>
    </row>
    <row r="3227" spans="6:23" ht="24" customHeight="1">
      <c r="F3227" s="414">
        <v>10</v>
      </c>
      <c r="G3227" s="414" t="s">
        <v>1861</v>
      </c>
      <c r="H3227" s="414" t="s">
        <v>1995</v>
      </c>
      <c r="I3227" s="414">
        <f>I3212</f>
        <v>9.85</v>
      </c>
      <c r="J3227" s="414" t="s">
        <v>1861</v>
      </c>
      <c r="K3227" s="414">
        <f>I3227*F3227</f>
        <v>98.5</v>
      </c>
      <c r="M3227" s="440">
        <v>3.1219999999999999</v>
      </c>
      <c r="N3227" s="414" t="s">
        <v>488</v>
      </c>
      <c r="O3227" s="412" t="s">
        <v>2859</v>
      </c>
      <c r="P3227" s="414">
        <f>AE58</f>
        <v>1436</v>
      </c>
      <c r="Q3227" s="413" t="s">
        <v>488</v>
      </c>
      <c r="R3227" s="414">
        <f t="shared" si="304"/>
        <v>4483.1899999999996</v>
      </c>
      <c r="W3227" s="413"/>
    </row>
    <row r="3228" spans="6:23" ht="24" customHeight="1">
      <c r="H3228" s="414" t="s">
        <v>1996</v>
      </c>
      <c r="I3228" s="414" t="s">
        <v>528</v>
      </c>
      <c r="J3228" s="413"/>
      <c r="K3228" s="414">
        <v>6.65</v>
      </c>
      <c r="M3228" s="414">
        <v>4</v>
      </c>
      <c r="N3228" s="414" t="s">
        <v>619</v>
      </c>
      <c r="O3228" s="412" t="s">
        <v>2333</v>
      </c>
      <c r="P3228" s="414">
        <f>C598</f>
        <v>57.65</v>
      </c>
      <c r="Q3228" s="413" t="s">
        <v>701</v>
      </c>
      <c r="R3228" s="414">
        <f t="shared" si="304"/>
        <v>230.6</v>
      </c>
      <c r="W3228" s="413"/>
    </row>
    <row r="3229" spans="6:23" ht="24" customHeight="1">
      <c r="H3229" s="414" t="s">
        <v>351</v>
      </c>
      <c r="J3229" s="413"/>
      <c r="K3229" s="414">
        <f>SUM(K3225:K3228)</f>
        <v>1591.91</v>
      </c>
      <c r="M3229" s="414">
        <v>8</v>
      </c>
      <c r="N3229" s="414" t="s">
        <v>701</v>
      </c>
      <c r="O3229" s="412" t="s">
        <v>2334</v>
      </c>
      <c r="P3229" s="414">
        <f>C279</f>
        <v>89.6</v>
      </c>
      <c r="Q3229" s="413" t="s">
        <v>701</v>
      </c>
      <c r="R3229" s="414">
        <f t="shared" si="304"/>
        <v>716.8</v>
      </c>
      <c r="W3229" s="413"/>
    </row>
    <row r="3230" spans="6:23" ht="24" customHeight="1">
      <c r="J3230" s="413"/>
      <c r="M3230" s="414">
        <v>4</v>
      </c>
      <c r="N3230" s="414" t="s">
        <v>701</v>
      </c>
      <c r="O3230" s="412" t="s">
        <v>2031</v>
      </c>
      <c r="P3230" s="414">
        <f>P3195</f>
        <v>97.85</v>
      </c>
      <c r="Q3230" s="413" t="s">
        <v>701</v>
      </c>
      <c r="R3230" s="414">
        <f t="shared" si="304"/>
        <v>391.4</v>
      </c>
      <c r="W3230" s="413"/>
    </row>
    <row r="3231" spans="6:23" ht="24" customHeight="1">
      <c r="H3231" s="414" t="s">
        <v>447</v>
      </c>
      <c r="J3231" s="413"/>
      <c r="K3231" s="414">
        <f>K3229/10</f>
        <v>159.19</v>
      </c>
      <c r="M3231" s="414">
        <v>1</v>
      </c>
      <c r="N3231" s="414" t="s">
        <v>701</v>
      </c>
      <c r="O3231" s="412" t="s">
        <v>2032</v>
      </c>
      <c r="P3231" s="414">
        <f>P3196</f>
        <v>209.9</v>
      </c>
      <c r="Q3231" s="413" t="s">
        <v>701</v>
      </c>
      <c r="R3231" s="414">
        <f t="shared" si="304"/>
        <v>209.9</v>
      </c>
      <c r="W3231" s="413"/>
    </row>
    <row r="3232" spans="6:23" ht="24" customHeight="1">
      <c r="J3232" s="413"/>
      <c r="L3232" s="414">
        <f>K3266</f>
        <v>284.39999999999998</v>
      </c>
      <c r="M3232" s="414">
        <v>2</v>
      </c>
      <c r="N3232" s="414" t="s">
        <v>701</v>
      </c>
      <c r="O3232" s="412" t="s">
        <v>2033</v>
      </c>
      <c r="P3232" s="414">
        <f>P3197</f>
        <v>23.1</v>
      </c>
      <c r="Q3232" s="413" t="s">
        <v>701</v>
      </c>
      <c r="R3232" s="414">
        <f t="shared" si="304"/>
        <v>46.2</v>
      </c>
      <c r="W3232" s="413"/>
    </row>
    <row r="3233" spans="6:24" ht="24" hidden="1" customHeight="1">
      <c r="J3233" s="413"/>
      <c r="L3233" s="414">
        <f>K3267</f>
        <v>199.25</v>
      </c>
      <c r="M3233" s="414">
        <v>2</v>
      </c>
      <c r="N3233" s="414" t="s">
        <v>701</v>
      </c>
      <c r="O3233" s="412" t="s">
        <v>2034</v>
      </c>
      <c r="P3233" s="414">
        <f>P3198</f>
        <v>49.55</v>
      </c>
      <c r="Q3233" s="413" t="s">
        <v>701</v>
      </c>
      <c r="R3233" s="414">
        <f t="shared" si="304"/>
        <v>99.1</v>
      </c>
      <c r="W3233" s="413"/>
    </row>
    <row r="3234" spans="6:24" ht="24" hidden="1" customHeight="1">
      <c r="J3234" s="413"/>
      <c r="L3234" s="414">
        <f>K3268</f>
        <v>162.75</v>
      </c>
      <c r="M3234" s="414">
        <v>118</v>
      </c>
      <c r="N3234" s="414" t="s">
        <v>701</v>
      </c>
      <c r="O3234" s="414" t="s">
        <v>1084</v>
      </c>
      <c r="P3234" s="414">
        <f>P3199</f>
        <v>2.41</v>
      </c>
      <c r="Q3234" s="413" t="s">
        <v>701</v>
      </c>
      <c r="R3234" s="414">
        <f t="shared" si="304"/>
        <v>284.38</v>
      </c>
      <c r="W3234" s="413"/>
    </row>
    <row r="3235" spans="6:24" ht="24" hidden="1" customHeight="1">
      <c r="J3235" s="413"/>
      <c r="L3235" s="414">
        <f>K3269</f>
        <v>213.6</v>
      </c>
      <c r="Q3235" s="413"/>
      <c r="R3235" s="418" t="s">
        <v>1288</v>
      </c>
      <c r="W3235" s="413"/>
    </row>
    <row r="3236" spans="6:24" ht="24" hidden="1" customHeight="1">
      <c r="J3236" s="413"/>
      <c r="L3236" s="414">
        <f>K3270</f>
        <v>1.65</v>
      </c>
      <c r="O3236" s="412" t="s">
        <v>2035</v>
      </c>
      <c r="Q3236" s="413"/>
      <c r="R3236" s="414" t="e">
        <f>SUM(R3221:R3234)</f>
        <v>#REF!</v>
      </c>
      <c r="W3236" s="413"/>
    </row>
    <row r="3237" spans="6:24" ht="24" customHeight="1">
      <c r="H3237" s="414" t="s">
        <v>1923</v>
      </c>
      <c r="J3237" s="413"/>
      <c r="Q3237" s="413"/>
      <c r="R3237" s="418" t="s">
        <v>1288</v>
      </c>
      <c r="W3237" s="413"/>
    </row>
    <row r="3238" spans="6:24" ht="24" customHeight="1">
      <c r="H3238" s="414" t="s">
        <v>851</v>
      </c>
      <c r="J3238" s="413"/>
      <c r="O3238" s="415" t="s">
        <v>447</v>
      </c>
      <c r="Q3238" s="419" t="s">
        <v>577</v>
      </c>
      <c r="R3238" s="417" t="e">
        <f>R3236/M3227</f>
        <v>#REF!</v>
      </c>
      <c r="W3238" s="413"/>
    </row>
    <row r="3239" spans="6:24" ht="24" customHeight="1">
      <c r="H3239" s="414" t="s">
        <v>1007</v>
      </c>
      <c r="J3239" s="413"/>
      <c r="L3239" s="414">
        <f>SUM(L3232:L3238)</f>
        <v>861.65</v>
      </c>
      <c r="M3239" s="413"/>
      <c r="N3239" s="414" t="s">
        <v>1833</v>
      </c>
      <c r="O3239" s="412" t="s">
        <v>1964</v>
      </c>
      <c r="Q3239" s="413"/>
      <c r="W3239" s="413"/>
    </row>
    <row r="3240" spans="6:24" ht="24" customHeight="1">
      <c r="J3240" s="413"/>
      <c r="O3240" s="412" t="s">
        <v>200</v>
      </c>
      <c r="Q3240" s="413"/>
      <c r="W3240" s="413"/>
    </row>
    <row r="3241" spans="6:24" ht="24" customHeight="1">
      <c r="F3241" s="414">
        <v>1.89</v>
      </c>
      <c r="G3241" s="414" t="s">
        <v>1922</v>
      </c>
      <c r="H3241" s="414" t="s">
        <v>961</v>
      </c>
      <c r="I3241" s="414">
        <f>I3196</f>
        <v>227.6</v>
      </c>
      <c r="J3241" s="414" t="s">
        <v>1922</v>
      </c>
      <c r="K3241" s="414">
        <f>I3241*F3241</f>
        <v>430.16</v>
      </c>
      <c r="L3241" s="414">
        <f>L3239/10</f>
        <v>86.17</v>
      </c>
      <c r="O3241" s="415" t="s">
        <v>2042</v>
      </c>
      <c r="Q3241" s="413"/>
      <c r="W3241" s="413"/>
    </row>
    <row r="3242" spans="6:24" ht="24" customHeight="1">
      <c r="F3242" s="414">
        <v>1.1000000000000001</v>
      </c>
      <c r="G3242" s="414" t="s">
        <v>202</v>
      </c>
      <c r="H3242" s="414" t="s">
        <v>960</v>
      </c>
      <c r="I3242" s="414">
        <f>I3197</f>
        <v>797</v>
      </c>
      <c r="J3242" s="414" t="s">
        <v>202</v>
      </c>
      <c r="K3242" s="414">
        <f>I3242*F3242</f>
        <v>876.7</v>
      </c>
      <c r="O3242" s="418" t="s">
        <v>1288</v>
      </c>
      <c r="Q3242" s="413"/>
      <c r="W3242" s="413"/>
    </row>
    <row r="3243" spans="6:24" ht="24" customHeight="1">
      <c r="F3243" s="414">
        <v>10</v>
      </c>
      <c r="G3243" s="414" t="s">
        <v>1861</v>
      </c>
      <c r="H3243" s="412" t="s">
        <v>1995</v>
      </c>
      <c r="I3243" s="414">
        <f>I3198</f>
        <v>9.1</v>
      </c>
      <c r="J3243" s="414" t="s">
        <v>1861</v>
      </c>
      <c r="K3243" s="414">
        <f>I3243*F3243</f>
        <v>91</v>
      </c>
      <c r="O3243" s="412" t="s">
        <v>2043</v>
      </c>
      <c r="P3243" s="423" t="s">
        <v>1676</v>
      </c>
      <c r="Q3243" s="454">
        <v>2.4279999999999999</v>
      </c>
      <c r="R3243" s="414" t="s">
        <v>1861</v>
      </c>
      <c r="W3243" s="413"/>
    </row>
    <row r="3244" spans="6:24" ht="24" customHeight="1">
      <c r="H3244" s="412" t="s">
        <v>1996</v>
      </c>
      <c r="I3244" s="414" t="s">
        <v>528</v>
      </c>
      <c r="J3244" s="413"/>
      <c r="K3244" s="414">
        <v>1.9</v>
      </c>
      <c r="O3244" s="412"/>
      <c r="P3244" s="423"/>
      <c r="Q3244" s="454"/>
      <c r="W3244" s="413"/>
    </row>
    <row r="3245" spans="6:24" ht="24" customHeight="1">
      <c r="H3245" s="414" t="s">
        <v>351</v>
      </c>
      <c r="J3245" s="413"/>
      <c r="K3245" s="414">
        <f>SUM(K3241:K3244)</f>
        <v>1399.76</v>
      </c>
      <c r="O3245" s="412" t="s">
        <v>4357</v>
      </c>
      <c r="P3245" s="423" t="s">
        <v>1676</v>
      </c>
      <c r="Q3245" s="483">
        <v>5.1999999999999998E-2</v>
      </c>
      <c r="R3245" s="414" t="s">
        <v>1749</v>
      </c>
      <c r="T3245" s="417" t="s">
        <v>545</v>
      </c>
      <c r="W3245" s="413"/>
    </row>
    <row r="3246" spans="6:24" ht="24" customHeight="1">
      <c r="J3246" s="413"/>
      <c r="O3246" s="412" t="s">
        <v>2025</v>
      </c>
      <c r="Q3246" s="423"/>
      <c r="T3246" s="417" t="s">
        <v>1536</v>
      </c>
      <c r="W3246" s="413"/>
    </row>
    <row r="3247" spans="6:24" ht="24" customHeight="1">
      <c r="H3247" s="414" t="s">
        <v>447</v>
      </c>
      <c r="J3247" s="413"/>
      <c r="K3247" s="414">
        <f>K3245/10</f>
        <v>139.97999999999999</v>
      </c>
      <c r="O3247" s="412" t="s">
        <v>2044</v>
      </c>
      <c r="P3247" s="423" t="s">
        <v>1676</v>
      </c>
      <c r="Q3247" s="496">
        <v>1.7718999999999999E-2</v>
      </c>
      <c r="S3247" s="474">
        <v>6.3E-2</v>
      </c>
      <c r="T3247" s="417" t="s">
        <v>702</v>
      </c>
      <c r="U3247" s="417" t="s">
        <v>2012</v>
      </c>
      <c r="V3247" s="417" t="e">
        <f>P3291</f>
        <v>#REF!</v>
      </c>
      <c r="W3247" s="420" t="s">
        <v>702</v>
      </c>
      <c r="X3247" s="417" t="e">
        <f>V3247*S3247</f>
        <v>#REF!</v>
      </c>
    </row>
    <row r="3248" spans="6:24" ht="24" customHeight="1">
      <c r="J3248" s="414"/>
      <c r="O3248" s="412" t="s">
        <v>2045</v>
      </c>
      <c r="P3248" s="423" t="s">
        <v>1676</v>
      </c>
      <c r="Q3248" s="496">
        <v>7.8750000000000001E-3</v>
      </c>
      <c r="R3248" s="439"/>
      <c r="S3248" s="474">
        <v>4.8000000000000001E-2</v>
      </c>
      <c r="T3248" s="417" t="s">
        <v>702</v>
      </c>
      <c r="U3248" s="417" t="s">
        <v>1900</v>
      </c>
      <c r="V3248" s="417" t="e">
        <f>I3280</f>
        <v>#REF!</v>
      </c>
      <c r="W3248" s="420" t="s">
        <v>702</v>
      </c>
      <c r="X3248" s="417" t="e">
        <f>V3248*S3248</f>
        <v>#REF!</v>
      </c>
    </row>
    <row r="3249" spans="6:24" ht="24" customHeight="1">
      <c r="H3249" s="412" t="s">
        <v>1565</v>
      </c>
      <c r="J3249" s="414"/>
      <c r="Q3249" s="418" t="s">
        <v>1288</v>
      </c>
      <c r="S3249" s="474">
        <v>1.54</v>
      </c>
      <c r="T3249" s="417" t="s">
        <v>488</v>
      </c>
      <c r="U3249" s="417" t="s">
        <v>1537</v>
      </c>
      <c r="V3249" s="417">
        <f t="shared" ref="V3249:V3258" si="305">I3281</f>
        <v>2152</v>
      </c>
      <c r="W3249" s="420" t="s">
        <v>1861</v>
      </c>
      <c r="X3249" s="417">
        <f t="shared" ref="X3249:X3258" si="306">V3249*S3249</f>
        <v>3314.08</v>
      </c>
    </row>
    <row r="3250" spans="6:24" ht="24" customHeight="1">
      <c r="H3250" s="412" t="s">
        <v>1924</v>
      </c>
      <c r="J3250" s="414"/>
      <c r="Q3250" s="493">
        <v>2.5590000000000002E-2</v>
      </c>
      <c r="R3250" s="414" t="s">
        <v>1749</v>
      </c>
      <c r="S3250" s="474">
        <v>3.9E-2</v>
      </c>
      <c r="T3250" s="417" t="s">
        <v>702</v>
      </c>
      <c r="U3250" s="445" t="s">
        <v>756</v>
      </c>
      <c r="V3250" s="417" t="e">
        <f t="shared" si="305"/>
        <v>#REF!</v>
      </c>
      <c r="W3250" s="420" t="s">
        <v>702</v>
      </c>
      <c r="X3250" s="417" t="e">
        <f t="shared" si="306"/>
        <v>#REF!</v>
      </c>
    </row>
    <row r="3251" spans="6:24" ht="24" customHeight="1">
      <c r="J3251" s="414"/>
      <c r="Q3251" s="418" t="s">
        <v>1288</v>
      </c>
      <c r="S3251" s="474">
        <v>3.488</v>
      </c>
      <c r="T3251" s="417" t="s">
        <v>488</v>
      </c>
      <c r="U3251" s="445" t="s">
        <v>715</v>
      </c>
      <c r="V3251" s="417">
        <f t="shared" si="305"/>
        <v>1537</v>
      </c>
      <c r="W3251" s="420" t="s">
        <v>488</v>
      </c>
      <c r="X3251" s="417">
        <f t="shared" si="306"/>
        <v>5361.06</v>
      </c>
    </row>
    <row r="3252" spans="6:24" ht="24" customHeight="1">
      <c r="F3252" s="414">
        <v>0.22</v>
      </c>
      <c r="G3252" s="414" t="s">
        <v>702</v>
      </c>
      <c r="H3252" s="412" t="s">
        <v>1325</v>
      </c>
      <c r="I3252" s="414" t="e">
        <f>K49</f>
        <v>#REF!</v>
      </c>
      <c r="J3252" s="413" t="s">
        <v>702</v>
      </c>
      <c r="K3252" s="414" t="e">
        <f>(F3252*I3252)</f>
        <v>#REF!</v>
      </c>
      <c r="O3252" s="412" t="s">
        <v>2046</v>
      </c>
      <c r="Q3252" s="494">
        <v>1.0999999999999999E-2</v>
      </c>
      <c r="R3252" s="439"/>
      <c r="S3252" s="474">
        <v>6</v>
      </c>
      <c r="T3252" s="417" t="s">
        <v>1524</v>
      </c>
      <c r="U3252" s="417" t="s">
        <v>1538</v>
      </c>
      <c r="V3252" s="417">
        <f t="shared" si="305"/>
        <v>214.1</v>
      </c>
      <c r="W3252" s="420" t="s">
        <v>1134</v>
      </c>
      <c r="X3252" s="417">
        <f t="shared" si="306"/>
        <v>1284.5999999999999</v>
      </c>
    </row>
    <row r="3253" spans="6:24" ht="24" customHeight="1">
      <c r="F3253" s="414">
        <v>2.2000000000000002</v>
      </c>
      <c r="G3253" s="414" t="s">
        <v>619</v>
      </c>
      <c r="H3253" s="412" t="s">
        <v>1637</v>
      </c>
      <c r="I3253" s="414">
        <f>AE9</f>
        <v>999</v>
      </c>
      <c r="J3253" s="413" t="s">
        <v>619</v>
      </c>
      <c r="K3253" s="414">
        <f>(F3253*I3253)</f>
        <v>2197.8000000000002</v>
      </c>
      <c r="O3253" s="412" t="s">
        <v>2047</v>
      </c>
      <c r="Q3253" s="494">
        <v>5.3E-3</v>
      </c>
      <c r="R3253" s="439"/>
      <c r="S3253" s="474">
        <v>1</v>
      </c>
      <c r="T3253" s="417" t="s">
        <v>1524</v>
      </c>
      <c r="U3253" s="417" t="s">
        <v>1539</v>
      </c>
      <c r="V3253" s="417">
        <f t="shared" si="305"/>
        <v>1020</v>
      </c>
      <c r="W3253" s="420" t="s">
        <v>1134</v>
      </c>
      <c r="X3253" s="417">
        <f t="shared" si="306"/>
        <v>1020</v>
      </c>
    </row>
    <row r="3254" spans="6:24" ht="24" customHeight="1">
      <c r="F3254" s="414">
        <v>0.5</v>
      </c>
      <c r="G3254" s="414" t="s">
        <v>619</v>
      </c>
      <c r="H3254" s="412" t="s">
        <v>754</v>
      </c>
      <c r="I3254" s="414">
        <f>I3183</f>
        <v>651</v>
      </c>
      <c r="J3254" s="413" t="s">
        <v>619</v>
      </c>
      <c r="K3254" s="414">
        <f>(F3254*I3254)</f>
        <v>325.5</v>
      </c>
      <c r="O3254" s="412"/>
      <c r="Q3254" s="418" t="s">
        <v>1288</v>
      </c>
      <c r="R3254" s="439"/>
      <c r="S3254" s="474">
        <v>2</v>
      </c>
      <c r="T3254" s="417" t="s">
        <v>1524</v>
      </c>
      <c r="U3254" s="417" t="s">
        <v>1540</v>
      </c>
      <c r="V3254" s="417">
        <f t="shared" si="305"/>
        <v>540</v>
      </c>
      <c r="W3254" s="420" t="s">
        <v>1134</v>
      </c>
      <c r="X3254" s="417">
        <f t="shared" si="306"/>
        <v>1080</v>
      </c>
    </row>
    <row r="3255" spans="6:24" ht="24" customHeight="1">
      <c r="F3255" s="414">
        <v>3.2</v>
      </c>
      <c r="G3255" s="414" t="s">
        <v>619</v>
      </c>
      <c r="H3255" s="412" t="s">
        <v>245</v>
      </c>
      <c r="I3255" s="414">
        <f>I3184</f>
        <v>534</v>
      </c>
      <c r="J3255" s="413" t="s">
        <v>619</v>
      </c>
      <c r="K3255" s="414">
        <f>(F3255*I3255)</f>
        <v>1708.8</v>
      </c>
      <c r="O3255" s="412"/>
      <c r="Q3255" s="483">
        <v>1.6299999999999999E-2</v>
      </c>
      <c r="R3255" s="439" t="s">
        <v>1749</v>
      </c>
      <c r="S3255" s="474">
        <v>2</v>
      </c>
      <c r="T3255" s="417" t="s">
        <v>1524</v>
      </c>
      <c r="U3255" s="417" t="s">
        <v>1541</v>
      </c>
      <c r="V3255" s="417">
        <f t="shared" si="305"/>
        <v>764</v>
      </c>
      <c r="W3255" s="420" t="s">
        <v>1134</v>
      </c>
      <c r="X3255" s="417">
        <f t="shared" si="306"/>
        <v>1528</v>
      </c>
    </row>
    <row r="3256" spans="6:24" ht="37.9" customHeight="1">
      <c r="F3256" s="414">
        <v>10</v>
      </c>
      <c r="G3256" s="414" t="s">
        <v>184</v>
      </c>
      <c r="H3256" s="426" t="s">
        <v>3031</v>
      </c>
      <c r="I3256" s="423">
        <f>AE56</f>
        <v>10.199999999999999</v>
      </c>
      <c r="J3256" s="413" t="s">
        <v>184</v>
      </c>
      <c r="K3256" s="414">
        <f>(F3256*I3256)</f>
        <v>102</v>
      </c>
      <c r="Q3256" s="418" t="s">
        <v>1288</v>
      </c>
      <c r="R3256" s="418"/>
      <c r="S3256" s="474">
        <v>1</v>
      </c>
      <c r="T3256" s="417" t="s">
        <v>1524</v>
      </c>
      <c r="U3256" s="417" t="s">
        <v>1542</v>
      </c>
      <c r="V3256" s="417">
        <f t="shared" si="305"/>
        <v>985</v>
      </c>
      <c r="W3256" s="420" t="s">
        <v>1134</v>
      </c>
      <c r="X3256" s="417">
        <f t="shared" si="306"/>
        <v>985</v>
      </c>
    </row>
    <row r="3257" spans="6:24" ht="24" customHeight="1">
      <c r="J3257" s="413"/>
      <c r="K3257" s="418" t="s">
        <v>1288</v>
      </c>
      <c r="M3257" s="439">
        <v>5.1999999999999998E-2</v>
      </c>
      <c r="N3257" s="414" t="s">
        <v>702</v>
      </c>
      <c r="O3257" s="412" t="s">
        <v>234</v>
      </c>
      <c r="P3257" s="414" t="e">
        <f>P3188</f>
        <v>#REF!</v>
      </c>
      <c r="Q3257" s="413" t="s">
        <v>702</v>
      </c>
      <c r="R3257" s="414" t="e">
        <f>P3257*M3257</f>
        <v>#REF!</v>
      </c>
      <c r="S3257" s="474">
        <v>2</v>
      </c>
      <c r="T3257" s="417" t="s">
        <v>1524</v>
      </c>
      <c r="U3257" s="417" t="s">
        <v>1543</v>
      </c>
      <c r="V3257" s="417">
        <f t="shared" si="305"/>
        <v>450</v>
      </c>
      <c r="W3257" s="420" t="s">
        <v>1134</v>
      </c>
      <c r="X3257" s="417">
        <f t="shared" si="306"/>
        <v>900</v>
      </c>
    </row>
    <row r="3258" spans="6:24" ht="24" customHeight="1">
      <c r="H3258" s="412" t="s">
        <v>351</v>
      </c>
      <c r="J3258" s="413"/>
      <c r="K3258" s="414" t="e">
        <f>SUM(K3252:K3257)</f>
        <v>#REF!</v>
      </c>
      <c r="M3258" s="439">
        <v>2.5590000000000002E-2</v>
      </c>
      <c r="N3258" s="414" t="s">
        <v>702</v>
      </c>
      <c r="O3258" s="412" t="s">
        <v>235</v>
      </c>
      <c r="P3258" s="414" t="e">
        <f>P3189</f>
        <v>#REF!</v>
      </c>
      <c r="Q3258" s="413" t="s">
        <v>702</v>
      </c>
      <c r="R3258" s="414" t="e">
        <f t="shared" ref="R3258:R3268" si="307">P3258*M3258</f>
        <v>#REF!</v>
      </c>
      <c r="S3258" s="474">
        <v>0</v>
      </c>
      <c r="T3258" s="417" t="s">
        <v>1166</v>
      </c>
      <c r="U3258" s="417" t="s">
        <v>4358</v>
      </c>
      <c r="V3258" s="417">
        <f t="shared" si="305"/>
        <v>2.41</v>
      </c>
      <c r="W3258" s="420" t="s">
        <v>1134</v>
      </c>
      <c r="X3258" s="480">
        <f t="shared" si="306"/>
        <v>0</v>
      </c>
    </row>
    <row r="3259" spans="6:24" ht="24" customHeight="1">
      <c r="J3259" s="413"/>
      <c r="K3259" s="418" t="s">
        <v>1288</v>
      </c>
      <c r="M3259" s="439">
        <v>1.6299999999999999E-2</v>
      </c>
      <c r="N3259" s="414" t="s">
        <v>702</v>
      </c>
      <c r="O3259" s="412" t="s">
        <v>2048</v>
      </c>
      <c r="P3259" s="414" t="e">
        <f>AC28</f>
        <v>#REF!</v>
      </c>
      <c r="Q3259" s="413" t="s">
        <v>702</v>
      </c>
      <c r="R3259" s="414" t="e">
        <f t="shared" si="307"/>
        <v>#REF!</v>
      </c>
      <c r="S3259" s="474"/>
      <c r="T3259" s="417"/>
      <c r="U3259" s="417" t="s">
        <v>1544</v>
      </c>
      <c r="V3259" s="417"/>
      <c r="W3259" s="420"/>
      <c r="X3259" s="417" t="e">
        <f>SUM(X3247:X3258)</f>
        <v>#REF!</v>
      </c>
    </row>
    <row r="3260" spans="6:24" ht="24" customHeight="1">
      <c r="H3260" s="412" t="s">
        <v>447</v>
      </c>
      <c r="J3260" s="413"/>
      <c r="K3260" s="414" t="e">
        <f>(K3258/10)</f>
        <v>#REF!</v>
      </c>
      <c r="M3260" s="440"/>
      <c r="O3260" s="412" t="s">
        <v>764</v>
      </c>
      <c r="Q3260" s="413"/>
      <c r="R3260" s="414">
        <f t="shared" si="307"/>
        <v>0</v>
      </c>
      <c r="S3260" s="474"/>
      <c r="T3260" s="417"/>
      <c r="U3260" s="417"/>
      <c r="V3260" s="417"/>
      <c r="W3260" s="420"/>
      <c r="X3260" s="480" t="s">
        <v>119</v>
      </c>
    </row>
    <row r="3261" spans="6:24" ht="24" customHeight="1">
      <c r="J3261" s="413"/>
      <c r="K3261" s="418" t="s">
        <v>1676</v>
      </c>
      <c r="M3261" s="440">
        <v>2.4279999999999999</v>
      </c>
      <c r="N3261" s="414" t="s">
        <v>488</v>
      </c>
      <c r="O3261" s="412" t="s">
        <v>356</v>
      </c>
      <c r="P3261" s="414">
        <f t="shared" ref="P3261:P3267" si="308">P3192</f>
        <v>1537</v>
      </c>
      <c r="Q3261" s="413" t="s">
        <v>488</v>
      </c>
      <c r="R3261" s="414">
        <f t="shared" si="307"/>
        <v>3731.84</v>
      </c>
      <c r="S3261" s="474"/>
      <c r="T3261" s="417"/>
      <c r="U3261" s="417" t="s">
        <v>1545</v>
      </c>
      <c r="V3261" s="417"/>
      <c r="W3261" s="420"/>
      <c r="X3261" s="417" t="e">
        <f>X3259/S3251</f>
        <v>#REF!</v>
      </c>
    </row>
    <row r="3262" spans="6:24" ht="24" customHeight="1">
      <c r="J3262" s="414"/>
      <c r="K3262" s="414">
        <f>54000+7000</f>
        <v>61000</v>
      </c>
      <c r="M3262" s="414">
        <v>4</v>
      </c>
      <c r="N3262" s="414" t="s">
        <v>619</v>
      </c>
      <c r="O3262" s="412" t="s">
        <v>2030</v>
      </c>
      <c r="P3262" s="414">
        <f>P3228</f>
        <v>57.65</v>
      </c>
      <c r="Q3262" s="413" t="s">
        <v>701</v>
      </c>
      <c r="R3262" s="414">
        <f t="shared" si="307"/>
        <v>230.6</v>
      </c>
      <c r="S3262" s="474"/>
      <c r="T3262" s="417"/>
      <c r="U3262" s="417"/>
      <c r="V3262" s="417"/>
      <c r="W3262" s="420"/>
      <c r="X3262" s="480" t="s">
        <v>119</v>
      </c>
    </row>
    <row r="3263" spans="6:24" ht="24" customHeight="1">
      <c r="J3263" s="414"/>
      <c r="M3263" s="414">
        <v>8</v>
      </c>
      <c r="N3263" s="414" t="s">
        <v>701</v>
      </c>
      <c r="O3263" s="412" t="s">
        <v>1191</v>
      </c>
      <c r="P3263" s="414">
        <f>P3229</f>
        <v>89.6</v>
      </c>
      <c r="Q3263" s="413" t="s">
        <v>701</v>
      </c>
      <c r="R3263" s="414">
        <f t="shared" si="307"/>
        <v>716.8</v>
      </c>
      <c r="W3263" s="413"/>
    </row>
    <row r="3264" spans="6:24" ht="24" customHeight="1">
      <c r="F3264" s="413" t="s">
        <v>24</v>
      </c>
      <c r="G3264" s="414" t="s">
        <v>1833</v>
      </c>
      <c r="H3264" s="413" t="s">
        <v>2066</v>
      </c>
      <c r="J3264" s="413"/>
      <c r="M3264" s="414">
        <v>4</v>
      </c>
      <c r="N3264" s="414" t="s">
        <v>701</v>
      </c>
      <c r="O3264" s="412" t="s">
        <v>2031</v>
      </c>
      <c r="P3264" s="414">
        <f t="shared" si="308"/>
        <v>97.85</v>
      </c>
      <c r="Q3264" s="413" t="s">
        <v>701</v>
      </c>
      <c r="R3264" s="414">
        <f t="shared" si="307"/>
        <v>391.4</v>
      </c>
      <c r="W3264" s="413"/>
    </row>
    <row r="3265" spans="6:23" ht="24" customHeight="1">
      <c r="H3265" s="413" t="s">
        <v>26</v>
      </c>
      <c r="J3265" s="413"/>
      <c r="M3265" s="414">
        <v>1</v>
      </c>
      <c r="N3265" s="414" t="s">
        <v>701</v>
      </c>
      <c r="O3265" s="412" t="s">
        <v>2032</v>
      </c>
      <c r="P3265" s="414">
        <f t="shared" si="308"/>
        <v>209.9</v>
      </c>
      <c r="Q3265" s="413" t="s">
        <v>701</v>
      </c>
      <c r="R3265" s="414">
        <f t="shared" si="307"/>
        <v>209.9</v>
      </c>
      <c r="W3265" s="413"/>
    </row>
    <row r="3266" spans="6:23" ht="24" customHeight="1">
      <c r="F3266" s="414">
        <v>1.8</v>
      </c>
      <c r="G3266" s="414" t="s">
        <v>1113</v>
      </c>
      <c r="H3266" s="412" t="s">
        <v>25</v>
      </c>
      <c r="I3266" s="414">
        <f>E271</f>
        <v>158</v>
      </c>
      <c r="J3266" s="413" t="s">
        <v>1113</v>
      </c>
      <c r="K3266" s="414">
        <f>(F3266*I3266)</f>
        <v>284.39999999999998</v>
      </c>
      <c r="M3266" s="414">
        <v>2</v>
      </c>
      <c r="N3266" s="414" t="s">
        <v>701</v>
      </c>
      <c r="O3266" s="412" t="s">
        <v>2033</v>
      </c>
      <c r="P3266" s="414">
        <f t="shared" si="308"/>
        <v>23.1</v>
      </c>
      <c r="Q3266" s="413" t="s">
        <v>701</v>
      </c>
      <c r="R3266" s="414">
        <f t="shared" si="307"/>
        <v>46.2</v>
      </c>
      <c r="W3266" s="413"/>
    </row>
    <row r="3267" spans="6:23" ht="24" customHeight="1">
      <c r="F3267" s="414">
        <v>0.25</v>
      </c>
      <c r="G3267" s="414" t="s">
        <v>453</v>
      </c>
      <c r="H3267" s="412" t="s">
        <v>1114</v>
      </c>
      <c r="I3267" s="414">
        <f>I3242</f>
        <v>797</v>
      </c>
      <c r="J3267" s="413" t="s">
        <v>453</v>
      </c>
      <c r="K3267" s="414">
        <f>(F3267*I3267)</f>
        <v>199.25</v>
      </c>
      <c r="M3267" s="414">
        <v>2</v>
      </c>
      <c r="N3267" s="414" t="s">
        <v>701</v>
      </c>
      <c r="O3267" s="412" t="s">
        <v>2034</v>
      </c>
      <c r="P3267" s="414">
        <f t="shared" si="308"/>
        <v>49.55</v>
      </c>
      <c r="Q3267" s="413" t="s">
        <v>701</v>
      </c>
      <c r="R3267" s="414">
        <f t="shared" si="307"/>
        <v>99.1</v>
      </c>
      <c r="W3267" s="413"/>
    </row>
    <row r="3268" spans="6:23" ht="24" customHeight="1">
      <c r="F3268" s="414">
        <v>0.25</v>
      </c>
      <c r="G3268" s="414" t="s">
        <v>453</v>
      </c>
      <c r="H3268" s="412" t="s">
        <v>667</v>
      </c>
      <c r="I3268" s="414">
        <f>I3183</f>
        <v>651</v>
      </c>
      <c r="J3268" s="413" t="s">
        <v>453</v>
      </c>
      <c r="K3268" s="414">
        <f>(F3268*I3268)</f>
        <v>162.75</v>
      </c>
      <c r="M3268" s="414">
        <v>118</v>
      </c>
      <c r="N3268" s="414" t="s">
        <v>701</v>
      </c>
      <c r="O3268" s="414" t="s">
        <v>1084</v>
      </c>
      <c r="P3268" s="414">
        <f>P3234</f>
        <v>2.41</v>
      </c>
      <c r="Q3268" s="413"/>
      <c r="R3268" s="414">
        <f t="shared" si="307"/>
        <v>284.38</v>
      </c>
      <c r="W3268" s="413"/>
    </row>
    <row r="3269" spans="6:23" ht="24" customHeight="1">
      <c r="F3269" s="414">
        <v>0.4</v>
      </c>
      <c r="G3269" s="414" t="s">
        <v>453</v>
      </c>
      <c r="H3269" s="412" t="s">
        <v>1115</v>
      </c>
      <c r="I3269" s="414">
        <f>I3184</f>
        <v>534</v>
      </c>
      <c r="J3269" s="413" t="s">
        <v>453</v>
      </c>
      <c r="K3269" s="414">
        <f>(F3269*I3269)</f>
        <v>213.6</v>
      </c>
      <c r="Q3269" s="413"/>
      <c r="R3269" s="418" t="s">
        <v>1288</v>
      </c>
      <c r="W3269" s="413"/>
    </row>
    <row r="3270" spans="6:23" ht="24" customHeight="1">
      <c r="G3270" s="414" t="s">
        <v>358</v>
      </c>
      <c r="H3270" s="412" t="s">
        <v>1491</v>
      </c>
      <c r="J3270" s="413" t="s">
        <v>358</v>
      </c>
      <c r="K3270" s="414">
        <v>1.65</v>
      </c>
      <c r="O3270" s="412" t="s">
        <v>2049</v>
      </c>
      <c r="Q3270" s="413"/>
      <c r="R3270" s="414" t="e">
        <f>SUM(R3257:R3268)</f>
        <v>#REF!</v>
      </c>
      <c r="W3270" s="413"/>
    </row>
    <row r="3271" spans="6:23" ht="24" customHeight="1">
      <c r="F3271" s="414">
        <v>10</v>
      </c>
      <c r="H3271" s="412" t="s">
        <v>2067</v>
      </c>
      <c r="I3271" s="414">
        <f>I3172</f>
        <v>4.2</v>
      </c>
      <c r="J3271" s="413" t="s">
        <v>184</v>
      </c>
      <c r="K3271" s="414">
        <f>I3271*F3271</f>
        <v>42</v>
      </c>
      <c r="Q3271" s="413"/>
      <c r="R3271" s="418" t="s">
        <v>1288</v>
      </c>
      <c r="W3271" s="413"/>
    </row>
    <row r="3272" spans="6:23" ht="24" customHeight="1">
      <c r="J3272" s="413"/>
      <c r="K3272" s="418" t="s">
        <v>1288</v>
      </c>
      <c r="O3272" s="415" t="s">
        <v>447</v>
      </c>
      <c r="Q3272" s="419" t="s">
        <v>577</v>
      </c>
      <c r="R3272" s="417" t="e">
        <f>R3270/M3261</f>
        <v>#REF!</v>
      </c>
      <c r="W3272" s="413"/>
    </row>
    <row r="3273" spans="6:23" ht="24" customHeight="1">
      <c r="H3273" s="413" t="s">
        <v>1116</v>
      </c>
      <c r="J3273" s="413"/>
      <c r="K3273" s="414">
        <f>SUM(K3266:K3272)</f>
        <v>903.65</v>
      </c>
      <c r="M3273" s="413"/>
      <c r="N3273" s="414" t="s">
        <v>1833</v>
      </c>
      <c r="O3273" s="412" t="s">
        <v>2052</v>
      </c>
      <c r="Q3273" s="413"/>
      <c r="W3273" s="413"/>
    </row>
    <row r="3274" spans="6:23" ht="24" customHeight="1">
      <c r="J3274" s="413"/>
      <c r="K3274" s="418" t="s">
        <v>1288</v>
      </c>
      <c r="O3274" s="412" t="s">
        <v>200</v>
      </c>
      <c r="Q3274" s="413"/>
      <c r="W3274" s="413"/>
    </row>
    <row r="3275" spans="6:23" ht="24" customHeight="1">
      <c r="F3275" s="412" t="s">
        <v>790</v>
      </c>
      <c r="G3275" s="414" t="s">
        <v>790</v>
      </c>
      <c r="H3275" s="413" t="s">
        <v>1382</v>
      </c>
      <c r="I3275" s="412" t="s">
        <v>790</v>
      </c>
      <c r="J3275" s="413" t="s">
        <v>790</v>
      </c>
      <c r="K3275" s="414">
        <f>K3273/10</f>
        <v>90.37</v>
      </c>
      <c r="O3275" s="415" t="s">
        <v>2042</v>
      </c>
      <c r="Q3275" s="413"/>
      <c r="W3275" s="413"/>
    </row>
    <row r="3276" spans="6:23" ht="24" customHeight="1">
      <c r="J3276" s="413"/>
      <c r="K3276" s="418" t="s">
        <v>1676</v>
      </c>
      <c r="O3276" s="418" t="s">
        <v>1288</v>
      </c>
      <c r="Q3276" s="413"/>
      <c r="W3276" s="413"/>
    </row>
    <row r="3277" spans="6:23" ht="24" customHeight="1">
      <c r="G3277" s="417" t="s">
        <v>1535</v>
      </c>
      <c r="J3277" s="414"/>
      <c r="O3277" s="412" t="s">
        <v>2043</v>
      </c>
      <c r="P3277" s="423" t="s">
        <v>1676</v>
      </c>
      <c r="Q3277" s="454">
        <v>2.4279999999999999</v>
      </c>
      <c r="R3277" s="414" t="s">
        <v>1861</v>
      </c>
      <c r="W3277" s="413"/>
    </row>
    <row r="3278" spans="6:23" ht="24" customHeight="1">
      <c r="G3278" s="417" t="s">
        <v>1536</v>
      </c>
      <c r="J3278" s="414"/>
      <c r="O3278" s="412"/>
      <c r="P3278" s="423"/>
      <c r="Q3278" s="454"/>
      <c r="W3278" s="413"/>
    </row>
    <row r="3279" spans="6:23" ht="24" customHeight="1">
      <c r="J3279" s="414"/>
      <c r="O3279" s="412" t="s">
        <v>4357</v>
      </c>
      <c r="P3279" s="423" t="s">
        <v>1676</v>
      </c>
      <c r="Q3279" s="483">
        <v>5.1999999999999998E-2</v>
      </c>
      <c r="R3279" s="414" t="s">
        <v>1749</v>
      </c>
      <c r="W3279" s="413"/>
    </row>
    <row r="3280" spans="6:23" ht="24" customHeight="1">
      <c r="F3280" s="490">
        <v>0.10299999999999999</v>
      </c>
      <c r="G3280" s="417" t="s">
        <v>702</v>
      </c>
      <c r="H3280" s="417" t="s">
        <v>1900</v>
      </c>
      <c r="I3280" s="417" t="e">
        <f>I1102</f>
        <v>#REF!</v>
      </c>
      <c r="J3280" s="415" t="s">
        <v>702</v>
      </c>
      <c r="K3280" s="417" t="e">
        <f>I3280*F3280</f>
        <v>#REF!</v>
      </c>
      <c r="O3280" s="412" t="s">
        <v>2025</v>
      </c>
      <c r="Q3280" s="423"/>
      <c r="W3280" s="413"/>
    </row>
    <row r="3281" spans="6:23" ht="24" customHeight="1">
      <c r="F3281" s="490">
        <v>1.32</v>
      </c>
      <c r="G3281" s="417" t="s">
        <v>488</v>
      </c>
      <c r="H3281" s="417" t="s">
        <v>1537</v>
      </c>
      <c r="I3281" s="417">
        <v>2152</v>
      </c>
      <c r="J3281" s="415" t="s">
        <v>1861</v>
      </c>
      <c r="K3281" s="417">
        <f t="shared" ref="K3281:K3290" si="309">I3281*F3281</f>
        <v>2840.64</v>
      </c>
      <c r="O3281" s="412" t="s">
        <v>2044</v>
      </c>
      <c r="P3281" s="423" t="s">
        <v>1676</v>
      </c>
      <c r="Q3281" s="496">
        <v>1.7718999999999999E-2</v>
      </c>
      <c r="W3281" s="413"/>
    </row>
    <row r="3282" spans="6:23" ht="24" customHeight="1">
      <c r="F3282" s="491">
        <v>3.3000000000000002E-2</v>
      </c>
      <c r="G3282" s="417" t="s">
        <v>702</v>
      </c>
      <c r="H3282" s="445" t="s">
        <v>756</v>
      </c>
      <c r="I3282" s="417" t="e">
        <f>AC28</f>
        <v>#REF!</v>
      </c>
      <c r="J3282" s="415" t="s">
        <v>702</v>
      </c>
      <c r="K3282" s="417" t="e">
        <f t="shared" si="309"/>
        <v>#REF!</v>
      </c>
      <c r="O3282" s="412" t="s">
        <v>2045</v>
      </c>
      <c r="P3282" s="423" t="s">
        <v>1676</v>
      </c>
      <c r="Q3282" s="496">
        <v>7.8750000000000001E-3</v>
      </c>
      <c r="R3282" s="439"/>
      <c r="W3282" s="413"/>
    </row>
    <row r="3283" spans="6:23" ht="24" customHeight="1">
      <c r="F3283" s="491">
        <v>3.0225</v>
      </c>
      <c r="G3283" s="417" t="s">
        <v>488</v>
      </c>
      <c r="H3283" s="445" t="s">
        <v>715</v>
      </c>
      <c r="I3283" s="417">
        <f>AE30</f>
        <v>1537</v>
      </c>
      <c r="J3283" s="415" t="s">
        <v>488</v>
      </c>
      <c r="K3283" s="417">
        <f t="shared" si="309"/>
        <v>4645.58</v>
      </c>
      <c r="Q3283" s="418" t="s">
        <v>1288</v>
      </c>
      <c r="W3283" s="413"/>
    </row>
    <row r="3284" spans="6:23" ht="24" customHeight="1">
      <c r="F3284" s="417">
        <v>6</v>
      </c>
      <c r="G3284" s="417" t="s">
        <v>1524</v>
      </c>
      <c r="H3284" s="417" t="s">
        <v>3198</v>
      </c>
      <c r="I3284" s="417">
        <v>214.1</v>
      </c>
      <c r="J3284" s="415" t="s">
        <v>1134</v>
      </c>
      <c r="K3284" s="417">
        <f t="shared" si="309"/>
        <v>1284.5999999999999</v>
      </c>
      <c r="Q3284" s="493">
        <v>2.5590000000000002E-2</v>
      </c>
      <c r="R3284" s="414" t="s">
        <v>1749</v>
      </c>
      <c r="W3284" s="413"/>
    </row>
    <row r="3285" spans="6:23" ht="24" customHeight="1">
      <c r="F3285" s="417">
        <v>1</v>
      </c>
      <c r="G3285" s="417" t="s">
        <v>1524</v>
      </c>
      <c r="H3285" s="417" t="s">
        <v>3199</v>
      </c>
      <c r="I3285" s="417">
        <v>1020</v>
      </c>
      <c r="J3285" s="415" t="s">
        <v>1134</v>
      </c>
      <c r="K3285" s="417">
        <f t="shared" si="309"/>
        <v>1020</v>
      </c>
      <c r="Q3285" s="418" t="s">
        <v>1288</v>
      </c>
      <c r="W3285" s="413"/>
    </row>
    <row r="3286" spans="6:23" ht="24" customHeight="1">
      <c r="F3286" s="417">
        <v>2</v>
      </c>
      <c r="G3286" s="417" t="s">
        <v>1524</v>
      </c>
      <c r="H3286" s="417" t="s">
        <v>1540</v>
      </c>
      <c r="I3286" s="417">
        <v>540</v>
      </c>
      <c r="J3286" s="415" t="s">
        <v>1134</v>
      </c>
      <c r="K3286" s="417">
        <f t="shared" si="309"/>
        <v>1080</v>
      </c>
      <c r="O3286" s="412" t="s">
        <v>2050</v>
      </c>
      <c r="Q3286" s="494">
        <v>0.58750000000000002</v>
      </c>
      <c r="R3286" s="439"/>
      <c r="W3286" s="413"/>
    </row>
    <row r="3287" spans="6:23" ht="24" customHeight="1">
      <c r="F3287" s="417">
        <v>2</v>
      </c>
      <c r="G3287" s="417" t="s">
        <v>1524</v>
      </c>
      <c r="H3287" s="417" t="s">
        <v>1541</v>
      </c>
      <c r="I3287" s="417">
        <v>764</v>
      </c>
      <c r="J3287" s="415" t="s">
        <v>1134</v>
      </c>
      <c r="K3287" s="417">
        <f t="shared" si="309"/>
        <v>1528</v>
      </c>
      <c r="O3287" s="412" t="s">
        <v>2051</v>
      </c>
      <c r="Q3287" s="494">
        <v>0.28129999999999999</v>
      </c>
      <c r="R3287" s="439"/>
      <c r="W3287" s="413"/>
    </row>
    <row r="3288" spans="6:23" ht="24" customHeight="1">
      <c r="F3288" s="417">
        <v>1</v>
      </c>
      <c r="G3288" s="417" t="s">
        <v>1524</v>
      </c>
      <c r="H3288" s="417" t="s">
        <v>1542</v>
      </c>
      <c r="I3288" s="417">
        <v>985</v>
      </c>
      <c r="J3288" s="415" t="s">
        <v>1134</v>
      </c>
      <c r="K3288" s="417">
        <f t="shared" si="309"/>
        <v>985</v>
      </c>
      <c r="O3288" s="412"/>
      <c r="Q3288" s="418" t="s">
        <v>1288</v>
      </c>
      <c r="R3288" s="439"/>
      <c r="W3288" s="413"/>
    </row>
    <row r="3289" spans="6:23" ht="24" customHeight="1">
      <c r="F3289" s="417">
        <v>2</v>
      </c>
      <c r="G3289" s="417" t="s">
        <v>1524</v>
      </c>
      <c r="H3289" s="417" t="s">
        <v>1543</v>
      </c>
      <c r="I3289" s="417">
        <v>450</v>
      </c>
      <c r="J3289" s="415" t="s">
        <v>1134</v>
      </c>
      <c r="K3289" s="417">
        <f t="shared" si="309"/>
        <v>900</v>
      </c>
      <c r="O3289" s="412"/>
      <c r="Q3289" s="494">
        <v>0.86880000000000002</v>
      </c>
      <c r="R3289" s="417" t="s">
        <v>1861</v>
      </c>
      <c r="W3289" s="413"/>
    </row>
    <row r="3290" spans="6:23" ht="24" customHeight="1">
      <c r="F3290" s="417">
        <v>0</v>
      </c>
      <c r="G3290" s="417" t="s">
        <v>1166</v>
      </c>
      <c r="H3290" s="417" t="s">
        <v>4358</v>
      </c>
      <c r="I3290" s="417">
        <f>I961</f>
        <v>2.41</v>
      </c>
      <c r="J3290" s="415" t="s">
        <v>1134</v>
      </c>
      <c r="K3290" s="480">
        <f t="shared" si="309"/>
        <v>0</v>
      </c>
      <c r="Q3290" s="418" t="s">
        <v>1288</v>
      </c>
      <c r="R3290" s="418"/>
      <c r="W3290" s="413"/>
    </row>
    <row r="3291" spans="6:23" ht="24" customHeight="1">
      <c r="F3291" s="417"/>
      <c r="G3291" s="417"/>
      <c r="H3291" s="417" t="s">
        <v>1544</v>
      </c>
      <c r="I3291" s="417"/>
      <c r="J3291" s="415"/>
      <c r="K3291" s="417" t="e">
        <f>SUM(K3280:K3290)</f>
        <v>#REF!</v>
      </c>
      <c r="M3291" s="439">
        <v>5.1999999999999998E-2</v>
      </c>
      <c r="N3291" s="414" t="s">
        <v>702</v>
      </c>
      <c r="O3291" s="412" t="s">
        <v>234</v>
      </c>
      <c r="P3291" s="414" t="e">
        <f>P3188</f>
        <v>#REF!</v>
      </c>
      <c r="Q3291" s="413" t="s">
        <v>702</v>
      </c>
      <c r="R3291" s="414" t="e">
        <f>P3291*M3291</f>
        <v>#REF!</v>
      </c>
      <c r="W3291" s="413"/>
    </row>
    <row r="3292" spans="6:23" ht="24" customHeight="1">
      <c r="F3292" s="417"/>
      <c r="G3292" s="417"/>
      <c r="H3292" s="417"/>
      <c r="I3292" s="417"/>
      <c r="J3292" s="415"/>
      <c r="K3292" s="480" t="s">
        <v>119</v>
      </c>
      <c r="M3292" s="439">
        <v>2.5590000000000002E-2</v>
      </c>
      <c r="N3292" s="414" t="s">
        <v>702</v>
      </c>
      <c r="O3292" s="412" t="s">
        <v>235</v>
      </c>
      <c r="P3292" s="414" t="e">
        <f>P3189</f>
        <v>#REF!</v>
      </c>
      <c r="Q3292" s="413" t="s">
        <v>702</v>
      </c>
      <c r="R3292" s="414" t="e">
        <f t="shared" ref="R3292:R3300" si="310">P3292*M3292</f>
        <v>#REF!</v>
      </c>
      <c r="W3292" s="413"/>
    </row>
    <row r="3293" spans="6:23" ht="24" customHeight="1">
      <c r="F3293" s="417"/>
      <c r="G3293" s="417"/>
      <c r="H3293" s="417" t="s">
        <v>1545</v>
      </c>
      <c r="I3293" s="417"/>
      <c r="J3293" s="415"/>
      <c r="K3293" s="417" t="e">
        <f>K3291/F3283</f>
        <v>#REF!</v>
      </c>
      <c r="M3293" s="414">
        <v>0.87</v>
      </c>
      <c r="N3293" s="414" t="s">
        <v>488</v>
      </c>
      <c r="O3293" s="412" t="s">
        <v>1700</v>
      </c>
      <c r="P3293" s="414">
        <f>C783</f>
        <v>387.4</v>
      </c>
      <c r="Q3293" s="413" t="s">
        <v>702</v>
      </c>
      <c r="R3293" s="414">
        <f t="shared" si="310"/>
        <v>337.04</v>
      </c>
      <c r="W3293" s="413"/>
    </row>
    <row r="3294" spans="6:23" ht="24" customHeight="1">
      <c r="F3294" s="417"/>
      <c r="G3294" s="417"/>
      <c r="H3294" s="417"/>
      <c r="I3294" s="417"/>
      <c r="J3294" s="415"/>
      <c r="K3294" s="480" t="s">
        <v>119</v>
      </c>
      <c r="M3294" s="440">
        <v>2.4279999999999999</v>
      </c>
      <c r="N3294" s="414" t="s">
        <v>488</v>
      </c>
      <c r="O3294" s="412" t="s">
        <v>356</v>
      </c>
      <c r="P3294" s="414">
        <f>D30</f>
        <v>1281</v>
      </c>
      <c r="Q3294" s="413" t="s">
        <v>488</v>
      </c>
      <c r="R3294" s="414">
        <f t="shared" si="310"/>
        <v>3110.27</v>
      </c>
      <c r="W3294" s="413"/>
    </row>
    <row r="3295" spans="6:23" ht="24" customHeight="1">
      <c r="J3295" s="414"/>
      <c r="M3295" s="414">
        <v>4</v>
      </c>
      <c r="N3295" s="414" t="s">
        <v>619</v>
      </c>
      <c r="O3295" s="412" t="s">
        <v>2030</v>
      </c>
      <c r="P3295" s="414">
        <f t="shared" ref="P3295:P3300" si="311">P3228</f>
        <v>57.65</v>
      </c>
      <c r="Q3295" s="413" t="s">
        <v>701</v>
      </c>
      <c r="R3295" s="414">
        <f t="shared" si="310"/>
        <v>230.6</v>
      </c>
      <c r="W3295" s="413"/>
    </row>
    <row r="3296" spans="6:23" ht="24" hidden="1" customHeight="1">
      <c r="J3296" s="414"/>
      <c r="M3296" s="414">
        <v>8</v>
      </c>
      <c r="N3296" s="414" t="s">
        <v>701</v>
      </c>
      <c r="O3296" s="412" t="s">
        <v>1191</v>
      </c>
      <c r="P3296" s="414">
        <f t="shared" si="311"/>
        <v>89.6</v>
      </c>
      <c r="Q3296" s="413" t="s">
        <v>701</v>
      </c>
      <c r="R3296" s="414">
        <f t="shared" si="310"/>
        <v>716.8</v>
      </c>
      <c r="W3296" s="413"/>
    </row>
    <row r="3297" spans="6:23" ht="24" customHeight="1">
      <c r="G3297" s="414" t="s">
        <v>242</v>
      </c>
      <c r="H3297" s="413" t="s">
        <v>1421</v>
      </c>
      <c r="M3297" s="414">
        <v>4</v>
      </c>
      <c r="N3297" s="414" t="s">
        <v>701</v>
      </c>
      <c r="O3297" s="412" t="s">
        <v>2031</v>
      </c>
      <c r="P3297" s="414">
        <f t="shared" si="311"/>
        <v>97.85</v>
      </c>
      <c r="Q3297" s="413" t="s">
        <v>701</v>
      </c>
      <c r="R3297" s="414">
        <f t="shared" si="310"/>
        <v>391.4</v>
      </c>
      <c r="W3297" s="413"/>
    </row>
    <row r="3298" spans="6:23" ht="24" customHeight="1">
      <c r="H3298" s="413" t="s">
        <v>1453</v>
      </c>
      <c r="M3298" s="414">
        <v>1</v>
      </c>
      <c r="N3298" s="414" t="s">
        <v>701</v>
      </c>
      <c r="O3298" s="412" t="s">
        <v>2032</v>
      </c>
      <c r="P3298" s="414">
        <f t="shared" si="311"/>
        <v>209.9</v>
      </c>
      <c r="Q3298" s="413" t="s">
        <v>701</v>
      </c>
      <c r="R3298" s="414">
        <f t="shared" si="310"/>
        <v>209.9</v>
      </c>
      <c r="W3298" s="413"/>
    </row>
    <row r="3299" spans="6:23" ht="24" customHeight="1">
      <c r="F3299" s="439">
        <v>6.5000000000000002E-2</v>
      </c>
      <c r="G3299" s="414" t="s">
        <v>702</v>
      </c>
      <c r="H3299" s="412" t="s">
        <v>1685</v>
      </c>
      <c r="I3299" s="414" t="e">
        <f>I859</f>
        <v>#REF!</v>
      </c>
      <c r="J3299" s="412" t="s">
        <v>702</v>
      </c>
      <c r="K3299" s="414" t="e">
        <f>I3299*F3299</f>
        <v>#REF!</v>
      </c>
      <c r="M3299" s="414">
        <v>2</v>
      </c>
      <c r="N3299" s="414" t="s">
        <v>701</v>
      </c>
      <c r="O3299" s="412" t="s">
        <v>2033</v>
      </c>
      <c r="P3299" s="414">
        <f t="shared" si="311"/>
        <v>23.1</v>
      </c>
      <c r="Q3299" s="413" t="s">
        <v>701</v>
      </c>
      <c r="R3299" s="414">
        <f t="shared" si="310"/>
        <v>46.2</v>
      </c>
      <c r="W3299" s="413"/>
    </row>
    <row r="3300" spans="6:23" ht="24" customHeight="1">
      <c r="F3300" s="446">
        <v>8.4499999999999993</v>
      </c>
      <c r="G3300" s="414" t="s">
        <v>1341</v>
      </c>
      <c r="H3300" s="412" t="s">
        <v>1686</v>
      </c>
      <c r="I3300" s="414" t="e">
        <f t="shared" ref="I3300:I3310" si="312">I860</f>
        <v>#REF!</v>
      </c>
      <c r="J3300" s="412" t="s">
        <v>694</v>
      </c>
      <c r="K3300" s="414" t="e">
        <f>I3300*F3300/1000</f>
        <v>#REF!</v>
      </c>
      <c r="M3300" s="414">
        <v>2</v>
      </c>
      <c r="N3300" s="414" t="s">
        <v>701</v>
      </c>
      <c r="O3300" s="412" t="s">
        <v>2034</v>
      </c>
      <c r="P3300" s="414">
        <f t="shared" si="311"/>
        <v>49.55</v>
      </c>
      <c r="Q3300" s="413" t="s">
        <v>701</v>
      </c>
      <c r="R3300" s="414">
        <f t="shared" si="310"/>
        <v>99.1</v>
      </c>
      <c r="W3300" s="413"/>
    </row>
    <row r="3301" spans="6:23" ht="24" customHeight="1">
      <c r="F3301" s="414">
        <v>3</v>
      </c>
      <c r="G3301" s="414" t="s">
        <v>701</v>
      </c>
      <c r="H3301" s="412" t="s">
        <v>964</v>
      </c>
      <c r="I3301" s="414">
        <f t="shared" si="312"/>
        <v>14.8</v>
      </c>
      <c r="J3301" s="412" t="s">
        <v>701</v>
      </c>
      <c r="K3301" s="414">
        <f t="shared" ref="K3301:K3308" si="313">I3301*F3301</f>
        <v>44.4</v>
      </c>
      <c r="O3301" s="414" t="s">
        <v>1084</v>
      </c>
      <c r="Q3301" s="413"/>
      <c r="R3301" s="423">
        <f>R3199</f>
        <v>284.38</v>
      </c>
      <c r="W3301" s="413"/>
    </row>
    <row r="3302" spans="6:23" ht="24" customHeight="1">
      <c r="F3302" s="414">
        <v>12</v>
      </c>
      <c r="G3302" s="414" t="s">
        <v>701</v>
      </c>
      <c r="H3302" s="412" t="s">
        <v>965</v>
      </c>
      <c r="I3302" s="414">
        <f t="shared" si="312"/>
        <v>2</v>
      </c>
      <c r="J3302" s="412" t="s">
        <v>701</v>
      </c>
      <c r="K3302" s="414">
        <f t="shared" si="313"/>
        <v>24</v>
      </c>
      <c r="Q3302" s="413"/>
      <c r="R3302" s="418" t="s">
        <v>1288</v>
      </c>
      <c r="W3302" s="413"/>
    </row>
    <row r="3303" spans="6:23" ht="24" customHeight="1">
      <c r="F3303" s="414">
        <v>2</v>
      </c>
      <c r="G3303" s="414" t="s">
        <v>701</v>
      </c>
      <c r="H3303" s="412" t="s">
        <v>966</v>
      </c>
      <c r="I3303" s="414">
        <f t="shared" si="312"/>
        <v>4.9000000000000004</v>
      </c>
      <c r="J3303" s="412" t="s">
        <v>701</v>
      </c>
      <c r="K3303" s="414">
        <f t="shared" si="313"/>
        <v>9.8000000000000007</v>
      </c>
      <c r="O3303" s="412" t="s">
        <v>2049</v>
      </c>
      <c r="Q3303" s="413"/>
      <c r="R3303" s="414" t="e">
        <f>SUM(R3291:R3301)</f>
        <v>#REF!</v>
      </c>
      <c r="W3303" s="413"/>
    </row>
    <row r="3304" spans="6:23" ht="24" customHeight="1">
      <c r="F3304" s="414">
        <v>6</v>
      </c>
      <c r="G3304" s="414" t="s">
        <v>701</v>
      </c>
      <c r="H3304" s="412" t="s">
        <v>1808</v>
      </c>
      <c r="I3304" s="414">
        <f t="shared" si="312"/>
        <v>4.45</v>
      </c>
      <c r="J3304" s="412" t="s">
        <v>701</v>
      </c>
      <c r="K3304" s="414">
        <f t="shared" si="313"/>
        <v>26.7</v>
      </c>
      <c r="Q3304" s="413"/>
      <c r="R3304" s="418" t="s">
        <v>1288</v>
      </c>
      <c r="W3304" s="413"/>
    </row>
    <row r="3305" spans="6:23" ht="24" customHeight="1">
      <c r="F3305" s="414">
        <v>1</v>
      </c>
      <c r="G3305" s="414" t="s">
        <v>701</v>
      </c>
      <c r="H3305" s="412" t="s">
        <v>967</v>
      </c>
      <c r="I3305" s="414">
        <f t="shared" si="312"/>
        <v>999</v>
      </c>
      <c r="J3305" s="412" t="s">
        <v>701</v>
      </c>
      <c r="K3305" s="414">
        <f t="shared" si="313"/>
        <v>999</v>
      </c>
      <c r="O3305" s="415" t="s">
        <v>447</v>
      </c>
      <c r="Q3305" s="419" t="s">
        <v>577</v>
      </c>
      <c r="R3305" s="417" t="e">
        <f>R3303/M3294</f>
        <v>#REF!</v>
      </c>
      <c r="W3305" s="413"/>
    </row>
    <row r="3306" spans="6:23" ht="24" customHeight="1">
      <c r="F3306" s="414">
        <v>1</v>
      </c>
      <c r="G3306" s="414" t="s">
        <v>701</v>
      </c>
      <c r="H3306" s="412" t="s">
        <v>968</v>
      </c>
      <c r="I3306" s="414">
        <f t="shared" si="312"/>
        <v>651</v>
      </c>
      <c r="J3306" s="412" t="s">
        <v>701</v>
      </c>
      <c r="K3306" s="414">
        <f t="shared" si="313"/>
        <v>651</v>
      </c>
      <c r="M3306" s="413"/>
      <c r="N3306" s="414" t="s">
        <v>1833</v>
      </c>
      <c r="O3306" s="412" t="s">
        <v>1877</v>
      </c>
      <c r="Q3306" s="413"/>
      <c r="W3306" s="413"/>
    </row>
    <row r="3307" spans="6:23" ht="24" customHeight="1">
      <c r="F3307" s="414">
        <v>1</v>
      </c>
      <c r="G3307" s="414" t="s">
        <v>701</v>
      </c>
      <c r="H3307" s="412" t="s">
        <v>969</v>
      </c>
      <c r="I3307" s="414">
        <f t="shared" si="312"/>
        <v>25</v>
      </c>
      <c r="J3307" s="412" t="s">
        <v>701</v>
      </c>
      <c r="K3307" s="414">
        <f t="shared" si="313"/>
        <v>25</v>
      </c>
      <c r="O3307" s="412" t="s">
        <v>200</v>
      </c>
      <c r="Q3307" s="413"/>
      <c r="W3307" s="413"/>
    </row>
    <row r="3308" spans="6:23" ht="24" customHeight="1">
      <c r="F3308" s="414">
        <v>0.5</v>
      </c>
      <c r="G3308" s="414" t="s">
        <v>701</v>
      </c>
      <c r="H3308" s="412" t="s">
        <v>970</v>
      </c>
      <c r="I3308" s="414">
        <f t="shared" si="312"/>
        <v>534</v>
      </c>
      <c r="J3308" s="412" t="s">
        <v>701</v>
      </c>
      <c r="K3308" s="414">
        <f t="shared" si="313"/>
        <v>267</v>
      </c>
      <c r="O3308" s="415" t="s">
        <v>1965</v>
      </c>
      <c r="Q3308" s="413"/>
      <c r="W3308" s="413"/>
    </row>
    <row r="3309" spans="6:23" ht="24" customHeight="1">
      <c r="G3309" s="414" t="s">
        <v>358</v>
      </c>
      <c r="H3309" s="412" t="s">
        <v>1742</v>
      </c>
      <c r="I3309" s="414">
        <f t="shared" si="312"/>
        <v>0</v>
      </c>
      <c r="J3309" s="412" t="s">
        <v>358</v>
      </c>
      <c r="K3309" s="414">
        <v>2.1</v>
      </c>
      <c r="O3309" s="418" t="s">
        <v>1288</v>
      </c>
      <c r="Q3309" s="413"/>
      <c r="W3309" s="413"/>
    </row>
    <row r="3310" spans="6:23" ht="24" customHeight="1">
      <c r="I3310" s="414">
        <f t="shared" si="312"/>
        <v>0</v>
      </c>
      <c r="K3310" s="418" t="s">
        <v>1288</v>
      </c>
      <c r="O3310" s="412" t="s">
        <v>2024</v>
      </c>
      <c r="P3310" s="423" t="s">
        <v>1676</v>
      </c>
      <c r="Q3310" s="454">
        <v>3.1219999999999999</v>
      </c>
      <c r="R3310" s="412" t="s">
        <v>1861</v>
      </c>
      <c r="W3310" s="413"/>
    </row>
    <row r="3311" spans="6:23" ht="24" customHeight="1">
      <c r="H3311" s="420" t="s">
        <v>222</v>
      </c>
      <c r="K3311" s="417" t="e">
        <f>SUM(K3299:K3310)</f>
        <v>#REF!</v>
      </c>
      <c r="O3311" s="412"/>
      <c r="P3311" s="423"/>
      <c r="Q3311" s="454"/>
      <c r="R3311" s="412"/>
      <c r="W3311" s="413"/>
    </row>
    <row r="3312" spans="6:23" ht="24" customHeight="1">
      <c r="K3312" s="418" t="s">
        <v>1288</v>
      </c>
      <c r="O3312" s="412" t="s">
        <v>4357</v>
      </c>
      <c r="P3312" s="423" t="s">
        <v>1676</v>
      </c>
      <c r="Q3312" s="483">
        <v>5.1999999999999998E-2</v>
      </c>
      <c r="R3312" s="412" t="s">
        <v>1749</v>
      </c>
      <c r="W3312" s="413"/>
    </row>
    <row r="3313" spans="6:23" ht="24" hidden="1" customHeight="1">
      <c r="J3313" s="414"/>
      <c r="O3313" s="412" t="s">
        <v>2025</v>
      </c>
      <c r="Q3313" s="423"/>
      <c r="R3313" s="412"/>
      <c r="W3313" s="413"/>
    </row>
    <row r="3314" spans="6:23" ht="24" customHeight="1">
      <c r="J3314" s="414"/>
      <c r="O3314" s="412" t="s">
        <v>2026</v>
      </c>
      <c r="P3314" s="423" t="s">
        <v>1676</v>
      </c>
      <c r="Q3314" s="492">
        <v>2.2780000000000002E-2</v>
      </c>
      <c r="R3314" s="412"/>
      <c r="W3314" s="413"/>
    </row>
    <row r="3315" spans="6:23" ht="24" customHeight="1">
      <c r="G3315" s="417" t="s">
        <v>1422</v>
      </c>
      <c r="J3315" s="414"/>
      <c r="O3315" s="412" t="s">
        <v>1966</v>
      </c>
      <c r="P3315" s="423" t="s">
        <v>1676</v>
      </c>
      <c r="Q3315" s="496">
        <v>1.0125E-2</v>
      </c>
      <c r="R3315" s="449"/>
      <c r="W3315" s="413"/>
    </row>
    <row r="3316" spans="6:23" ht="24" customHeight="1">
      <c r="G3316" s="417" t="s">
        <v>1423</v>
      </c>
      <c r="J3316" s="414"/>
      <c r="Q3316" s="495" t="s">
        <v>2003</v>
      </c>
      <c r="R3316" s="412"/>
      <c r="W3316" s="413"/>
    </row>
    <row r="3317" spans="6:23" ht="24" customHeight="1">
      <c r="J3317" s="414"/>
      <c r="Q3317" s="493">
        <v>3.2910000000000002E-2</v>
      </c>
      <c r="R3317" s="412" t="s">
        <v>1749</v>
      </c>
      <c r="W3317" s="413"/>
    </row>
    <row r="3318" spans="6:23" ht="24" customHeight="1">
      <c r="F3318" s="491">
        <v>2.6159999999999999E-2</v>
      </c>
      <c r="G3318" s="417" t="s">
        <v>702</v>
      </c>
      <c r="H3318" s="417" t="s">
        <v>2012</v>
      </c>
      <c r="I3318" s="417" t="e">
        <f>AC26</f>
        <v>#REF!</v>
      </c>
      <c r="J3318" s="415" t="s">
        <v>702</v>
      </c>
      <c r="K3318" s="417" t="e">
        <f>I3318*F3318</f>
        <v>#REF!</v>
      </c>
      <c r="Q3318" s="495" t="s">
        <v>2003</v>
      </c>
      <c r="R3318" s="412"/>
      <c r="W3318" s="413"/>
    </row>
    <row r="3319" spans="6:23" ht="24" customHeight="1">
      <c r="F3319" s="491">
        <v>4.7809999999999998E-2</v>
      </c>
      <c r="G3319" s="417" t="s">
        <v>702</v>
      </c>
      <c r="H3319" s="417" t="s">
        <v>1914</v>
      </c>
      <c r="I3319" s="417" t="e">
        <f>AC27</f>
        <v>#REF!</v>
      </c>
      <c r="J3319" s="415" t="s">
        <v>702</v>
      </c>
      <c r="K3319" s="417" t="e">
        <f t="shared" ref="K3319:K3327" si="314">I3319*F3319</f>
        <v>#REF!</v>
      </c>
      <c r="O3319" s="412" t="s">
        <v>2038</v>
      </c>
      <c r="Q3319" s="483">
        <v>0.94</v>
      </c>
      <c r="R3319" s="449" t="s">
        <v>1861</v>
      </c>
      <c r="W3319" s="413"/>
    </row>
    <row r="3320" spans="6:23" ht="31.5" customHeight="1">
      <c r="F3320" s="491">
        <v>4.5879999999999997E-2</v>
      </c>
      <c r="G3320" s="417" t="s">
        <v>702</v>
      </c>
      <c r="H3320" s="445" t="s">
        <v>3200</v>
      </c>
      <c r="I3320" s="417">
        <v>107000</v>
      </c>
      <c r="J3320" s="415" t="s">
        <v>702</v>
      </c>
      <c r="K3320" s="417">
        <f t="shared" si="314"/>
        <v>4909.16</v>
      </c>
      <c r="O3320" s="412" t="s">
        <v>2053</v>
      </c>
      <c r="Q3320" s="483">
        <v>0.45</v>
      </c>
      <c r="R3320" s="449" t="s">
        <v>1749</v>
      </c>
      <c r="W3320" s="413"/>
    </row>
    <row r="3321" spans="6:23" ht="24" customHeight="1">
      <c r="F3321" s="491">
        <v>3.95</v>
      </c>
      <c r="G3321" s="417" t="s">
        <v>488</v>
      </c>
      <c r="H3321" s="417" t="s">
        <v>715</v>
      </c>
      <c r="I3321" s="417">
        <f>P3261</f>
        <v>1537</v>
      </c>
      <c r="J3321" s="415" t="s">
        <v>488</v>
      </c>
      <c r="K3321" s="417">
        <f t="shared" si="314"/>
        <v>6071.15</v>
      </c>
      <c r="O3321" s="412" t="s">
        <v>2040</v>
      </c>
      <c r="Q3321" s="483">
        <v>7.9</v>
      </c>
      <c r="R3321" s="449" t="s">
        <v>669</v>
      </c>
      <c r="W3321" s="413"/>
    </row>
    <row r="3322" spans="6:23" ht="24" customHeight="1">
      <c r="F3322" s="417">
        <v>2</v>
      </c>
      <c r="G3322" s="417" t="s">
        <v>1524</v>
      </c>
      <c r="H3322" s="417" t="s">
        <v>1730</v>
      </c>
      <c r="I3322" s="417">
        <f t="shared" ref="I3322:I3327" si="315">P3262</f>
        <v>57.65</v>
      </c>
      <c r="J3322" s="415" t="s">
        <v>1134</v>
      </c>
      <c r="K3322" s="417">
        <f t="shared" si="314"/>
        <v>115.3</v>
      </c>
      <c r="Q3322" s="418"/>
      <c r="R3322" s="418"/>
      <c r="W3322" s="413"/>
    </row>
    <row r="3323" spans="6:23" ht="24" customHeight="1">
      <c r="F3323" s="417">
        <v>6</v>
      </c>
      <c r="G3323" s="417" t="s">
        <v>1524</v>
      </c>
      <c r="H3323" s="417" t="s">
        <v>888</v>
      </c>
      <c r="I3323" s="417">
        <f t="shared" si="315"/>
        <v>89.6</v>
      </c>
      <c r="J3323" s="415" t="s">
        <v>1134</v>
      </c>
      <c r="K3323" s="417">
        <f t="shared" si="314"/>
        <v>537.6</v>
      </c>
      <c r="M3323" s="439">
        <v>5.1999999999999998E-2</v>
      </c>
      <c r="N3323" s="414" t="s">
        <v>702</v>
      </c>
      <c r="O3323" s="412" t="s">
        <v>234</v>
      </c>
      <c r="P3323" s="414" t="e">
        <f>P3221</f>
        <v>#REF!</v>
      </c>
      <c r="Q3323" s="413" t="s">
        <v>702</v>
      </c>
      <c r="R3323" s="414" t="e">
        <f>P3323*M3323</f>
        <v>#REF!</v>
      </c>
      <c r="W3323" s="413"/>
    </row>
    <row r="3324" spans="6:23" ht="24" customHeight="1">
      <c r="F3324" s="417">
        <v>4</v>
      </c>
      <c r="G3324" s="417" t="s">
        <v>1524</v>
      </c>
      <c r="H3324" s="417" t="s">
        <v>1095</v>
      </c>
      <c r="I3324" s="417">
        <f t="shared" si="315"/>
        <v>97.85</v>
      </c>
      <c r="J3324" s="415" t="s">
        <v>1134</v>
      </c>
      <c r="K3324" s="417">
        <f t="shared" si="314"/>
        <v>391.4</v>
      </c>
      <c r="M3324" s="439">
        <v>3.2910000000000002E-2</v>
      </c>
      <c r="N3324" s="414" t="s">
        <v>702</v>
      </c>
      <c r="O3324" s="412" t="s">
        <v>235</v>
      </c>
      <c r="P3324" s="414" t="e">
        <f>P3222</f>
        <v>#REF!</v>
      </c>
      <c r="Q3324" s="413" t="s">
        <v>702</v>
      </c>
      <c r="R3324" s="414" t="e">
        <f t="shared" ref="R3324:R3335" si="316">P3324*M3324</f>
        <v>#REF!</v>
      </c>
      <c r="W3324" s="413"/>
    </row>
    <row r="3325" spans="6:23" ht="24" customHeight="1">
      <c r="F3325" s="417">
        <v>1</v>
      </c>
      <c r="G3325" s="417" t="s">
        <v>1524</v>
      </c>
      <c r="H3325" s="417" t="s">
        <v>1096</v>
      </c>
      <c r="I3325" s="417">
        <f t="shared" si="315"/>
        <v>209.9</v>
      </c>
      <c r="J3325" s="415" t="s">
        <v>1134</v>
      </c>
      <c r="K3325" s="417">
        <f t="shared" si="314"/>
        <v>209.9</v>
      </c>
      <c r="M3325" s="439">
        <v>0.45</v>
      </c>
      <c r="N3325" s="414" t="s">
        <v>488</v>
      </c>
      <c r="O3325" s="412" t="s">
        <v>1700</v>
      </c>
      <c r="P3325" s="414">
        <f>P3293</f>
        <v>387.4</v>
      </c>
      <c r="Q3325" s="413" t="s">
        <v>702</v>
      </c>
      <c r="R3325" s="414">
        <f t="shared" si="316"/>
        <v>174.33</v>
      </c>
      <c r="W3325" s="413"/>
    </row>
    <row r="3326" spans="6:23" ht="24" customHeight="1">
      <c r="F3326" s="417">
        <v>2</v>
      </c>
      <c r="G3326" s="417" t="s">
        <v>1524</v>
      </c>
      <c r="H3326" s="417" t="s">
        <v>2271</v>
      </c>
      <c r="I3326" s="417">
        <f t="shared" si="315"/>
        <v>23.1</v>
      </c>
      <c r="J3326" s="415" t="s">
        <v>1134</v>
      </c>
      <c r="K3326" s="417">
        <f t="shared" si="314"/>
        <v>46.2</v>
      </c>
      <c r="M3326" s="440">
        <v>0.94</v>
      </c>
      <c r="N3326" s="414" t="s">
        <v>488</v>
      </c>
      <c r="O3326" s="412" t="s">
        <v>2039</v>
      </c>
      <c r="P3326" s="414">
        <f t="shared" ref="P3326:P3334" si="317">P3225</f>
        <v>562.5</v>
      </c>
      <c r="Q3326" s="413" t="s">
        <v>488</v>
      </c>
      <c r="R3326" s="414">
        <f t="shared" si="316"/>
        <v>528.75</v>
      </c>
      <c r="W3326" s="413"/>
    </row>
    <row r="3327" spans="6:23" ht="24" customHeight="1">
      <c r="F3327" s="417">
        <v>2</v>
      </c>
      <c r="G3327" s="417" t="s">
        <v>1524</v>
      </c>
      <c r="H3327" s="417" t="s">
        <v>1614</v>
      </c>
      <c r="I3327" s="417">
        <f t="shared" si="315"/>
        <v>49.55</v>
      </c>
      <c r="J3327" s="415" t="s">
        <v>1134</v>
      </c>
      <c r="K3327" s="417">
        <f t="shared" si="314"/>
        <v>99.1</v>
      </c>
      <c r="M3327" s="440">
        <v>7.9</v>
      </c>
      <c r="N3327" s="414" t="s">
        <v>1443</v>
      </c>
      <c r="O3327" s="412" t="s">
        <v>2041</v>
      </c>
      <c r="P3327" s="414">
        <f t="shared" si="317"/>
        <v>15.45</v>
      </c>
      <c r="Q3327" s="413"/>
      <c r="R3327" s="414">
        <f t="shared" si="316"/>
        <v>122.06</v>
      </c>
      <c r="W3327" s="413"/>
    </row>
    <row r="3328" spans="6:23" ht="24" customHeight="1">
      <c r="F3328" s="417">
        <v>10</v>
      </c>
      <c r="G3328" s="417"/>
      <c r="H3328" s="417" t="s">
        <v>1547</v>
      </c>
      <c r="I3328" s="417">
        <f>I3290</f>
        <v>2.41</v>
      </c>
      <c r="J3328" s="415"/>
      <c r="K3328" s="417">
        <v>24.3</v>
      </c>
      <c r="M3328" s="440">
        <v>3.1219999999999999</v>
      </c>
      <c r="N3328" s="414" t="s">
        <v>488</v>
      </c>
      <c r="O3328" s="412" t="s">
        <v>356</v>
      </c>
      <c r="P3328" s="414">
        <f t="shared" si="317"/>
        <v>1436</v>
      </c>
      <c r="Q3328" s="413" t="s">
        <v>488</v>
      </c>
      <c r="R3328" s="414">
        <f t="shared" si="316"/>
        <v>4483.1899999999996</v>
      </c>
      <c r="W3328" s="413"/>
    </row>
    <row r="3329" spans="6:23" ht="24" customHeight="1">
      <c r="F3329" s="417"/>
      <c r="G3329" s="417"/>
      <c r="H3329" s="417" t="s">
        <v>3253</v>
      </c>
      <c r="I3329" s="417"/>
      <c r="J3329" s="415"/>
      <c r="K3329" s="417" t="e">
        <f>SUM(K3318:K3328)</f>
        <v>#REF!</v>
      </c>
      <c r="M3329" s="414">
        <v>4</v>
      </c>
      <c r="N3329" s="414" t="s">
        <v>619</v>
      </c>
      <c r="O3329" s="412" t="s">
        <v>2030</v>
      </c>
      <c r="P3329" s="414">
        <f t="shared" si="317"/>
        <v>57.65</v>
      </c>
      <c r="Q3329" s="413" t="s">
        <v>701</v>
      </c>
      <c r="R3329" s="414">
        <f t="shared" si="316"/>
        <v>230.6</v>
      </c>
      <c r="W3329" s="413"/>
    </row>
    <row r="3330" spans="6:23" ht="24" customHeight="1">
      <c r="F3330" s="417"/>
      <c r="G3330" s="417"/>
      <c r="H3330" s="417"/>
      <c r="I3330" s="417"/>
      <c r="J3330" s="415"/>
      <c r="K3330" s="480" t="s">
        <v>119</v>
      </c>
      <c r="M3330" s="414">
        <v>8</v>
      </c>
      <c r="N3330" s="414" t="s">
        <v>701</v>
      </c>
      <c r="O3330" s="412" t="s">
        <v>1191</v>
      </c>
      <c r="P3330" s="414">
        <f t="shared" si="317"/>
        <v>89.6</v>
      </c>
      <c r="Q3330" s="413" t="s">
        <v>701</v>
      </c>
      <c r="R3330" s="414">
        <f t="shared" si="316"/>
        <v>716.8</v>
      </c>
      <c r="W3330" s="413"/>
    </row>
    <row r="3331" spans="6:23" ht="24" customHeight="1">
      <c r="F3331" s="417"/>
      <c r="G3331" s="417"/>
      <c r="H3331" s="417" t="s">
        <v>447</v>
      </c>
      <c r="I3331" s="417"/>
      <c r="J3331" s="415"/>
      <c r="K3331" s="417" t="e">
        <f>K3329/F3321</f>
        <v>#REF!</v>
      </c>
      <c r="M3331" s="414">
        <v>4</v>
      </c>
      <c r="N3331" s="414" t="s">
        <v>701</v>
      </c>
      <c r="O3331" s="412" t="s">
        <v>2031</v>
      </c>
      <c r="P3331" s="414">
        <f t="shared" si="317"/>
        <v>97.85</v>
      </c>
      <c r="Q3331" s="413" t="s">
        <v>701</v>
      </c>
      <c r="R3331" s="414">
        <f t="shared" si="316"/>
        <v>391.4</v>
      </c>
      <c r="W3331" s="413"/>
    </row>
    <row r="3332" spans="6:23" ht="24" customHeight="1">
      <c r="F3332" s="417"/>
      <c r="G3332" s="417"/>
      <c r="H3332" s="417"/>
      <c r="I3332" s="417"/>
      <c r="J3332" s="415"/>
      <c r="K3332" s="480" t="s">
        <v>119</v>
      </c>
      <c r="M3332" s="414">
        <v>1</v>
      </c>
      <c r="N3332" s="414" t="s">
        <v>701</v>
      </c>
      <c r="O3332" s="412" t="s">
        <v>2032</v>
      </c>
      <c r="P3332" s="414">
        <f t="shared" si="317"/>
        <v>209.9</v>
      </c>
      <c r="Q3332" s="413" t="s">
        <v>701</v>
      </c>
      <c r="R3332" s="414">
        <f t="shared" si="316"/>
        <v>209.9</v>
      </c>
      <c r="W3332" s="413"/>
    </row>
    <row r="3333" spans="6:23" ht="24" hidden="1" customHeight="1">
      <c r="J3333" s="414"/>
      <c r="M3333" s="414">
        <v>2</v>
      </c>
      <c r="N3333" s="414" t="s">
        <v>701</v>
      </c>
      <c r="O3333" s="412" t="s">
        <v>2033</v>
      </c>
      <c r="P3333" s="414">
        <f t="shared" si="317"/>
        <v>23.1</v>
      </c>
      <c r="Q3333" s="413" t="s">
        <v>701</v>
      </c>
      <c r="R3333" s="414">
        <f t="shared" si="316"/>
        <v>46.2</v>
      </c>
      <c r="W3333" s="413"/>
    </row>
    <row r="3334" spans="6:23" ht="24" hidden="1" customHeight="1">
      <c r="J3334" s="414"/>
      <c r="M3334" s="414">
        <v>2</v>
      </c>
      <c r="N3334" s="414" t="s">
        <v>701</v>
      </c>
      <c r="O3334" s="412" t="s">
        <v>2034</v>
      </c>
      <c r="P3334" s="414">
        <f t="shared" si="317"/>
        <v>49.55</v>
      </c>
      <c r="Q3334" s="413" t="s">
        <v>701</v>
      </c>
      <c r="R3334" s="414">
        <f t="shared" si="316"/>
        <v>99.1</v>
      </c>
      <c r="W3334" s="413"/>
    </row>
    <row r="3335" spans="6:23" ht="24" customHeight="1">
      <c r="J3335" s="414"/>
      <c r="M3335" s="414">
        <v>118</v>
      </c>
      <c r="N3335" s="414" t="s">
        <v>701</v>
      </c>
      <c r="O3335" s="414" t="s">
        <v>1084</v>
      </c>
      <c r="P3335" s="414">
        <f>P3268</f>
        <v>2.41</v>
      </c>
      <c r="Q3335" s="413" t="s">
        <v>701</v>
      </c>
      <c r="R3335" s="414">
        <f t="shared" si="316"/>
        <v>284.38</v>
      </c>
      <c r="W3335" s="413"/>
    </row>
    <row r="3336" spans="6:23" ht="24" customHeight="1">
      <c r="F3336" s="413"/>
      <c r="G3336" s="414" t="s">
        <v>1833</v>
      </c>
      <c r="H3336" s="412" t="s">
        <v>4359</v>
      </c>
      <c r="J3336" s="413"/>
      <c r="Q3336" s="413"/>
      <c r="R3336" s="418" t="s">
        <v>1288</v>
      </c>
      <c r="W3336" s="413"/>
    </row>
    <row r="3337" spans="6:23" ht="24" customHeight="1">
      <c r="H3337" s="412" t="s">
        <v>1237</v>
      </c>
      <c r="J3337" s="413"/>
      <c r="O3337" s="412" t="s">
        <v>2035</v>
      </c>
      <c r="Q3337" s="413"/>
      <c r="R3337" s="414" t="e">
        <f>SUM(R3323:R3335)</f>
        <v>#REF!</v>
      </c>
      <c r="W3337" s="413"/>
    </row>
    <row r="3338" spans="6:23" ht="24" customHeight="1">
      <c r="H3338" s="415" t="s">
        <v>1546</v>
      </c>
      <c r="J3338" s="413"/>
      <c r="Q3338" s="413"/>
      <c r="R3338" s="418" t="s">
        <v>1288</v>
      </c>
      <c r="W3338" s="413"/>
    </row>
    <row r="3339" spans="6:23" ht="24" customHeight="1">
      <c r="H3339" s="418" t="s">
        <v>1288</v>
      </c>
      <c r="J3339" s="413"/>
      <c r="O3339" s="415" t="s">
        <v>447</v>
      </c>
      <c r="Q3339" s="419" t="s">
        <v>577</v>
      </c>
      <c r="R3339" s="417" t="e">
        <f>R3337/M3328</f>
        <v>#REF!</v>
      </c>
      <c r="W3339" s="413"/>
    </row>
    <row r="3340" spans="6:23" ht="24" customHeight="1">
      <c r="F3340" s="414">
        <v>1.34</v>
      </c>
      <c r="G3340" s="414" t="s">
        <v>1341</v>
      </c>
      <c r="H3340" s="412" t="s">
        <v>3032</v>
      </c>
      <c r="I3340" s="414">
        <v>73.8</v>
      </c>
      <c r="J3340" s="412" t="s">
        <v>1341</v>
      </c>
      <c r="K3340" s="414">
        <f>(F3340*I3340)</f>
        <v>98.89</v>
      </c>
      <c r="W3340" s="413"/>
    </row>
    <row r="3341" spans="6:23" ht="24" customHeight="1">
      <c r="F3341" s="414">
        <v>0.5</v>
      </c>
      <c r="G3341" s="414" t="s">
        <v>619</v>
      </c>
      <c r="H3341" s="412" t="s">
        <v>960</v>
      </c>
      <c r="I3341" s="414">
        <f>AE13</f>
        <v>797</v>
      </c>
      <c r="J3341" s="414" t="s">
        <v>619</v>
      </c>
      <c r="K3341" s="414">
        <f>(F3341*I3341)</f>
        <v>398.5</v>
      </c>
      <c r="W3341" s="413"/>
    </row>
    <row r="3342" spans="6:23" ht="24" customHeight="1">
      <c r="F3342" s="414">
        <v>0.5</v>
      </c>
      <c r="G3342" s="414" t="s">
        <v>619</v>
      </c>
      <c r="H3342" s="412" t="s">
        <v>1550</v>
      </c>
      <c r="I3342" s="414">
        <f>AE11</f>
        <v>651</v>
      </c>
      <c r="J3342" s="414" t="s">
        <v>619</v>
      </c>
      <c r="K3342" s="414">
        <f>(F3342*I3342)</f>
        <v>325.5</v>
      </c>
      <c r="M3342" s="413"/>
      <c r="N3342" s="414" t="s">
        <v>1833</v>
      </c>
      <c r="O3342" s="412" t="s">
        <v>2055</v>
      </c>
      <c r="Q3342" s="413"/>
      <c r="W3342" s="413"/>
    </row>
    <row r="3343" spans="6:23" ht="24" customHeight="1">
      <c r="F3343" s="414">
        <v>0.8</v>
      </c>
      <c r="G3343" s="414" t="s">
        <v>619</v>
      </c>
      <c r="H3343" s="412" t="s">
        <v>245</v>
      </c>
      <c r="I3343" s="414">
        <f>AE12</f>
        <v>534</v>
      </c>
      <c r="J3343" s="414" t="s">
        <v>619</v>
      </c>
      <c r="K3343" s="414">
        <f>(F3343*I3343)</f>
        <v>427.2</v>
      </c>
      <c r="O3343" s="412" t="s">
        <v>200</v>
      </c>
      <c r="Q3343" s="413"/>
      <c r="W3343" s="413"/>
    </row>
    <row r="3344" spans="6:23" ht="24" customHeight="1">
      <c r="G3344" s="414" t="s">
        <v>358</v>
      </c>
      <c r="H3344" s="412" t="s">
        <v>962</v>
      </c>
      <c r="I3344" s="412" t="s">
        <v>790</v>
      </c>
      <c r="J3344" s="413" t="s">
        <v>358</v>
      </c>
      <c r="K3344" s="414">
        <v>2.6</v>
      </c>
      <c r="O3344" s="415" t="s">
        <v>2054</v>
      </c>
      <c r="Q3344" s="413"/>
      <c r="W3344" s="413"/>
    </row>
    <row r="3345" spans="6:23" ht="24" customHeight="1">
      <c r="J3345" s="413"/>
      <c r="K3345" s="418" t="s">
        <v>1288</v>
      </c>
      <c r="O3345" s="418" t="s">
        <v>1288</v>
      </c>
      <c r="Q3345" s="413"/>
      <c r="W3345" s="413"/>
    </row>
    <row r="3346" spans="6:23" ht="24" customHeight="1">
      <c r="H3346" s="412" t="s">
        <v>351</v>
      </c>
      <c r="J3346" s="413"/>
      <c r="K3346" s="414">
        <f>SUM(K3340:K3345)</f>
        <v>1252.69</v>
      </c>
      <c r="O3346" s="412" t="s">
        <v>2065</v>
      </c>
      <c r="P3346" s="423" t="s">
        <v>1676</v>
      </c>
      <c r="Q3346" s="454">
        <v>1.734</v>
      </c>
      <c r="R3346" s="414" t="s">
        <v>1861</v>
      </c>
      <c r="W3346" s="413"/>
    </row>
    <row r="3347" spans="6:23" ht="24" customHeight="1">
      <c r="J3347" s="413"/>
      <c r="K3347" s="418" t="s">
        <v>1288</v>
      </c>
      <c r="O3347" s="412"/>
      <c r="P3347" s="423"/>
      <c r="Q3347" s="454"/>
      <c r="W3347" s="413"/>
    </row>
    <row r="3348" spans="6:23" ht="24" customHeight="1">
      <c r="H3348" s="415" t="s">
        <v>447</v>
      </c>
      <c r="J3348" s="413"/>
      <c r="K3348" s="417">
        <f>(K3346/10)</f>
        <v>125.27</v>
      </c>
      <c r="O3348" s="412" t="s">
        <v>4360</v>
      </c>
      <c r="P3348" s="423" t="s">
        <v>1676</v>
      </c>
      <c r="Q3348" s="483">
        <v>3.9E-2</v>
      </c>
      <c r="R3348" s="414" t="s">
        <v>1749</v>
      </c>
      <c r="W3348" s="413"/>
    </row>
    <row r="3349" spans="6:23" ht="24" customHeight="1">
      <c r="F3349" s="412" t="s">
        <v>790</v>
      </c>
      <c r="J3349" s="413"/>
      <c r="O3349" s="412" t="s">
        <v>2025</v>
      </c>
      <c r="Q3349" s="423"/>
      <c r="W3349" s="413"/>
    </row>
    <row r="3350" spans="6:23" ht="24" hidden="1" customHeight="1">
      <c r="J3350" s="414"/>
      <c r="O3350" s="412" t="s">
        <v>1945</v>
      </c>
      <c r="P3350" s="423" t="s">
        <v>1676</v>
      </c>
      <c r="Q3350" s="492">
        <v>1.2659999999999999E-2</v>
      </c>
      <c r="W3350" s="413"/>
    </row>
    <row r="3351" spans="6:23" ht="24" customHeight="1">
      <c r="H3351" s="417" t="s">
        <v>2582</v>
      </c>
      <c r="J3351" s="414"/>
      <c r="O3351" s="412" t="s">
        <v>1952</v>
      </c>
      <c r="P3351" s="423" t="s">
        <v>1676</v>
      </c>
      <c r="Q3351" s="496">
        <v>5.6249999999999998E-3</v>
      </c>
      <c r="R3351" s="439"/>
      <c r="W3351" s="413"/>
    </row>
    <row r="3352" spans="6:23" ht="24" customHeight="1">
      <c r="J3352" s="414"/>
      <c r="Q3352" s="418" t="s">
        <v>1288</v>
      </c>
      <c r="W3352" s="413"/>
    </row>
    <row r="3353" spans="6:23" ht="24" customHeight="1">
      <c r="F3353" s="414">
        <v>1.4</v>
      </c>
      <c r="G3353" s="414" t="s">
        <v>1008</v>
      </c>
      <c r="H3353" s="414" t="s">
        <v>974</v>
      </c>
      <c r="I3353" s="423">
        <f>I3366</f>
        <v>295.60000000000002</v>
      </c>
      <c r="J3353" s="414" t="s">
        <v>1008</v>
      </c>
      <c r="K3353" s="414">
        <f>I3353*F3353</f>
        <v>413.84</v>
      </c>
      <c r="Q3353" s="493">
        <v>1.8290000000000001E-2</v>
      </c>
      <c r="R3353" s="414" t="s">
        <v>1749</v>
      </c>
      <c r="W3353" s="413"/>
    </row>
    <row r="3354" spans="6:23" ht="24" customHeight="1">
      <c r="F3354" s="414">
        <v>1.5</v>
      </c>
      <c r="G3354" s="414" t="s">
        <v>619</v>
      </c>
      <c r="H3354" s="414" t="s">
        <v>2584</v>
      </c>
      <c r="I3354" s="423">
        <f>I3367</f>
        <v>797</v>
      </c>
      <c r="J3354" s="414" t="s">
        <v>619</v>
      </c>
      <c r="K3354" s="414">
        <f>I3354*F3354</f>
        <v>1195.5</v>
      </c>
      <c r="Q3354" s="418" t="s">
        <v>1288</v>
      </c>
      <c r="W3354" s="413"/>
    </row>
    <row r="3355" spans="6:23" ht="24" customHeight="1">
      <c r="F3355" s="414">
        <v>10</v>
      </c>
      <c r="G3355" s="414" t="s">
        <v>1861</v>
      </c>
      <c r="H3355" s="412" t="s">
        <v>2331</v>
      </c>
      <c r="I3355" s="423">
        <f>I3368</f>
        <v>4.2</v>
      </c>
      <c r="J3355" s="414" t="s">
        <v>1861</v>
      </c>
      <c r="K3355" s="414">
        <f>I3355*F3355</f>
        <v>42</v>
      </c>
      <c r="O3355" s="412" t="s">
        <v>1946</v>
      </c>
      <c r="Q3355" s="494">
        <v>0.4113</v>
      </c>
      <c r="R3355" s="439"/>
      <c r="W3355" s="413"/>
    </row>
    <row r="3356" spans="6:23" ht="24" customHeight="1">
      <c r="H3356" s="412" t="s">
        <v>1996</v>
      </c>
      <c r="I3356" s="423" t="s">
        <v>1997</v>
      </c>
      <c r="J3356" s="413"/>
      <c r="K3356" s="414">
        <v>4.33</v>
      </c>
      <c r="O3356" s="412" t="s">
        <v>1947</v>
      </c>
      <c r="Q3356" s="494">
        <v>0.19689999999999999</v>
      </c>
      <c r="R3356" s="439"/>
      <c r="W3356" s="413"/>
    </row>
    <row r="3357" spans="6:23" ht="24" customHeight="1">
      <c r="H3357" s="412" t="s">
        <v>351</v>
      </c>
      <c r="J3357" s="413"/>
      <c r="K3357" s="414">
        <f>SUM(K3353:K3356)</f>
        <v>1655.67</v>
      </c>
      <c r="O3357" s="412"/>
      <c r="Q3357" s="418" t="s">
        <v>1288</v>
      </c>
      <c r="R3357" s="439"/>
      <c r="W3357" s="413"/>
    </row>
    <row r="3358" spans="6:23" ht="24" customHeight="1">
      <c r="H3358" s="415" t="s">
        <v>447</v>
      </c>
      <c r="J3358" s="413"/>
      <c r="K3358" s="414">
        <f>K3357/10</f>
        <v>165.57</v>
      </c>
      <c r="O3358" s="412"/>
      <c r="Q3358" s="483">
        <v>0.60819999999999996</v>
      </c>
      <c r="R3358" s="417"/>
      <c r="W3358" s="413"/>
    </row>
    <row r="3359" spans="6:23" ht="24" customHeight="1">
      <c r="J3359" s="413"/>
      <c r="Q3359" s="418" t="s">
        <v>1288</v>
      </c>
      <c r="R3359" s="418"/>
      <c r="W3359" s="413"/>
    </row>
    <row r="3360" spans="6:23" ht="24" hidden="1" customHeight="1">
      <c r="J3360" s="413"/>
      <c r="M3360" s="439">
        <v>3.9E-2</v>
      </c>
      <c r="N3360" s="414" t="s">
        <v>702</v>
      </c>
      <c r="O3360" s="412" t="s">
        <v>234</v>
      </c>
      <c r="P3360" s="414" t="e">
        <f>P3291</f>
        <v>#REF!</v>
      </c>
      <c r="Q3360" s="413" t="s">
        <v>702</v>
      </c>
      <c r="R3360" s="414" t="e">
        <f>P3360*M3360</f>
        <v>#REF!</v>
      </c>
      <c r="W3360" s="413"/>
    </row>
    <row r="3361" spans="6:23" ht="24" hidden="1" customHeight="1">
      <c r="J3361" s="414"/>
      <c r="M3361" s="439">
        <v>1.8290000000000001E-2</v>
      </c>
      <c r="N3361" s="414" t="s">
        <v>702</v>
      </c>
      <c r="O3361" s="412" t="s">
        <v>235</v>
      </c>
      <c r="P3361" s="414" t="e">
        <f>P3292</f>
        <v>#REF!</v>
      </c>
      <c r="Q3361" s="413" t="s">
        <v>702</v>
      </c>
      <c r="R3361" s="414" t="e">
        <f t="shared" ref="R3361:R3370" si="318">P3361*M3361</f>
        <v>#REF!</v>
      </c>
      <c r="W3361" s="413"/>
    </row>
    <row r="3362" spans="6:23" ht="24" hidden="1" customHeight="1">
      <c r="J3362" s="414"/>
      <c r="M3362" s="439">
        <v>0.60819999999999996</v>
      </c>
      <c r="N3362" s="414" t="s">
        <v>488</v>
      </c>
      <c r="O3362" s="412" t="s">
        <v>1700</v>
      </c>
      <c r="P3362" s="414">
        <f>P3325</f>
        <v>387.4</v>
      </c>
      <c r="Q3362" s="413" t="s">
        <v>702</v>
      </c>
      <c r="R3362" s="414">
        <f t="shared" si="318"/>
        <v>235.62</v>
      </c>
      <c r="W3362" s="413"/>
    </row>
    <row r="3363" spans="6:23" ht="24" hidden="1" customHeight="1">
      <c r="J3363" s="414"/>
      <c r="M3363" s="440">
        <v>1.734</v>
      </c>
      <c r="N3363" s="414" t="s">
        <v>488</v>
      </c>
      <c r="O3363" s="412" t="s">
        <v>356</v>
      </c>
      <c r="P3363" s="414">
        <f>P3328</f>
        <v>1436</v>
      </c>
      <c r="Q3363" s="413" t="s">
        <v>488</v>
      </c>
      <c r="R3363" s="414">
        <f t="shared" si="318"/>
        <v>2490.02</v>
      </c>
      <c r="W3363" s="413"/>
    </row>
    <row r="3364" spans="6:23" ht="24" customHeight="1">
      <c r="H3364" s="417" t="s">
        <v>2583</v>
      </c>
      <c r="J3364" s="414"/>
      <c r="M3364" s="414">
        <v>2</v>
      </c>
      <c r="N3364" s="414" t="s">
        <v>619</v>
      </c>
      <c r="O3364" s="412" t="s">
        <v>2030</v>
      </c>
      <c r="P3364" s="414">
        <f t="shared" ref="P3364:P3369" si="319">P3295</f>
        <v>57.65</v>
      </c>
      <c r="Q3364" s="413" t="s">
        <v>701</v>
      </c>
      <c r="R3364" s="414">
        <f t="shared" si="318"/>
        <v>115.3</v>
      </c>
      <c r="W3364" s="413"/>
    </row>
    <row r="3365" spans="6:23" ht="24" customHeight="1">
      <c r="J3365" s="414"/>
      <c r="M3365" s="414">
        <v>4</v>
      </c>
      <c r="N3365" s="414" t="s">
        <v>701</v>
      </c>
      <c r="O3365" s="412" t="s">
        <v>1191</v>
      </c>
      <c r="P3365" s="414">
        <f t="shared" si="319"/>
        <v>89.6</v>
      </c>
      <c r="Q3365" s="413" t="s">
        <v>701</v>
      </c>
      <c r="R3365" s="414">
        <f t="shared" si="318"/>
        <v>358.4</v>
      </c>
      <c r="W3365" s="413"/>
    </row>
    <row r="3366" spans="6:23" ht="24" customHeight="1">
      <c r="F3366" s="414">
        <v>0.8</v>
      </c>
      <c r="G3366" s="414" t="s">
        <v>1008</v>
      </c>
      <c r="H3366" s="414" t="s">
        <v>974</v>
      </c>
      <c r="I3366" s="423">
        <f>P1319</f>
        <v>295.60000000000002</v>
      </c>
      <c r="J3366" s="414" t="s">
        <v>1008</v>
      </c>
      <c r="K3366" s="414">
        <f>I3366*F3366</f>
        <v>236.48</v>
      </c>
      <c r="M3366" s="414">
        <v>2</v>
      </c>
      <c r="N3366" s="414" t="s">
        <v>701</v>
      </c>
      <c r="O3366" s="412" t="s">
        <v>2031</v>
      </c>
      <c r="P3366" s="414">
        <f t="shared" si="319"/>
        <v>97.85</v>
      </c>
      <c r="Q3366" s="413" t="s">
        <v>701</v>
      </c>
      <c r="R3366" s="414">
        <f t="shared" si="318"/>
        <v>195.7</v>
      </c>
      <c r="W3366" s="413"/>
    </row>
    <row r="3367" spans="6:23" ht="24" customHeight="1">
      <c r="F3367" s="414">
        <v>0.7</v>
      </c>
      <c r="G3367" s="414" t="s">
        <v>619</v>
      </c>
      <c r="H3367" s="414" t="s">
        <v>2584</v>
      </c>
      <c r="I3367" s="414">
        <f>I3341</f>
        <v>797</v>
      </c>
      <c r="J3367" s="414" t="s">
        <v>619</v>
      </c>
      <c r="K3367" s="414">
        <f>I3367*F3367</f>
        <v>557.9</v>
      </c>
      <c r="M3367" s="414">
        <v>1</v>
      </c>
      <c r="N3367" s="414" t="s">
        <v>701</v>
      </c>
      <c r="O3367" s="412" t="s">
        <v>2032</v>
      </c>
      <c r="P3367" s="414">
        <f t="shared" si="319"/>
        <v>209.9</v>
      </c>
      <c r="Q3367" s="413" t="s">
        <v>701</v>
      </c>
      <c r="R3367" s="414">
        <f t="shared" si="318"/>
        <v>209.9</v>
      </c>
      <c r="W3367" s="413"/>
    </row>
    <row r="3368" spans="6:23" ht="24" customHeight="1">
      <c r="F3368" s="414">
        <v>10</v>
      </c>
      <c r="G3368" s="414" t="s">
        <v>1861</v>
      </c>
      <c r="H3368" s="412" t="s">
        <v>2331</v>
      </c>
      <c r="I3368" s="414">
        <f>I3185</f>
        <v>4.2</v>
      </c>
      <c r="J3368" s="414" t="s">
        <v>1861</v>
      </c>
      <c r="K3368" s="414">
        <f>I3368*F3368</f>
        <v>42</v>
      </c>
      <c r="M3368" s="414">
        <v>1</v>
      </c>
      <c r="N3368" s="414" t="s">
        <v>701</v>
      </c>
      <c r="O3368" s="412" t="s">
        <v>2033</v>
      </c>
      <c r="P3368" s="414">
        <f t="shared" si="319"/>
        <v>23.1</v>
      </c>
      <c r="Q3368" s="413" t="s">
        <v>701</v>
      </c>
      <c r="R3368" s="414">
        <f t="shared" si="318"/>
        <v>23.1</v>
      </c>
      <c r="W3368" s="413"/>
    </row>
    <row r="3369" spans="6:23" ht="24" customHeight="1">
      <c r="H3369" s="412" t="s">
        <v>1996</v>
      </c>
      <c r="I3369" s="423" t="s">
        <v>1997</v>
      </c>
      <c r="J3369" s="413"/>
      <c r="K3369" s="414">
        <v>1.6</v>
      </c>
      <c r="M3369" s="414">
        <v>1</v>
      </c>
      <c r="N3369" s="414" t="s">
        <v>701</v>
      </c>
      <c r="O3369" s="412" t="s">
        <v>2034</v>
      </c>
      <c r="P3369" s="414">
        <f t="shared" si="319"/>
        <v>49.55</v>
      </c>
      <c r="Q3369" s="413" t="s">
        <v>701</v>
      </c>
      <c r="R3369" s="414">
        <f t="shared" si="318"/>
        <v>49.55</v>
      </c>
      <c r="W3369" s="413"/>
    </row>
    <row r="3370" spans="6:23" ht="24" customHeight="1">
      <c r="H3370" s="412" t="s">
        <v>351</v>
      </c>
      <c r="J3370" s="413"/>
      <c r="K3370" s="414">
        <f>SUM(K3366:K3369)</f>
        <v>837.98</v>
      </c>
      <c r="M3370" s="414">
        <v>58</v>
      </c>
      <c r="N3370" s="414" t="s">
        <v>701</v>
      </c>
      <c r="O3370" s="414" t="s">
        <v>1084</v>
      </c>
      <c r="P3370" s="414">
        <f>P3335</f>
        <v>2.41</v>
      </c>
      <c r="Q3370" s="413" t="s">
        <v>701</v>
      </c>
      <c r="R3370" s="414">
        <f t="shared" si="318"/>
        <v>139.78</v>
      </c>
      <c r="W3370" s="413"/>
    </row>
    <row r="3371" spans="6:23" ht="24" customHeight="1">
      <c r="H3371" s="415" t="s">
        <v>447</v>
      </c>
      <c r="J3371" s="413"/>
      <c r="K3371" s="414">
        <f>K3370/10</f>
        <v>83.8</v>
      </c>
      <c r="Q3371" s="413"/>
      <c r="R3371" s="418" t="s">
        <v>1288</v>
      </c>
      <c r="W3371" s="413"/>
    </row>
    <row r="3372" spans="6:23" ht="24" hidden="1" customHeight="1">
      <c r="O3372" s="412" t="s">
        <v>1948</v>
      </c>
      <c r="Q3372" s="413"/>
      <c r="R3372" s="414" t="e">
        <f>SUM(R3360:R3370)</f>
        <v>#REF!</v>
      </c>
      <c r="W3372" s="413"/>
    </row>
    <row r="3373" spans="6:23" ht="24" hidden="1" customHeight="1">
      <c r="Q3373" s="413"/>
      <c r="R3373" s="418" t="s">
        <v>1288</v>
      </c>
      <c r="W3373" s="413"/>
    </row>
    <row r="3374" spans="6:23" ht="24" customHeight="1">
      <c r="H3374" s="412"/>
      <c r="I3374" s="423"/>
      <c r="J3374" s="454"/>
      <c r="O3374" s="415" t="s">
        <v>447</v>
      </c>
      <c r="Q3374" s="419" t="s">
        <v>577</v>
      </c>
      <c r="R3374" s="417" t="e">
        <f>R3372/M3363</f>
        <v>#REF!</v>
      </c>
      <c r="W3374" s="413"/>
    </row>
    <row r="3375" spans="6:23" ht="24" customHeight="1">
      <c r="H3375" s="412" t="s">
        <v>4360</v>
      </c>
      <c r="I3375" s="423" t="s">
        <v>1676</v>
      </c>
      <c r="J3375" s="483">
        <v>3.9E-2</v>
      </c>
      <c r="K3375" s="414" t="s">
        <v>1749</v>
      </c>
      <c r="Q3375" s="412"/>
      <c r="R3375" s="418" t="s">
        <v>1676</v>
      </c>
      <c r="W3375" s="413"/>
    </row>
    <row r="3376" spans="6:23" ht="24" customHeight="1">
      <c r="H3376" s="412" t="s">
        <v>2025</v>
      </c>
      <c r="J3376" s="423"/>
      <c r="M3376" s="413"/>
      <c r="N3376" s="414" t="s">
        <v>1833</v>
      </c>
      <c r="O3376" s="412" t="s">
        <v>2055</v>
      </c>
      <c r="Q3376" s="413"/>
      <c r="W3376" s="413"/>
    </row>
    <row r="3377" spans="6:23" ht="24" customHeight="1">
      <c r="H3377" s="412" t="s">
        <v>1951</v>
      </c>
      <c r="I3377" s="423" t="s">
        <v>1676</v>
      </c>
      <c r="J3377" s="492">
        <v>1.519E-2</v>
      </c>
      <c r="O3377" s="412" t="s">
        <v>200</v>
      </c>
      <c r="Q3377" s="413"/>
      <c r="W3377" s="413"/>
    </row>
    <row r="3378" spans="6:23" ht="24" customHeight="1">
      <c r="H3378" s="412" t="s">
        <v>1953</v>
      </c>
      <c r="I3378" s="423" t="s">
        <v>1676</v>
      </c>
      <c r="J3378" s="496">
        <v>6.7499999999999999E-3</v>
      </c>
      <c r="K3378" s="439"/>
      <c r="O3378" s="415" t="s">
        <v>1949</v>
      </c>
      <c r="Q3378" s="413"/>
      <c r="W3378" s="413"/>
    </row>
    <row r="3379" spans="6:23" ht="24" customHeight="1">
      <c r="J3379" s="418" t="s">
        <v>1288</v>
      </c>
      <c r="O3379" s="418" t="s">
        <v>1288</v>
      </c>
      <c r="Q3379" s="413"/>
      <c r="W3379" s="413"/>
    </row>
    <row r="3380" spans="6:23" ht="24" customHeight="1">
      <c r="J3380" s="493">
        <v>2.1940000000000001E-2</v>
      </c>
      <c r="K3380" s="414" t="s">
        <v>1749</v>
      </c>
      <c r="O3380" s="412" t="s">
        <v>1950</v>
      </c>
      <c r="P3380" s="423" t="s">
        <v>1676</v>
      </c>
      <c r="Q3380" s="454">
        <v>2.081</v>
      </c>
      <c r="R3380" s="414" t="s">
        <v>1861</v>
      </c>
      <c r="W3380" s="413"/>
    </row>
    <row r="3381" spans="6:23" ht="24" customHeight="1">
      <c r="J3381" s="418" t="s">
        <v>1288</v>
      </c>
      <c r="O3381" s="412"/>
      <c r="P3381" s="423"/>
      <c r="Q3381" s="454"/>
      <c r="W3381" s="413"/>
    </row>
    <row r="3382" spans="6:23" ht="24" customHeight="1">
      <c r="H3382" s="412" t="s">
        <v>2050</v>
      </c>
      <c r="J3382" s="494">
        <v>0.58750000000000002</v>
      </c>
      <c r="K3382" s="439"/>
      <c r="O3382" s="412" t="s">
        <v>4360</v>
      </c>
      <c r="P3382" s="423" t="s">
        <v>1676</v>
      </c>
      <c r="Q3382" s="483">
        <v>3.9E-2</v>
      </c>
      <c r="R3382" s="414" t="s">
        <v>1749</v>
      </c>
      <c r="W3382" s="413"/>
    </row>
    <row r="3383" spans="6:23" ht="24" customHeight="1">
      <c r="H3383" s="412" t="s">
        <v>2051</v>
      </c>
      <c r="J3383" s="494">
        <v>0.28129999999999999</v>
      </c>
      <c r="K3383" s="439"/>
      <c r="O3383" s="412" t="s">
        <v>2025</v>
      </c>
      <c r="Q3383" s="423"/>
      <c r="W3383" s="413"/>
    </row>
    <row r="3384" spans="6:23" ht="24" customHeight="1">
      <c r="H3384" s="412"/>
      <c r="J3384" s="418" t="s">
        <v>1288</v>
      </c>
      <c r="K3384" s="439"/>
      <c r="O3384" s="412" t="s">
        <v>1951</v>
      </c>
      <c r="P3384" s="423" t="s">
        <v>1676</v>
      </c>
      <c r="Q3384" s="492">
        <v>1.519E-2</v>
      </c>
      <c r="W3384" s="413"/>
    </row>
    <row r="3385" spans="6:23" ht="24" customHeight="1">
      <c r="H3385" s="412"/>
      <c r="J3385" s="483">
        <v>0.86880000000000002</v>
      </c>
      <c r="K3385" s="417"/>
      <c r="O3385" s="412" t="s">
        <v>1953</v>
      </c>
      <c r="P3385" s="423" t="s">
        <v>1676</v>
      </c>
      <c r="Q3385" s="496">
        <v>6.7499999999999999E-3</v>
      </c>
      <c r="R3385" s="439"/>
      <c r="W3385" s="413"/>
    </row>
    <row r="3386" spans="6:23" ht="24" customHeight="1">
      <c r="J3386" s="418" t="s">
        <v>1288</v>
      </c>
      <c r="K3386" s="418"/>
      <c r="Q3386" s="418" t="s">
        <v>1288</v>
      </c>
      <c r="W3386" s="413"/>
    </row>
    <row r="3387" spans="6:23" ht="24" customHeight="1">
      <c r="F3387" s="439">
        <v>3.9E-2</v>
      </c>
      <c r="G3387" s="414" t="s">
        <v>702</v>
      </c>
      <c r="H3387" s="412" t="s">
        <v>234</v>
      </c>
      <c r="I3387" s="414" t="e">
        <f>C88</f>
        <v>#REF!</v>
      </c>
      <c r="J3387" s="413" t="s">
        <v>702</v>
      </c>
      <c r="K3387" s="414">
        <v>2868.26</v>
      </c>
      <c r="Q3387" s="493">
        <v>2.1940000000000001E-2</v>
      </c>
      <c r="R3387" s="414" t="s">
        <v>1749</v>
      </c>
      <c r="W3387" s="413"/>
    </row>
    <row r="3388" spans="6:23" ht="24" customHeight="1">
      <c r="F3388" s="439">
        <v>2.1940000000000001E-2</v>
      </c>
      <c r="G3388" s="414" t="s">
        <v>702</v>
      </c>
      <c r="H3388" s="412" t="s">
        <v>235</v>
      </c>
      <c r="I3388" s="414" t="e">
        <f>C89</f>
        <v>#REF!</v>
      </c>
      <c r="J3388" s="413" t="s">
        <v>702</v>
      </c>
      <c r="K3388" s="414">
        <v>1435.86</v>
      </c>
      <c r="Q3388" s="418" t="s">
        <v>1288</v>
      </c>
      <c r="W3388" s="413"/>
    </row>
    <row r="3389" spans="6:23" ht="24" customHeight="1">
      <c r="F3389" s="439">
        <v>0.86880000000000002</v>
      </c>
      <c r="G3389" s="414" t="s">
        <v>488</v>
      </c>
      <c r="H3389" s="412" t="s">
        <v>1700</v>
      </c>
      <c r="I3389" s="414">
        <f>C783</f>
        <v>387.4</v>
      </c>
      <c r="J3389" s="413" t="s">
        <v>702</v>
      </c>
      <c r="K3389" s="414">
        <v>336.66</v>
      </c>
      <c r="O3389" s="412" t="s">
        <v>2050</v>
      </c>
      <c r="Q3389" s="494">
        <v>0.58750000000000002</v>
      </c>
      <c r="R3389" s="439"/>
      <c r="W3389" s="413"/>
    </row>
    <row r="3390" spans="6:23" ht="24" customHeight="1">
      <c r="F3390" s="440">
        <v>2.081</v>
      </c>
      <c r="G3390" s="414" t="s">
        <v>488</v>
      </c>
      <c r="H3390" s="412" t="s">
        <v>356</v>
      </c>
      <c r="I3390" s="414">
        <v>363</v>
      </c>
      <c r="J3390" s="413" t="s">
        <v>488</v>
      </c>
      <c r="K3390" s="414">
        <v>755.4</v>
      </c>
      <c r="O3390" s="412" t="s">
        <v>2051</v>
      </c>
      <c r="Q3390" s="494">
        <v>0.28129999999999999</v>
      </c>
      <c r="R3390" s="439"/>
      <c r="W3390" s="413"/>
    </row>
    <row r="3391" spans="6:23" ht="24" customHeight="1">
      <c r="F3391" s="414">
        <v>2</v>
      </c>
      <c r="G3391" s="414" t="s">
        <v>619</v>
      </c>
      <c r="H3391" s="412" t="s">
        <v>2133</v>
      </c>
      <c r="I3391" s="414">
        <f t="shared" ref="I3391:I3396" si="320">I3322</f>
        <v>57.65</v>
      </c>
      <c r="J3391" s="413" t="s">
        <v>701</v>
      </c>
      <c r="K3391" s="414">
        <v>84</v>
      </c>
      <c r="O3391" s="412"/>
      <c r="Q3391" s="418" t="s">
        <v>1288</v>
      </c>
      <c r="R3391" s="439"/>
      <c r="W3391" s="413"/>
    </row>
    <row r="3392" spans="6:23" ht="24" customHeight="1">
      <c r="F3392" s="414">
        <v>4</v>
      </c>
      <c r="G3392" s="414" t="s">
        <v>701</v>
      </c>
      <c r="H3392" s="412" t="s">
        <v>2134</v>
      </c>
      <c r="I3392" s="414">
        <f t="shared" si="320"/>
        <v>89.6</v>
      </c>
      <c r="J3392" s="413" t="s">
        <v>701</v>
      </c>
      <c r="K3392" s="414">
        <v>232</v>
      </c>
      <c r="O3392" s="412"/>
      <c r="Q3392" s="483">
        <v>0.86880000000000002</v>
      </c>
      <c r="R3392" s="417"/>
      <c r="W3392" s="413"/>
    </row>
    <row r="3393" spans="6:23" ht="24" customHeight="1">
      <c r="F3393" s="414">
        <v>2</v>
      </c>
      <c r="G3393" s="414" t="s">
        <v>701</v>
      </c>
      <c r="H3393" s="412" t="s">
        <v>2135</v>
      </c>
      <c r="I3393" s="414">
        <f t="shared" si="320"/>
        <v>97.85</v>
      </c>
      <c r="J3393" s="413" t="s">
        <v>701</v>
      </c>
      <c r="K3393" s="414">
        <v>126</v>
      </c>
      <c r="Q3393" s="418" t="s">
        <v>1288</v>
      </c>
      <c r="R3393" s="418"/>
      <c r="W3393" s="413"/>
    </row>
    <row r="3394" spans="6:23" ht="24" customHeight="1">
      <c r="F3394" s="414">
        <v>1</v>
      </c>
      <c r="G3394" s="414" t="s">
        <v>701</v>
      </c>
      <c r="H3394" s="412" t="s">
        <v>2136</v>
      </c>
      <c r="I3394" s="414">
        <f t="shared" si="320"/>
        <v>209.9</v>
      </c>
      <c r="J3394" s="413" t="s">
        <v>701</v>
      </c>
      <c r="K3394" s="414">
        <v>152</v>
      </c>
      <c r="M3394" s="439">
        <v>3.9E-2</v>
      </c>
      <c r="N3394" s="414" t="s">
        <v>702</v>
      </c>
      <c r="O3394" s="412" t="s">
        <v>234</v>
      </c>
      <c r="P3394" s="414" t="e">
        <f>P3291</f>
        <v>#REF!</v>
      </c>
      <c r="Q3394" s="413" t="s">
        <v>702</v>
      </c>
      <c r="R3394" s="414" t="e">
        <f>P3394*M3394</f>
        <v>#REF!</v>
      </c>
      <c r="W3394" s="413"/>
    </row>
    <row r="3395" spans="6:23" ht="24" customHeight="1">
      <c r="F3395" s="414">
        <v>1</v>
      </c>
      <c r="G3395" s="414" t="s">
        <v>701</v>
      </c>
      <c r="H3395" s="412" t="s">
        <v>2033</v>
      </c>
      <c r="I3395" s="414">
        <f t="shared" si="320"/>
        <v>23.1</v>
      </c>
      <c r="J3395" s="413" t="s">
        <v>701</v>
      </c>
      <c r="K3395" s="414">
        <v>20</v>
      </c>
      <c r="M3395" s="439">
        <v>2.1940000000000001E-2</v>
      </c>
      <c r="N3395" s="414" t="s">
        <v>702</v>
      </c>
      <c r="O3395" s="412" t="s">
        <v>235</v>
      </c>
      <c r="P3395" s="414" t="e">
        <f>P3292</f>
        <v>#REF!</v>
      </c>
      <c r="Q3395" s="413" t="s">
        <v>702</v>
      </c>
      <c r="R3395" s="414" t="e">
        <f t="shared" ref="R3395:R3404" si="321">P3395*M3395</f>
        <v>#REF!</v>
      </c>
      <c r="W3395" s="413"/>
    </row>
    <row r="3396" spans="6:23" ht="24" customHeight="1">
      <c r="F3396" s="414">
        <v>1</v>
      </c>
      <c r="G3396" s="414" t="s">
        <v>701</v>
      </c>
      <c r="H3396" s="412" t="s">
        <v>2034</v>
      </c>
      <c r="I3396" s="414">
        <f t="shared" si="320"/>
        <v>49.55</v>
      </c>
      <c r="J3396" s="413" t="s">
        <v>701</v>
      </c>
      <c r="K3396" s="414">
        <v>37</v>
      </c>
      <c r="M3396" s="439">
        <v>0.86880000000000002</v>
      </c>
      <c r="N3396" s="414" t="s">
        <v>488</v>
      </c>
      <c r="O3396" s="412" t="s">
        <v>1700</v>
      </c>
      <c r="P3396" s="414">
        <f>P3362</f>
        <v>387.4</v>
      </c>
      <c r="Q3396" s="413" t="s">
        <v>702</v>
      </c>
      <c r="R3396" s="414">
        <f t="shared" si="321"/>
        <v>336.57</v>
      </c>
      <c r="W3396" s="413"/>
    </row>
    <row r="3397" spans="6:23" ht="24" customHeight="1">
      <c r="H3397" s="414" t="s">
        <v>1084</v>
      </c>
      <c r="J3397" s="413"/>
      <c r="K3397" s="444"/>
      <c r="M3397" s="440">
        <v>2.081</v>
      </c>
      <c r="N3397" s="414" t="s">
        <v>488</v>
      </c>
      <c r="O3397" s="412" t="s">
        <v>356</v>
      </c>
      <c r="P3397" s="414">
        <f>P3294</f>
        <v>1281</v>
      </c>
      <c r="Q3397" s="413" t="s">
        <v>488</v>
      </c>
      <c r="R3397" s="414">
        <f t="shared" si="321"/>
        <v>2665.76</v>
      </c>
      <c r="W3397" s="413"/>
    </row>
    <row r="3398" spans="6:23" ht="24" customHeight="1">
      <c r="J3398" s="413"/>
      <c r="K3398" s="418" t="s">
        <v>1288</v>
      </c>
      <c r="M3398" s="414">
        <v>2</v>
      </c>
      <c r="N3398" s="414" t="s">
        <v>619</v>
      </c>
      <c r="O3398" s="412" t="s">
        <v>2030</v>
      </c>
      <c r="P3398" s="414">
        <f t="shared" ref="P3398:P3403" si="322">P3295</f>
        <v>57.65</v>
      </c>
      <c r="Q3398" s="413" t="s">
        <v>701</v>
      </c>
      <c r="R3398" s="414">
        <f t="shared" si="321"/>
        <v>115.3</v>
      </c>
      <c r="W3398" s="413"/>
    </row>
    <row r="3399" spans="6:23" ht="24" customHeight="1">
      <c r="H3399" s="412" t="s">
        <v>1954</v>
      </c>
      <c r="J3399" s="413"/>
      <c r="K3399" s="414">
        <v>6067.81</v>
      </c>
      <c r="M3399" s="414">
        <v>4</v>
      </c>
      <c r="N3399" s="414" t="s">
        <v>701</v>
      </c>
      <c r="O3399" s="412" t="s">
        <v>1191</v>
      </c>
      <c r="P3399" s="414">
        <f t="shared" si="322"/>
        <v>89.6</v>
      </c>
      <c r="Q3399" s="413" t="s">
        <v>701</v>
      </c>
      <c r="R3399" s="414">
        <f t="shared" si="321"/>
        <v>358.4</v>
      </c>
      <c r="W3399" s="413"/>
    </row>
    <row r="3400" spans="6:23" ht="24" customHeight="1">
      <c r="J3400" s="413"/>
      <c r="K3400" s="418" t="s">
        <v>1288</v>
      </c>
      <c r="M3400" s="414">
        <v>2</v>
      </c>
      <c r="N3400" s="414" t="s">
        <v>701</v>
      </c>
      <c r="O3400" s="412" t="s">
        <v>2031</v>
      </c>
      <c r="P3400" s="414">
        <f t="shared" si="322"/>
        <v>97.85</v>
      </c>
      <c r="Q3400" s="413" t="s">
        <v>701</v>
      </c>
      <c r="R3400" s="414">
        <f t="shared" si="321"/>
        <v>195.7</v>
      </c>
      <c r="W3400" s="413"/>
    </row>
    <row r="3401" spans="6:23" ht="24" customHeight="1">
      <c r="H3401" s="415" t="s">
        <v>447</v>
      </c>
      <c r="J3401" s="419" t="s">
        <v>577</v>
      </c>
      <c r="K3401" s="417">
        <v>2915.81</v>
      </c>
      <c r="M3401" s="414">
        <v>1</v>
      </c>
      <c r="N3401" s="414" t="s">
        <v>701</v>
      </c>
      <c r="O3401" s="412" t="s">
        <v>2032</v>
      </c>
      <c r="P3401" s="414">
        <f t="shared" si="322"/>
        <v>209.9</v>
      </c>
      <c r="Q3401" s="413" t="s">
        <v>701</v>
      </c>
      <c r="R3401" s="414">
        <f t="shared" si="321"/>
        <v>209.9</v>
      </c>
      <c r="W3401" s="413"/>
    </row>
    <row r="3402" spans="6:23" ht="24" customHeight="1">
      <c r="K3402" s="418" t="s">
        <v>1676</v>
      </c>
      <c r="M3402" s="414">
        <v>1</v>
      </c>
      <c r="N3402" s="414" t="s">
        <v>701</v>
      </c>
      <c r="O3402" s="412" t="s">
        <v>2033</v>
      </c>
      <c r="P3402" s="414">
        <f t="shared" si="322"/>
        <v>23.1</v>
      </c>
      <c r="Q3402" s="413" t="s">
        <v>701</v>
      </c>
      <c r="R3402" s="414">
        <f t="shared" si="321"/>
        <v>23.1</v>
      </c>
      <c r="W3402" s="413"/>
    </row>
    <row r="3403" spans="6:23" ht="24" customHeight="1">
      <c r="M3403" s="414">
        <v>1</v>
      </c>
      <c r="N3403" s="414" t="s">
        <v>701</v>
      </c>
      <c r="O3403" s="412" t="s">
        <v>2034</v>
      </c>
      <c r="P3403" s="414">
        <f t="shared" si="322"/>
        <v>49.55</v>
      </c>
      <c r="Q3403" s="413" t="s">
        <v>701</v>
      </c>
      <c r="R3403" s="414">
        <f t="shared" si="321"/>
        <v>49.55</v>
      </c>
      <c r="W3403" s="413"/>
    </row>
    <row r="3404" spans="6:23" ht="24" hidden="1" customHeight="1">
      <c r="M3404" s="414">
        <v>58</v>
      </c>
      <c r="N3404" s="414" t="s">
        <v>701</v>
      </c>
      <c r="O3404" s="414" t="s">
        <v>1084</v>
      </c>
      <c r="P3404" s="414">
        <f>P3370</f>
        <v>2.41</v>
      </c>
      <c r="Q3404" s="413"/>
      <c r="R3404" s="414">
        <f t="shared" si="321"/>
        <v>139.78</v>
      </c>
      <c r="W3404" s="413"/>
    </row>
    <row r="3405" spans="6:23" ht="24" hidden="1" customHeight="1">
      <c r="Q3405" s="413"/>
      <c r="R3405" s="418" t="s">
        <v>1288</v>
      </c>
      <c r="W3405" s="413"/>
    </row>
    <row r="3406" spans="6:23" ht="24" customHeight="1">
      <c r="H3406" s="420" t="s">
        <v>2392</v>
      </c>
      <c r="I3406" s="420"/>
      <c r="O3406" s="412" t="s">
        <v>1954</v>
      </c>
      <c r="Q3406" s="413"/>
      <c r="R3406" s="414" t="e">
        <f>SUM(R3394:R3404)</f>
        <v>#REF!</v>
      </c>
      <c r="W3406" s="413"/>
    </row>
    <row r="3407" spans="6:23" ht="24" customHeight="1">
      <c r="Q3407" s="413"/>
      <c r="R3407" s="418" t="s">
        <v>1288</v>
      </c>
      <c r="W3407" s="413"/>
    </row>
    <row r="3408" spans="6:23" ht="24" customHeight="1">
      <c r="F3408" s="414" t="s">
        <v>2393</v>
      </c>
      <c r="I3408" s="482">
        <f>2*0.95*2.325</f>
        <v>4.4175000000000004</v>
      </c>
      <c r="O3408" s="415" t="s">
        <v>447</v>
      </c>
      <c r="Q3408" s="419" t="s">
        <v>577</v>
      </c>
      <c r="R3408" s="417" t="e">
        <f>R3406/M3397</f>
        <v>#REF!</v>
      </c>
      <c r="W3408" s="413"/>
    </row>
    <row r="3409" spans="6:23" ht="24" customHeight="1">
      <c r="F3409" s="414" t="s">
        <v>2394</v>
      </c>
      <c r="I3409" s="482">
        <f>2*2*2.325*0.075*0.0375</f>
        <v>2.6200000000000001E-2</v>
      </c>
      <c r="Q3409" s="412"/>
      <c r="R3409" s="418" t="s">
        <v>1676</v>
      </c>
      <c r="W3409" s="413"/>
    </row>
    <row r="3410" spans="6:23" ht="24" customHeight="1">
      <c r="F3410" s="414" t="s">
        <v>1648</v>
      </c>
      <c r="I3410" s="440">
        <f>2*3*0.95*0.15*0.0375</f>
        <v>3.2099999999999997E-2</v>
      </c>
      <c r="W3410" s="413"/>
    </row>
    <row r="3411" spans="6:23" ht="24" customHeight="1">
      <c r="F3411" s="414" t="s">
        <v>2395</v>
      </c>
      <c r="G3411" s="414" t="s">
        <v>2396</v>
      </c>
      <c r="I3411" s="440">
        <f>2*2*0.95*0.075*0.0375</f>
        <v>1.0699999999999999E-2</v>
      </c>
      <c r="O3411" s="417"/>
      <c r="Q3411" s="412"/>
      <c r="W3411" s="413"/>
    </row>
    <row r="3412" spans="6:23" ht="24" customHeight="1">
      <c r="I3412" s="483">
        <f>SUM(I3410:I3411)</f>
        <v>4.2799999999999998E-2</v>
      </c>
      <c r="W3412" s="413"/>
    </row>
    <row r="3413" spans="6:23" ht="24" hidden="1" customHeight="1">
      <c r="W3413" s="413"/>
    </row>
    <row r="3414" spans="6:23" ht="24" customHeight="1">
      <c r="W3414" s="413"/>
    </row>
    <row r="3415" spans="6:23" ht="24" customHeight="1">
      <c r="F3415" s="414" t="s">
        <v>2397</v>
      </c>
      <c r="I3415" s="440">
        <f>2*4*0.825*0.36*0.01875</f>
        <v>4.4600000000000001E-2</v>
      </c>
      <c r="W3415" s="413"/>
    </row>
    <row r="3416" spans="6:23" ht="24" customHeight="1">
      <c r="F3416" s="414" t="s">
        <v>2398</v>
      </c>
      <c r="I3416" s="440">
        <f>2*0.825*0.36*0.01875</f>
        <v>1.11E-2</v>
      </c>
      <c r="W3416" s="413"/>
    </row>
    <row r="3417" spans="6:23" ht="24" customHeight="1">
      <c r="I3417" s="483">
        <f>SUM(I3415:I3416)</f>
        <v>5.57E-2</v>
      </c>
      <c r="W3417" s="413"/>
    </row>
    <row r="3418" spans="6:23" ht="24" customHeight="1">
      <c r="H3418" s="417" t="s">
        <v>1323</v>
      </c>
      <c r="M3418" s="413"/>
      <c r="N3418" s="414" t="s">
        <v>1833</v>
      </c>
      <c r="O3418" s="412" t="s">
        <v>2036</v>
      </c>
      <c r="Q3418" s="413"/>
      <c r="W3418" s="413"/>
    </row>
    <row r="3419" spans="6:23" ht="24" customHeight="1">
      <c r="O3419" s="412" t="s">
        <v>200</v>
      </c>
      <c r="Q3419" s="413"/>
      <c r="W3419" s="413"/>
    </row>
    <row r="3420" spans="6:23" ht="24" customHeight="1">
      <c r="F3420" s="440">
        <f>I3409</f>
        <v>2.6200000000000001E-2</v>
      </c>
      <c r="G3420" s="414" t="s">
        <v>702</v>
      </c>
      <c r="H3420" s="414" t="s">
        <v>1913</v>
      </c>
      <c r="I3420" s="414" t="e">
        <f>I2633</f>
        <v>#REF!</v>
      </c>
      <c r="J3420" s="412" t="s">
        <v>702</v>
      </c>
      <c r="K3420" s="414" t="e">
        <f>F3420*I3420</f>
        <v>#REF!</v>
      </c>
      <c r="O3420" s="415" t="s">
        <v>2042</v>
      </c>
      <c r="Q3420" s="413"/>
      <c r="W3420" s="413"/>
    </row>
    <row r="3421" spans="6:23" ht="24" customHeight="1">
      <c r="F3421" s="440">
        <f>I3412</f>
        <v>4.2799999999999998E-2</v>
      </c>
      <c r="G3421" s="414" t="s">
        <v>702</v>
      </c>
      <c r="H3421" s="414" t="s">
        <v>1914</v>
      </c>
      <c r="I3421" s="414" t="e">
        <f>I2634</f>
        <v>#REF!</v>
      </c>
      <c r="J3421" s="412" t="s">
        <v>702</v>
      </c>
      <c r="K3421" s="414" t="e">
        <f t="shared" ref="K3421:K3430" si="323">F3421*I3421</f>
        <v>#REF!</v>
      </c>
      <c r="O3421" s="418" t="s">
        <v>1288</v>
      </c>
      <c r="Q3421" s="413"/>
      <c r="W3421" s="413"/>
    </row>
    <row r="3422" spans="6:23" ht="24" customHeight="1">
      <c r="F3422" s="439">
        <f>I3417</f>
        <v>5.57E-2</v>
      </c>
      <c r="G3422" s="414" t="s">
        <v>702</v>
      </c>
      <c r="H3422" s="414" t="s">
        <v>2399</v>
      </c>
      <c r="I3422" s="414">
        <f>I2635</f>
        <v>107000</v>
      </c>
      <c r="J3422" s="412" t="s">
        <v>702</v>
      </c>
      <c r="K3422" s="414">
        <f t="shared" si="323"/>
        <v>5959.9</v>
      </c>
      <c r="O3422" s="412" t="s">
        <v>2043</v>
      </c>
      <c r="P3422" s="423" t="s">
        <v>1676</v>
      </c>
      <c r="Q3422" s="454">
        <v>2.4279999999999999</v>
      </c>
      <c r="R3422" s="414" t="s">
        <v>1861</v>
      </c>
      <c r="W3422" s="413"/>
    </row>
    <row r="3423" spans="6:23" ht="24" customHeight="1">
      <c r="F3423" s="440">
        <f>I3408</f>
        <v>4.4175000000000004</v>
      </c>
      <c r="G3423" s="414" t="s">
        <v>488</v>
      </c>
      <c r="H3423" s="414" t="s">
        <v>715</v>
      </c>
      <c r="I3423" s="414">
        <f>I2636</f>
        <v>1537</v>
      </c>
      <c r="J3423" s="412" t="s">
        <v>488</v>
      </c>
      <c r="K3423" s="414">
        <f t="shared" si="323"/>
        <v>6789.7</v>
      </c>
      <c r="O3423" s="412"/>
      <c r="P3423" s="423"/>
      <c r="Q3423" s="454"/>
      <c r="W3423" s="413"/>
    </row>
    <row r="3424" spans="6:23" ht="24" customHeight="1">
      <c r="F3424" s="414">
        <v>2</v>
      </c>
      <c r="G3424" s="414" t="s">
        <v>1524</v>
      </c>
      <c r="H3424" s="414" t="s">
        <v>2266</v>
      </c>
      <c r="I3424" s="414">
        <v>450</v>
      </c>
      <c r="J3424" s="412" t="s">
        <v>1134</v>
      </c>
      <c r="K3424" s="414">
        <f t="shared" si="323"/>
        <v>900</v>
      </c>
      <c r="O3424" s="412" t="s">
        <v>4357</v>
      </c>
      <c r="P3424" s="423" t="s">
        <v>1676</v>
      </c>
      <c r="Q3424" s="483">
        <v>5.1999999999999998E-2</v>
      </c>
      <c r="R3424" s="414" t="s">
        <v>1749</v>
      </c>
      <c r="W3424" s="413"/>
    </row>
    <row r="3425" spans="6:23" ht="24" customHeight="1">
      <c r="F3425" s="414">
        <v>6</v>
      </c>
      <c r="G3425" s="414" t="s">
        <v>1524</v>
      </c>
      <c r="H3425" s="414" t="s">
        <v>2267</v>
      </c>
      <c r="I3425" s="414">
        <v>79</v>
      </c>
      <c r="J3425" s="412" t="s">
        <v>1134</v>
      </c>
      <c r="K3425" s="414">
        <f t="shared" si="323"/>
        <v>474</v>
      </c>
      <c r="O3425" s="412" t="s">
        <v>2025</v>
      </c>
      <c r="Q3425" s="423"/>
      <c r="W3425" s="413"/>
    </row>
    <row r="3426" spans="6:23" ht="24" customHeight="1">
      <c r="F3426" s="414">
        <v>4</v>
      </c>
      <c r="G3426" s="414" t="s">
        <v>1524</v>
      </c>
      <c r="H3426" s="414" t="s">
        <v>2268</v>
      </c>
      <c r="I3426" s="414">
        <v>130</v>
      </c>
      <c r="J3426" s="412" t="s">
        <v>1134</v>
      </c>
      <c r="K3426" s="414">
        <f t="shared" si="323"/>
        <v>520</v>
      </c>
      <c r="O3426" s="412" t="s">
        <v>2044</v>
      </c>
      <c r="P3426" s="423" t="s">
        <v>1676</v>
      </c>
      <c r="Q3426" s="492">
        <v>1.772E-2</v>
      </c>
      <c r="W3426" s="413"/>
    </row>
    <row r="3427" spans="6:23" ht="24" customHeight="1">
      <c r="F3427" s="414">
        <v>1</v>
      </c>
      <c r="G3427" s="414" t="s">
        <v>1524</v>
      </c>
      <c r="H3427" s="414" t="s">
        <v>2269</v>
      </c>
      <c r="I3427" s="414">
        <v>985</v>
      </c>
      <c r="J3427" s="412" t="s">
        <v>1134</v>
      </c>
      <c r="K3427" s="414">
        <f t="shared" si="323"/>
        <v>985</v>
      </c>
      <c r="O3427" s="412" t="s">
        <v>2045</v>
      </c>
      <c r="P3427" s="423" t="s">
        <v>1676</v>
      </c>
      <c r="Q3427" s="496">
        <v>7.8750000000000001E-3</v>
      </c>
      <c r="R3427" s="439"/>
      <c r="W3427" s="413"/>
    </row>
    <row r="3428" spans="6:23" ht="24" customHeight="1">
      <c r="F3428" s="414">
        <v>2</v>
      </c>
      <c r="G3428" s="414" t="s">
        <v>1524</v>
      </c>
      <c r="H3428" s="414" t="s">
        <v>2261</v>
      </c>
      <c r="I3428" s="414">
        <f>I3395</f>
        <v>23.1</v>
      </c>
      <c r="J3428" s="412" t="s">
        <v>1134</v>
      </c>
      <c r="K3428" s="414">
        <f t="shared" si="323"/>
        <v>46.2</v>
      </c>
      <c r="Q3428" s="418" t="s">
        <v>1288</v>
      </c>
      <c r="W3428" s="413"/>
    </row>
    <row r="3429" spans="6:23" ht="24" customHeight="1">
      <c r="F3429" s="414">
        <v>2</v>
      </c>
      <c r="G3429" s="414" t="s">
        <v>1524</v>
      </c>
      <c r="H3429" s="414" t="s">
        <v>1614</v>
      </c>
      <c r="I3429" s="414">
        <f>I3396</f>
        <v>49.55</v>
      </c>
      <c r="J3429" s="412" t="s">
        <v>1134</v>
      </c>
      <c r="K3429" s="414">
        <f t="shared" si="323"/>
        <v>99.1</v>
      </c>
      <c r="Q3429" s="493">
        <v>2.5600000000000001E-2</v>
      </c>
      <c r="R3429" s="414" t="s">
        <v>1749</v>
      </c>
      <c r="W3429" s="413"/>
    </row>
    <row r="3430" spans="6:23" ht="24" customHeight="1">
      <c r="F3430" s="416">
        <v>130</v>
      </c>
      <c r="G3430" s="414" t="s">
        <v>1524</v>
      </c>
      <c r="H3430" s="414" t="s">
        <v>929</v>
      </c>
      <c r="I3430" s="414">
        <f>I3328</f>
        <v>2.41</v>
      </c>
      <c r="K3430" s="414">
        <f t="shared" si="323"/>
        <v>313.3</v>
      </c>
      <c r="Q3430" s="418" t="s">
        <v>1288</v>
      </c>
      <c r="W3430" s="413"/>
    </row>
    <row r="3431" spans="6:23" ht="24" customHeight="1">
      <c r="K3431" s="429"/>
      <c r="O3431" s="412" t="s">
        <v>1878</v>
      </c>
      <c r="Q3431" s="483">
        <v>0.58750000000000002</v>
      </c>
      <c r="R3431" s="449" t="s">
        <v>1861</v>
      </c>
      <c r="W3431" s="413"/>
    </row>
    <row r="3432" spans="6:23" ht="24" customHeight="1">
      <c r="G3432" s="417"/>
      <c r="H3432" s="417" t="s">
        <v>2400</v>
      </c>
      <c r="K3432" s="417" t="e">
        <f>SUM(K3420:K3431)</f>
        <v>#REF!</v>
      </c>
      <c r="O3432" s="412" t="s">
        <v>1879</v>
      </c>
      <c r="Q3432" s="483">
        <v>5.3E-3</v>
      </c>
      <c r="R3432" s="449" t="s">
        <v>1749</v>
      </c>
      <c r="W3432" s="413"/>
    </row>
    <row r="3433" spans="6:23" ht="24" customHeight="1">
      <c r="G3433" s="417"/>
      <c r="K3433" s="429" t="s">
        <v>119</v>
      </c>
      <c r="O3433" s="412" t="s">
        <v>1880</v>
      </c>
      <c r="Q3433" s="483">
        <v>6.7</v>
      </c>
      <c r="R3433" s="449" t="s">
        <v>669</v>
      </c>
      <c r="W3433" s="413"/>
    </row>
    <row r="3434" spans="6:23" ht="24" customHeight="1">
      <c r="G3434" s="417"/>
      <c r="H3434" s="417" t="s">
        <v>447</v>
      </c>
      <c r="K3434" s="417" t="e">
        <f>K3432/F3423</f>
        <v>#REF!</v>
      </c>
      <c r="Q3434" s="418"/>
      <c r="R3434" s="418"/>
      <c r="W3434" s="413"/>
    </row>
    <row r="3435" spans="6:23" ht="24" customHeight="1">
      <c r="G3435" s="414" t="s">
        <v>1833</v>
      </c>
      <c r="H3435" s="412" t="s">
        <v>4361</v>
      </c>
      <c r="J3435" s="413"/>
      <c r="M3435" s="439">
        <v>5.1999999999999998E-2</v>
      </c>
      <c r="N3435" s="414" t="s">
        <v>702</v>
      </c>
      <c r="O3435" s="412" t="s">
        <v>234</v>
      </c>
      <c r="P3435" s="414" t="e">
        <f>P3221</f>
        <v>#REF!</v>
      </c>
      <c r="Q3435" s="413" t="s">
        <v>702</v>
      </c>
      <c r="R3435" s="414" t="e">
        <f>P3435*M3435</f>
        <v>#REF!</v>
      </c>
      <c r="W3435" s="413"/>
    </row>
    <row r="3436" spans="6:23" ht="24" customHeight="1">
      <c r="H3436" s="412" t="s">
        <v>1237</v>
      </c>
      <c r="J3436" s="413"/>
      <c r="M3436" s="439">
        <v>2.5600000000000001E-2</v>
      </c>
      <c r="N3436" s="414" t="s">
        <v>702</v>
      </c>
      <c r="O3436" s="412" t="s">
        <v>235</v>
      </c>
      <c r="P3436" s="414" t="e">
        <f>P3222</f>
        <v>#REF!</v>
      </c>
      <c r="Q3436" s="413" t="s">
        <v>702</v>
      </c>
      <c r="R3436" s="414" t="e">
        <f t="shared" ref="R3436:R3448" si="324">P3436*M3436</f>
        <v>#REF!</v>
      </c>
      <c r="W3436" s="413"/>
    </row>
    <row r="3437" spans="6:23" ht="24" customHeight="1">
      <c r="H3437" s="415" t="s">
        <v>1546</v>
      </c>
      <c r="J3437" s="413"/>
      <c r="M3437" s="439">
        <v>5.3E-3</v>
      </c>
      <c r="N3437" s="414" t="s">
        <v>702</v>
      </c>
      <c r="O3437" s="412" t="s">
        <v>2029</v>
      </c>
      <c r="P3437" s="414">
        <f>P3223</f>
        <v>107000</v>
      </c>
      <c r="Q3437" s="413" t="s">
        <v>702</v>
      </c>
      <c r="R3437" s="414">
        <f t="shared" si="324"/>
        <v>567.1</v>
      </c>
      <c r="W3437" s="413"/>
    </row>
    <row r="3438" spans="6:23" ht="24" customHeight="1">
      <c r="H3438" s="418" t="s">
        <v>1288</v>
      </c>
      <c r="J3438" s="413"/>
      <c r="M3438" s="440"/>
      <c r="O3438" s="412" t="s">
        <v>764</v>
      </c>
      <c r="Q3438" s="413"/>
      <c r="R3438" s="414">
        <f t="shared" si="324"/>
        <v>0</v>
      </c>
      <c r="W3438" s="413"/>
    </row>
    <row r="3439" spans="6:23" ht="24" customHeight="1">
      <c r="F3439" s="414">
        <f>F3340</f>
        <v>1.34</v>
      </c>
      <c r="G3439" s="414" t="s">
        <v>1341</v>
      </c>
      <c r="H3439" s="412" t="s">
        <v>3032</v>
      </c>
      <c r="I3439" s="414">
        <v>73.8</v>
      </c>
      <c r="J3439" s="412" t="s">
        <v>1341</v>
      </c>
      <c r="K3439" s="414">
        <f>I3439*F3439</f>
        <v>98.89</v>
      </c>
      <c r="M3439" s="440">
        <v>0.58750000000000002</v>
      </c>
      <c r="N3439" s="414" t="s">
        <v>488</v>
      </c>
      <c r="O3439" s="412" t="s">
        <v>2039</v>
      </c>
      <c r="P3439" s="414">
        <f>P3225</f>
        <v>562.5</v>
      </c>
      <c r="Q3439" s="413" t="s">
        <v>488</v>
      </c>
      <c r="R3439" s="414">
        <f t="shared" si="324"/>
        <v>330.47</v>
      </c>
      <c r="W3439" s="413"/>
    </row>
    <row r="3440" spans="6:23" ht="24" customHeight="1">
      <c r="F3440" s="414">
        <f>F3341</f>
        <v>0.5</v>
      </c>
      <c r="G3440" s="414" t="s">
        <v>619</v>
      </c>
      <c r="H3440" s="412" t="s">
        <v>960</v>
      </c>
      <c r="I3440" s="414">
        <f>I3341</f>
        <v>797</v>
      </c>
      <c r="J3440" s="414" t="s">
        <v>619</v>
      </c>
      <c r="K3440" s="414">
        <f>I3440*F3440</f>
        <v>398.5</v>
      </c>
      <c r="M3440" s="440">
        <v>6.7</v>
      </c>
      <c r="N3440" s="414" t="s">
        <v>1443</v>
      </c>
      <c r="O3440" s="412" t="s">
        <v>2041</v>
      </c>
      <c r="P3440" s="414">
        <f>P3226</f>
        <v>15.45</v>
      </c>
      <c r="Q3440" s="413" t="s">
        <v>669</v>
      </c>
      <c r="R3440" s="414">
        <f t="shared" si="324"/>
        <v>103.52</v>
      </c>
      <c r="W3440" s="413"/>
    </row>
    <row r="3441" spans="6:23" ht="24" customHeight="1">
      <c r="F3441" s="414">
        <f>F3342</f>
        <v>0.5</v>
      </c>
      <c r="G3441" s="414" t="s">
        <v>619</v>
      </c>
      <c r="H3441" s="412" t="s">
        <v>1550</v>
      </c>
      <c r="I3441" s="414">
        <f>I3342</f>
        <v>651</v>
      </c>
      <c r="J3441" s="414" t="s">
        <v>619</v>
      </c>
      <c r="K3441" s="414">
        <f>I3441*F3441</f>
        <v>325.5</v>
      </c>
      <c r="M3441" s="440">
        <v>2.4279999999999999</v>
      </c>
      <c r="N3441" s="414" t="s">
        <v>488</v>
      </c>
      <c r="O3441" s="412" t="s">
        <v>356</v>
      </c>
      <c r="P3441" s="414">
        <f>P3227</f>
        <v>1436</v>
      </c>
      <c r="Q3441" s="413" t="s">
        <v>488</v>
      </c>
      <c r="R3441" s="414">
        <f t="shared" si="324"/>
        <v>3486.61</v>
      </c>
      <c r="W3441" s="413"/>
    </row>
    <row r="3442" spans="6:23" ht="24" customHeight="1">
      <c r="F3442" s="414">
        <f>F3343</f>
        <v>0.8</v>
      </c>
      <c r="G3442" s="414" t="s">
        <v>619</v>
      </c>
      <c r="H3442" s="412" t="s">
        <v>245</v>
      </c>
      <c r="I3442" s="414">
        <f>I3343</f>
        <v>534</v>
      </c>
      <c r="J3442" s="414" t="s">
        <v>619</v>
      </c>
      <c r="K3442" s="414">
        <f>I3442*F3442</f>
        <v>427.2</v>
      </c>
      <c r="M3442" s="414">
        <v>4</v>
      </c>
      <c r="N3442" s="414" t="s">
        <v>619</v>
      </c>
      <c r="O3442" s="412" t="s">
        <v>2030</v>
      </c>
      <c r="P3442" s="414">
        <f t="shared" ref="P3442:P3447" si="325">P3228</f>
        <v>57.65</v>
      </c>
      <c r="Q3442" s="413" t="s">
        <v>701</v>
      </c>
      <c r="R3442" s="414">
        <f t="shared" si="324"/>
        <v>230.6</v>
      </c>
      <c r="W3442" s="413"/>
    </row>
    <row r="3443" spans="6:23" ht="35.1" customHeight="1">
      <c r="F3443" s="414">
        <f>F3368</f>
        <v>10</v>
      </c>
      <c r="G3443" s="414" t="s">
        <v>1861</v>
      </c>
      <c r="H3443" s="412" t="s">
        <v>2331</v>
      </c>
      <c r="I3443" s="414">
        <f>I3355</f>
        <v>4.2</v>
      </c>
      <c r="J3443" s="414" t="s">
        <v>1861</v>
      </c>
      <c r="K3443" s="414">
        <f>I3443*F3443</f>
        <v>42</v>
      </c>
      <c r="M3443" s="414">
        <v>8</v>
      </c>
      <c r="N3443" s="414" t="s">
        <v>701</v>
      </c>
      <c r="O3443" s="412" t="s">
        <v>1191</v>
      </c>
      <c r="P3443" s="414">
        <f t="shared" si="325"/>
        <v>89.6</v>
      </c>
      <c r="Q3443" s="413" t="s">
        <v>701</v>
      </c>
      <c r="R3443" s="414">
        <f t="shared" si="324"/>
        <v>716.8</v>
      </c>
      <c r="W3443" s="413"/>
    </row>
    <row r="3444" spans="6:23" ht="24" customHeight="1">
      <c r="G3444" s="414" t="s">
        <v>358</v>
      </c>
      <c r="H3444" s="412" t="s">
        <v>962</v>
      </c>
      <c r="I3444" s="412" t="s">
        <v>790</v>
      </c>
      <c r="J3444" s="413" t="s">
        <v>358</v>
      </c>
      <c r="K3444" s="414">
        <v>2.5</v>
      </c>
      <c r="M3444" s="414">
        <v>4</v>
      </c>
      <c r="N3444" s="414" t="s">
        <v>701</v>
      </c>
      <c r="O3444" s="412" t="s">
        <v>2031</v>
      </c>
      <c r="P3444" s="414">
        <f t="shared" si="325"/>
        <v>97.85</v>
      </c>
      <c r="Q3444" s="413" t="s">
        <v>701</v>
      </c>
      <c r="R3444" s="414">
        <f t="shared" si="324"/>
        <v>391.4</v>
      </c>
      <c r="W3444" s="413"/>
    </row>
    <row r="3445" spans="6:23" ht="24" customHeight="1">
      <c r="H3445" s="412" t="s">
        <v>351</v>
      </c>
      <c r="J3445" s="413"/>
      <c r="K3445" s="414">
        <f>SUM(K3439:K3444)</f>
        <v>1294.5899999999999</v>
      </c>
      <c r="M3445" s="414">
        <v>1</v>
      </c>
      <c r="N3445" s="414" t="s">
        <v>701</v>
      </c>
      <c r="O3445" s="412" t="s">
        <v>2032</v>
      </c>
      <c r="P3445" s="414">
        <f t="shared" si="325"/>
        <v>209.9</v>
      </c>
      <c r="Q3445" s="413" t="s">
        <v>701</v>
      </c>
      <c r="R3445" s="414">
        <f t="shared" si="324"/>
        <v>209.9</v>
      </c>
      <c r="W3445" s="413"/>
    </row>
    <row r="3446" spans="6:23" ht="24" customHeight="1">
      <c r="J3446" s="413"/>
      <c r="K3446" s="418" t="s">
        <v>1288</v>
      </c>
      <c r="M3446" s="414">
        <v>2</v>
      </c>
      <c r="N3446" s="414" t="s">
        <v>701</v>
      </c>
      <c r="O3446" s="412" t="s">
        <v>2033</v>
      </c>
      <c r="P3446" s="414">
        <f t="shared" si="325"/>
        <v>23.1</v>
      </c>
      <c r="Q3446" s="413" t="s">
        <v>701</v>
      </c>
      <c r="R3446" s="414">
        <f t="shared" si="324"/>
        <v>46.2</v>
      </c>
      <c r="W3446" s="413"/>
    </row>
    <row r="3447" spans="6:23" ht="24" customHeight="1">
      <c r="H3447" s="415" t="s">
        <v>447</v>
      </c>
      <c r="J3447" s="413"/>
      <c r="K3447" s="417">
        <f>(K3445/10)</f>
        <v>129.46</v>
      </c>
      <c r="M3447" s="414">
        <v>2</v>
      </c>
      <c r="N3447" s="414" t="s">
        <v>701</v>
      </c>
      <c r="O3447" s="412" t="s">
        <v>2034</v>
      </c>
      <c r="P3447" s="414">
        <f t="shared" si="325"/>
        <v>49.55</v>
      </c>
      <c r="Q3447" s="413" t="s">
        <v>701</v>
      </c>
      <c r="R3447" s="414">
        <f t="shared" si="324"/>
        <v>99.1</v>
      </c>
      <c r="W3447" s="413"/>
    </row>
    <row r="3448" spans="6:23" ht="24" customHeight="1">
      <c r="H3448" s="415" t="s">
        <v>3271</v>
      </c>
      <c r="J3448" s="413"/>
      <c r="K3448" s="417">
        <f>K3447/2</f>
        <v>64.73</v>
      </c>
      <c r="M3448" s="414">
        <v>118</v>
      </c>
      <c r="N3448" s="414" t="s">
        <v>701</v>
      </c>
      <c r="O3448" s="414" t="s">
        <v>1084</v>
      </c>
      <c r="P3448" s="414">
        <f>P3404</f>
        <v>2.41</v>
      </c>
      <c r="Q3448" s="413" t="s">
        <v>701</v>
      </c>
      <c r="R3448" s="414">
        <f t="shared" si="324"/>
        <v>284.38</v>
      </c>
      <c r="W3448" s="413"/>
    </row>
    <row r="3449" spans="6:23" ht="24" customHeight="1">
      <c r="Q3449" s="413"/>
      <c r="R3449" s="418" t="s">
        <v>1288</v>
      </c>
      <c r="W3449" s="413"/>
    </row>
    <row r="3450" spans="6:23" ht="24" customHeight="1">
      <c r="F3450" s="427">
        <v>29.5</v>
      </c>
      <c r="G3450" s="414" t="s">
        <v>1833</v>
      </c>
      <c r="H3450" s="412" t="s">
        <v>2006</v>
      </c>
      <c r="J3450" s="413"/>
      <c r="O3450" s="412" t="s">
        <v>2049</v>
      </c>
      <c r="Q3450" s="413"/>
      <c r="R3450" s="414" t="e">
        <f>SUM(R3435:R3449)</f>
        <v>#REF!</v>
      </c>
      <c r="W3450" s="413"/>
    </row>
    <row r="3451" spans="6:23" ht="24" customHeight="1">
      <c r="H3451" s="412" t="s">
        <v>2007</v>
      </c>
      <c r="J3451" s="413"/>
      <c r="Q3451" s="413"/>
      <c r="R3451" s="418" t="s">
        <v>1288</v>
      </c>
      <c r="W3451" s="413"/>
    </row>
    <row r="3452" spans="6:23" ht="24" customHeight="1">
      <c r="H3452" s="412" t="s">
        <v>1576</v>
      </c>
      <c r="J3452" s="413"/>
      <c r="O3452" s="415" t="s">
        <v>447</v>
      </c>
      <c r="Q3452" s="419" t="s">
        <v>577</v>
      </c>
      <c r="R3452" s="417" t="e">
        <f>R3450/M3441</f>
        <v>#REF!</v>
      </c>
      <c r="W3452" s="413"/>
    </row>
    <row r="3453" spans="6:23" ht="24" customHeight="1">
      <c r="H3453" s="418" t="s">
        <v>1288</v>
      </c>
      <c r="I3453" s="418" t="s">
        <v>1288</v>
      </c>
      <c r="J3453" s="413"/>
      <c r="W3453" s="413"/>
    </row>
    <row r="3454" spans="6:23" ht="24" customHeight="1">
      <c r="F3454" s="414">
        <v>10</v>
      </c>
      <c r="G3454" s="414" t="s">
        <v>488</v>
      </c>
      <c r="H3454" s="415" t="s">
        <v>2074</v>
      </c>
      <c r="I3454" s="419">
        <v>416</v>
      </c>
      <c r="J3454" s="413" t="s">
        <v>488</v>
      </c>
      <c r="K3454" s="414">
        <f>F3454*I3454</f>
        <v>4160</v>
      </c>
      <c r="W3454" s="413"/>
    </row>
    <row r="3455" spans="6:23" ht="24" customHeight="1">
      <c r="F3455" s="414">
        <v>0.21</v>
      </c>
      <c r="G3455" s="414" t="s">
        <v>702</v>
      </c>
      <c r="H3455" s="412" t="s">
        <v>1527</v>
      </c>
      <c r="I3455" s="414" t="e">
        <f>K32</f>
        <v>#REF!</v>
      </c>
      <c r="J3455" s="413" t="s">
        <v>702</v>
      </c>
      <c r="K3455" s="414" t="e">
        <f>(F3455*I3455)</f>
        <v>#REF!</v>
      </c>
      <c r="W3455" s="413"/>
    </row>
    <row r="3456" spans="6:23" ht="24" customHeight="1">
      <c r="H3456" s="412" t="s">
        <v>1528</v>
      </c>
      <c r="J3456" s="413"/>
      <c r="K3456" s="412" t="s">
        <v>790</v>
      </c>
      <c r="M3456" s="427">
        <v>29.5</v>
      </c>
      <c r="N3456" s="414" t="s">
        <v>1833</v>
      </c>
      <c r="O3456" s="412" t="s">
        <v>2006</v>
      </c>
      <c r="Q3456" s="413"/>
      <c r="W3456" s="413"/>
    </row>
    <row r="3457" spans="6:23" ht="24" customHeight="1">
      <c r="F3457" s="414">
        <v>1.1000000000000001</v>
      </c>
      <c r="G3457" s="414" t="s">
        <v>619</v>
      </c>
      <c r="H3457" s="412" t="s">
        <v>1637</v>
      </c>
      <c r="I3457" s="414">
        <f>C10</f>
        <v>999</v>
      </c>
      <c r="J3457" s="413" t="s">
        <v>619</v>
      </c>
      <c r="K3457" s="414">
        <f>(F3457*I3457)</f>
        <v>1098.9000000000001</v>
      </c>
      <c r="O3457" s="412" t="s">
        <v>2007</v>
      </c>
      <c r="Q3457" s="413"/>
      <c r="W3457" s="413"/>
    </row>
    <row r="3458" spans="6:23" ht="24" customHeight="1">
      <c r="F3458" s="414">
        <v>1.1000000000000001</v>
      </c>
      <c r="G3458" s="414" t="s">
        <v>619</v>
      </c>
      <c r="H3458" s="412" t="s">
        <v>1392</v>
      </c>
      <c r="I3458" s="414">
        <f>C11</f>
        <v>932</v>
      </c>
      <c r="J3458" s="413" t="s">
        <v>619</v>
      </c>
      <c r="K3458" s="414">
        <f>(F3458*I3458)</f>
        <v>1025.2</v>
      </c>
      <c r="O3458" s="412" t="s">
        <v>1576</v>
      </c>
      <c r="Q3458" s="413"/>
      <c r="W3458" s="413"/>
    </row>
    <row r="3459" spans="6:23" ht="24" customHeight="1">
      <c r="F3459" s="414">
        <v>2.2000000000000002</v>
      </c>
      <c r="G3459" s="414" t="s">
        <v>619</v>
      </c>
      <c r="H3459" s="412" t="s">
        <v>1550</v>
      </c>
      <c r="I3459" s="414">
        <f>C12</f>
        <v>651</v>
      </c>
      <c r="J3459" s="413" t="s">
        <v>619</v>
      </c>
      <c r="K3459" s="414">
        <f>(F3459*I3459)</f>
        <v>1432.2</v>
      </c>
      <c r="O3459" s="418" t="s">
        <v>1288</v>
      </c>
      <c r="P3459" s="418" t="s">
        <v>1288</v>
      </c>
      <c r="Q3459" s="413"/>
      <c r="W3459" s="413"/>
    </row>
    <row r="3460" spans="6:23" ht="24" customHeight="1">
      <c r="F3460" s="414">
        <v>2.2000000000000002</v>
      </c>
      <c r="G3460" s="414" t="s">
        <v>619</v>
      </c>
      <c r="H3460" s="412" t="s">
        <v>245</v>
      </c>
      <c r="I3460" s="414">
        <f>C13</f>
        <v>534</v>
      </c>
      <c r="J3460" s="413" t="s">
        <v>619</v>
      </c>
      <c r="K3460" s="414">
        <f>(F3460*I3460)</f>
        <v>1174.8</v>
      </c>
      <c r="M3460" s="414">
        <v>10</v>
      </c>
      <c r="N3460" s="414" t="s">
        <v>488</v>
      </c>
      <c r="O3460" s="415" t="s">
        <v>2074</v>
      </c>
      <c r="P3460" s="419">
        <f>I3454</f>
        <v>416</v>
      </c>
      <c r="Q3460" s="413" t="s">
        <v>488</v>
      </c>
      <c r="R3460" s="414">
        <f>P3460*M3460</f>
        <v>4160</v>
      </c>
      <c r="W3460" s="413"/>
    </row>
    <row r="3461" spans="6:23" ht="24" customHeight="1">
      <c r="F3461" s="416">
        <v>20</v>
      </c>
      <c r="G3461" s="414" t="s">
        <v>1341</v>
      </c>
      <c r="H3461" s="412" t="s">
        <v>695</v>
      </c>
      <c r="I3461" s="414" t="e">
        <f>AC31</f>
        <v>#REF!</v>
      </c>
      <c r="J3461" s="413" t="s">
        <v>694</v>
      </c>
      <c r="K3461" s="414" t="e">
        <f>(F3461*I3461)/1000</f>
        <v>#REF!</v>
      </c>
      <c r="M3461" s="414">
        <v>0.21</v>
      </c>
      <c r="N3461" s="414" t="s">
        <v>702</v>
      </c>
      <c r="O3461" s="412" t="s">
        <v>1527</v>
      </c>
      <c r="P3461" s="419" t="e">
        <f t="shared" ref="P3461:P3471" si="326">I3455</f>
        <v>#REF!</v>
      </c>
      <c r="Q3461" s="413" t="s">
        <v>702</v>
      </c>
      <c r="R3461" s="414" t="e">
        <f t="shared" ref="R3461:R3471" si="327">P3461*M3461</f>
        <v>#REF!</v>
      </c>
      <c r="W3461" s="413"/>
    </row>
    <row r="3462" spans="6:23" ht="24" customHeight="1">
      <c r="F3462" s="416">
        <v>2</v>
      </c>
      <c r="G3462" s="414" t="s">
        <v>1341</v>
      </c>
      <c r="H3462" s="412" t="s">
        <v>1691</v>
      </c>
      <c r="I3462" s="414">
        <f>I1256</f>
        <v>36.1</v>
      </c>
      <c r="J3462" s="413" t="s">
        <v>1341</v>
      </c>
      <c r="K3462" s="414">
        <f>(F3462*I3462)</f>
        <v>72.2</v>
      </c>
      <c r="O3462" s="412" t="s">
        <v>1528</v>
      </c>
      <c r="P3462" s="419">
        <f t="shared" si="326"/>
        <v>0</v>
      </c>
      <c r="Q3462" s="413"/>
      <c r="R3462" s="414">
        <f t="shared" si="327"/>
        <v>0</v>
      </c>
      <c r="W3462" s="413"/>
    </row>
    <row r="3463" spans="6:23" ht="24" customHeight="1">
      <c r="F3463" s="414">
        <v>1.6</v>
      </c>
      <c r="G3463" s="414" t="s">
        <v>619</v>
      </c>
      <c r="H3463" s="412" t="s">
        <v>1392</v>
      </c>
      <c r="I3463" s="414">
        <f>I3458</f>
        <v>932</v>
      </c>
      <c r="J3463" s="413" t="s">
        <v>619</v>
      </c>
      <c r="K3463" s="414">
        <f>(F3463*I3463)</f>
        <v>1491.2</v>
      </c>
      <c r="M3463" s="414">
        <v>1.1000000000000001</v>
      </c>
      <c r="N3463" s="414" t="s">
        <v>619</v>
      </c>
      <c r="O3463" s="412" t="s">
        <v>1637</v>
      </c>
      <c r="P3463" s="419">
        <f t="shared" si="326"/>
        <v>999</v>
      </c>
      <c r="Q3463" s="413" t="s">
        <v>619</v>
      </c>
      <c r="R3463" s="414">
        <f t="shared" si="327"/>
        <v>1098.9000000000001</v>
      </c>
      <c r="W3463" s="413"/>
    </row>
    <row r="3464" spans="6:23" ht="24" customHeight="1">
      <c r="F3464" s="414">
        <v>0.5</v>
      </c>
      <c r="G3464" s="414" t="s">
        <v>619</v>
      </c>
      <c r="H3464" s="412" t="s">
        <v>1550</v>
      </c>
      <c r="I3464" s="414">
        <f>I3459</f>
        <v>651</v>
      </c>
      <c r="J3464" s="413" t="s">
        <v>619</v>
      </c>
      <c r="K3464" s="414">
        <f>(F3464*I3464)</f>
        <v>325.5</v>
      </c>
      <c r="M3464" s="414">
        <v>1.1000000000000001</v>
      </c>
      <c r="N3464" s="414" t="s">
        <v>619</v>
      </c>
      <c r="O3464" s="412" t="s">
        <v>1392</v>
      </c>
      <c r="P3464" s="419">
        <f t="shared" si="326"/>
        <v>932</v>
      </c>
      <c r="Q3464" s="413" t="s">
        <v>619</v>
      </c>
      <c r="R3464" s="414">
        <f t="shared" si="327"/>
        <v>1025.2</v>
      </c>
      <c r="W3464" s="413"/>
    </row>
    <row r="3465" spans="6:23" ht="24" customHeight="1">
      <c r="F3465" s="414">
        <v>1.1000000000000001</v>
      </c>
      <c r="G3465" s="414" t="s">
        <v>619</v>
      </c>
      <c r="H3465" s="412" t="s">
        <v>245</v>
      </c>
      <c r="I3465" s="414">
        <f>I3460</f>
        <v>534</v>
      </c>
      <c r="J3465" s="413" t="s">
        <v>619</v>
      </c>
      <c r="K3465" s="414">
        <f>(F3465*I3465)</f>
        <v>587.4</v>
      </c>
      <c r="M3465" s="414">
        <v>2.2000000000000002</v>
      </c>
      <c r="N3465" s="414" t="s">
        <v>619</v>
      </c>
      <c r="O3465" s="412" t="s">
        <v>1550</v>
      </c>
      <c r="P3465" s="419">
        <f t="shared" si="326"/>
        <v>651</v>
      </c>
      <c r="Q3465" s="413" t="s">
        <v>619</v>
      </c>
      <c r="R3465" s="414">
        <f t="shared" si="327"/>
        <v>1432.2</v>
      </c>
      <c r="W3465" s="413"/>
    </row>
    <row r="3466" spans="6:23" ht="24" customHeight="1">
      <c r="G3466" s="414" t="s">
        <v>358</v>
      </c>
      <c r="H3466" s="412" t="s">
        <v>359</v>
      </c>
      <c r="I3466" s="414">
        <f>I1262</f>
        <v>0</v>
      </c>
      <c r="J3466" s="413" t="s">
        <v>358</v>
      </c>
      <c r="K3466" s="414">
        <v>0</v>
      </c>
      <c r="M3466" s="414">
        <v>2.2000000000000002</v>
      </c>
      <c r="N3466" s="414" t="s">
        <v>619</v>
      </c>
      <c r="O3466" s="412" t="s">
        <v>245</v>
      </c>
      <c r="P3466" s="419">
        <f t="shared" si="326"/>
        <v>534</v>
      </c>
      <c r="Q3466" s="413" t="s">
        <v>619</v>
      </c>
      <c r="R3466" s="414">
        <f t="shared" si="327"/>
        <v>1174.8</v>
      </c>
      <c r="W3466" s="413"/>
    </row>
    <row r="3467" spans="6:23" ht="24" customHeight="1">
      <c r="J3467" s="413"/>
      <c r="K3467" s="418" t="s">
        <v>1288</v>
      </c>
      <c r="M3467" s="416">
        <v>20</v>
      </c>
      <c r="N3467" s="414" t="s">
        <v>1341</v>
      </c>
      <c r="O3467" s="412" t="s">
        <v>695</v>
      </c>
      <c r="P3467" s="419" t="e">
        <f t="shared" si="326"/>
        <v>#REF!</v>
      </c>
      <c r="Q3467" s="413" t="s">
        <v>694</v>
      </c>
      <c r="R3467" s="414" t="e">
        <f>P3467*M3467/1000</f>
        <v>#REF!</v>
      </c>
      <c r="W3467" s="413"/>
    </row>
    <row r="3468" spans="6:23" ht="24" customHeight="1">
      <c r="H3468" s="412" t="s">
        <v>351</v>
      </c>
      <c r="J3468" s="413"/>
      <c r="K3468" s="414" t="e">
        <f>SUM(K3454:K3466)</f>
        <v>#REF!</v>
      </c>
      <c r="M3468" s="416">
        <v>2</v>
      </c>
      <c r="N3468" s="414" t="s">
        <v>1341</v>
      </c>
      <c r="O3468" s="412" t="s">
        <v>1980</v>
      </c>
      <c r="P3468" s="419">
        <f>I3644</f>
        <v>24.93</v>
      </c>
      <c r="Q3468" s="413" t="s">
        <v>1341</v>
      </c>
      <c r="R3468" s="414">
        <f t="shared" si="327"/>
        <v>49.86</v>
      </c>
      <c r="W3468" s="413"/>
    </row>
    <row r="3469" spans="6:23" ht="24" customHeight="1">
      <c r="J3469" s="413"/>
      <c r="K3469" s="418" t="s">
        <v>1288</v>
      </c>
      <c r="M3469" s="414">
        <v>1.6</v>
      </c>
      <c r="N3469" s="414" t="s">
        <v>619</v>
      </c>
      <c r="O3469" s="412" t="s">
        <v>1392</v>
      </c>
      <c r="P3469" s="419">
        <f t="shared" si="326"/>
        <v>932</v>
      </c>
      <c r="Q3469" s="413" t="s">
        <v>619</v>
      </c>
      <c r="R3469" s="414">
        <f t="shared" si="327"/>
        <v>1491.2</v>
      </c>
      <c r="W3469" s="413"/>
    </row>
    <row r="3470" spans="6:23" ht="24" customHeight="1">
      <c r="H3470" s="412" t="s">
        <v>447</v>
      </c>
      <c r="J3470" s="413"/>
      <c r="K3470" s="417" t="e">
        <f>(K3468/10)</f>
        <v>#REF!</v>
      </c>
      <c r="M3470" s="414">
        <v>0.5</v>
      </c>
      <c r="N3470" s="414" t="s">
        <v>619</v>
      </c>
      <c r="O3470" s="412" t="s">
        <v>1550</v>
      </c>
      <c r="P3470" s="419">
        <f t="shared" si="326"/>
        <v>651</v>
      </c>
      <c r="Q3470" s="413" t="s">
        <v>619</v>
      </c>
      <c r="R3470" s="414">
        <f t="shared" si="327"/>
        <v>325.5</v>
      </c>
      <c r="W3470" s="413"/>
    </row>
    <row r="3471" spans="6:23" ht="24" customHeight="1">
      <c r="J3471" s="413"/>
      <c r="K3471" s="418" t="s">
        <v>1676</v>
      </c>
      <c r="M3471" s="414">
        <v>1.1000000000000001</v>
      </c>
      <c r="N3471" s="414" t="s">
        <v>619</v>
      </c>
      <c r="O3471" s="412" t="s">
        <v>245</v>
      </c>
      <c r="P3471" s="419">
        <f t="shared" si="326"/>
        <v>534</v>
      </c>
      <c r="Q3471" s="413" t="s">
        <v>619</v>
      </c>
      <c r="R3471" s="414">
        <f t="shared" si="327"/>
        <v>587.4</v>
      </c>
      <c r="W3471" s="413"/>
    </row>
    <row r="3472" spans="6:23" ht="24" customHeight="1">
      <c r="N3472" s="414" t="s">
        <v>358</v>
      </c>
      <c r="O3472" s="412" t="s">
        <v>359</v>
      </c>
      <c r="P3472" s="414">
        <v>0</v>
      </c>
      <c r="Q3472" s="413" t="s">
        <v>358</v>
      </c>
      <c r="R3472" s="414">
        <v>0</v>
      </c>
      <c r="W3472" s="413"/>
    </row>
    <row r="3473" spans="6:23" ht="24" hidden="1" customHeight="1">
      <c r="Q3473" s="413"/>
      <c r="R3473" s="418" t="s">
        <v>1288</v>
      </c>
      <c r="W3473" s="413"/>
    </row>
    <row r="3474" spans="6:23" ht="24" hidden="1" customHeight="1">
      <c r="O3474" s="412" t="s">
        <v>351</v>
      </c>
      <c r="Q3474" s="413"/>
      <c r="R3474" s="414" t="e">
        <f>SUM(R3460:R3473)</f>
        <v>#REF!</v>
      </c>
      <c r="W3474" s="413"/>
    </row>
    <row r="3475" spans="6:23" ht="24" hidden="1" customHeight="1">
      <c r="Q3475" s="413"/>
      <c r="R3475" s="418" t="s">
        <v>1288</v>
      </c>
      <c r="W3475" s="413"/>
    </row>
    <row r="3476" spans="6:23" ht="49.15" customHeight="1">
      <c r="G3476" s="497">
        <v>90</v>
      </c>
      <c r="H3476" s="498" t="s">
        <v>4362</v>
      </c>
      <c r="O3476" s="412" t="s">
        <v>447</v>
      </c>
      <c r="Q3476" s="413"/>
      <c r="R3476" s="417" t="e">
        <f>R3474/10</f>
        <v>#REF!</v>
      </c>
      <c r="W3476" s="413"/>
    </row>
    <row r="3477" spans="6:23" ht="24" customHeight="1">
      <c r="F3477" s="440">
        <v>3.8100000000000002E-2</v>
      </c>
      <c r="G3477" s="414" t="s">
        <v>702</v>
      </c>
      <c r="H3477" s="414" t="s">
        <v>1899</v>
      </c>
      <c r="I3477" s="414" t="e">
        <f>I3387</f>
        <v>#REF!</v>
      </c>
      <c r="J3477" s="414">
        <f>J2279</f>
        <v>0</v>
      </c>
      <c r="K3477" s="414" t="e">
        <f>F3477*I3477</f>
        <v>#REF!</v>
      </c>
      <c r="Q3477" s="413"/>
      <c r="R3477" s="418" t="s">
        <v>1676</v>
      </c>
      <c r="W3477" s="413"/>
    </row>
    <row r="3478" spans="6:23" ht="24" customHeight="1">
      <c r="F3478" s="416">
        <v>2.4E-2</v>
      </c>
      <c r="G3478" s="414" t="s">
        <v>702</v>
      </c>
      <c r="H3478" s="414" t="s">
        <v>1900</v>
      </c>
      <c r="I3478" s="414" t="e">
        <f>I3388</f>
        <v>#REF!</v>
      </c>
      <c r="J3478" s="414">
        <f>J2280</f>
        <v>0</v>
      </c>
      <c r="K3478" s="414" t="e">
        <f t="shared" ref="K3478:K3491" si="328">F3478*I3478</f>
        <v>#REF!</v>
      </c>
      <c r="W3478" s="413"/>
    </row>
    <row r="3479" spans="6:23" ht="24" customHeight="1">
      <c r="F3479" s="414">
        <v>0.01</v>
      </c>
      <c r="G3479" s="414" t="s">
        <v>702</v>
      </c>
      <c r="H3479" s="412" t="s">
        <v>236</v>
      </c>
      <c r="I3479" s="414" t="e">
        <f>I2815</f>
        <v>#REF!</v>
      </c>
      <c r="J3479" s="414">
        <f>J2281</f>
        <v>0</v>
      </c>
      <c r="K3479" s="414" t="e">
        <f t="shared" si="328"/>
        <v>#REF!</v>
      </c>
      <c r="W3479" s="413"/>
    </row>
    <row r="3480" spans="6:23" ht="24" customHeight="1">
      <c r="H3480" s="412" t="s">
        <v>355</v>
      </c>
      <c r="W3480" s="413"/>
    </row>
    <row r="3481" spans="6:23" ht="24" customHeight="1">
      <c r="F3481" s="414">
        <v>1.05</v>
      </c>
      <c r="G3481" s="414" t="s">
        <v>488</v>
      </c>
      <c r="H3481" s="414" t="s">
        <v>3201</v>
      </c>
      <c r="I3481" s="414">
        <v>362.5</v>
      </c>
      <c r="J3481" s="412" t="s">
        <v>488</v>
      </c>
      <c r="K3481" s="414">
        <f t="shared" si="328"/>
        <v>380.63</v>
      </c>
      <c r="W3481" s="413"/>
    </row>
    <row r="3482" spans="6:23" ht="24" customHeight="1">
      <c r="F3482" s="414">
        <v>12</v>
      </c>
      <c r="G3482" s="414" t="s">
        <v>283</v>
      </c>
      <c r="H3482" s="414" t="s">
        <v>1901</v>
      </c>
      <c r="I3482" s="414">
        <f>I2537</f>
        <v>70.150000000000006</v>
      </c>
      <c r="J3482" s="412" t="s">
        <v>283</v>
      </c>
      <c r="K3482" s="414">
        <f t="shared" si="328"/>
        <v>841.8</v>
      </c>
      <c r="S3482" s="474" t="s">
        <v>2111</v>
      </c>
      <c r="W3482" s="413"/>
    </row>
    <row r="3483" spans="6:23" ht="24" customHeight="1">
      <c r="F3483" s="414">
        <v>2.85</v>
      </c>
      <c r="G3483" s="414" t="s">
        <v>488</v>
      </c>
      <c r="H3483" s="414" t="s">
        <v>1902</v>
      </c>
      <c r="I3483" s="414">
        <f>D31</f>
        <v>1436</v>
      </c>
      <c r="J3483" s="412" t="s">
        <v>488</v>
      </c>
      <c r="K3483" s="414">
        <f t="shared" si="328"/>
        <v>4092.6</v>
      </c>
      <c r="W3483" s="413"/>
    </row>
    <row r="3484" spans="6:23" ht="24" customHeight="1">
      <c r="F3484" s="414">
        <v>6</v>
      </c>
      <c r="G3484" s="414" t="s">
        <v>1130</v>
      </c>
      <c r="H3484" s="412" t="s">
        <v>1191</v>
      </c>
      <c r="I3484" s="414">
        <f>I2819</f>
        <v>214.1</v>
      </c>
      <c r="J3484" s="412" t="s">
        <v>619</v>
      </c>
      <c r="K3484" s="414">
        <f t="shared" si="328"/>
        <v>1284.5999999999999</v>
      </c>
      <c r="W3484" s="413"/>
    </row>
    <row r="3485" spans="6:23" ht="24" customHeight="1">
      <c r="F3485" s="414">
        <v>1</v>
      </c>
      <c r="G3485" s="414" t="s">
        <v>1130</v>
      </c>
      <c r="H3485" s="414" t="s">
        <v>1903</v>
      </c>
      <c r="I3485" s="414">
        <f>I2821</f>
        <v>836</v>
      </c>
      <c r="J3485" s="412" t="s">
        <v>619</v>
      </c>
      <c r="K3485" s="414">
        <f t="shared" si="328"/>
        <v>836</v>
      </c>
      <c r="W3485" s="413"/>
    </row>
    <row r="3486" spans="6:23" ht="24" customHeight="1">
      <c r="F3486" s="414">
        <v>3</v>
      </c>
      <c r="G3486" s="414" t="s">
        <v>1130</v>
      </c>
      <c r="H3486" s="412" t="s">
        <v>1192</v>
      </c>
      <c r="I3486" s="414">
        <f>I2820</f>
        <v>408</v>
      </c>
      <c r="J3486" s="412" t="s">
        <v>619</v>
      </c>
      <c r="K3486" s="414">
        <f t="shared" si="328"/>
        <v>1224</v>
      </c>
      <c r="W3486" s="413"/>
    </row>
    <row r="3487" spans="6:23" ht="24" customHeight="1">
      <c r="F3487" s="414">
        <v>2</v>
      </c>
      <c r="G3487" s="414" t="s">
        <v>1130</v>
      </c>
      <c r="H3487" s="412" t="s">
        <v>1907</v>
      </c>
      <c r="I3487" s="414">
        <f>I2820</f>
        <v>408</v>
      </c>
      <c r="J3487" s="412" t="s">
        <v>619</v>
      </c>
      <c r="K3487" s="414">
        <f t="shared" si="328"/>
        <v>816</v>
      </c>
      <c r="W3487" s="413"/>
    </row>
    <row r="3488" spans="6:23" ht="24" customHeight="1">
      <c r="F3488" s="414">
        <v>2</v>
      </c>
      <c r="G3488" s="414" t="s">
        <v>1130</v>
      </c>
      <c r="H3488" s="412" t="s">
        <v>1614</v>
      </c>
      <c r="I3488" s="414">
        <f>I2823</f>
        <v>49.55</v>
      </c>
      <c r="J3488" s="412" t="s">
        <v>619</v>
      </c>
      <c r="K3488" s="414">
        <f t="shared" si="328"/>
        <v>99.1</v>
      </c>
      <c r="W3488" s="413"/>
    </row>
    <row r="3489" spans="6:23" ht="24" customHeight="1">
      <c r="F3489" s="414">
        <v>2</v>
      </c>
      <c r="G3489" s="414" t="s">
        <v>1130</v>
      </c>
      <c r="H3489" s="412" t="s">
        <v>1194</v>
      </c>
      <c r="I3489" s="414">
        <f>I2822</f>
        <v>7.3</v>
      </c>
      <c r="J3489" s="412" t="s">
        <v>619</v>
      </c>
      <c r="K3489" s="414">
        <f t="shared" si="328"/>
        <v>14.6</v>
      </c>
      <c r="W3489" s="413"/>
    </row>
    <row r="3490" spans="6:23" ht="24" customHeight="1">
      <c r="F3490" s="414">
        <v>1.05</v>
      </c>
      <c r="G3490" s="414" t="s">
        <v>488</v>
      </c>
      <c r="H3490" s="412" t="s">
        <v>1904</v>
      </c>
      <c r="I3490" s="414">
        <f>K1553</f>
        <v>138.35</v>
      </c>
      <c r="J3490" s="412" t="s">
        <v>488</v>
      </c>
      <c r="K3490" s="414">
        <f t="shared" si="328"/>
        <v>145.27000000000001</v>
      </c>
      <c r="W3490" s="413"/>
    </row>
    <row r="3491" spans="6:23" ht="24" customHeight="1">
      <c r="F3491" s="414">
        <v>3.15</v>
      </c>
      <c r="G3491" s="414" t="s">
        <v>488</v>
      </c>
      <c r="H3491" s="412" t="s">
        <v>1905</v>
      </c>
      <c r="I3491" s="414">
        <f>K1167</f>
        <v>194.22</v>
      </c>
      <c r="J3491" s="412" t="s">
        <v>488</v>
      </c>
      <c r="K3491" s="414">
        <f t="shared" si="328"/>
        <v>611.79</v>
      </c>
      <c r="W3491" s="413"/>
    </row>
    <row r="3492" spans="6:23" ht="24" customHeight="1">
      <c r="H3492" s="412" t="s">
        <v>2143</v>
      </c>
      <c r="I3492" s="1237" t="s">
        <v>358</v>
      </c>
      <c r="J3492" s="1237"/>
      <c r="K3492" s="414">
        <f>R3199</f>
        <v>284.38</v>
      </c>
      <c r="W3492" s="413"/>
    </row>
    <row r="3493" spans="6:23" ht="24" customHeight="1">
      <c r="K3493" s="418" t="s">
        <v>1676</v>
      </c>
      <c r="W3493" s="413"/>
    </row>
    <row r="3494" spans="6:23" ht="24" customHeight="1">
      <c r="H3494" s="415" t="s">
        <v>1906</v>
      </c>
      <c r="I3494" s="417"/>
      <c r="J3494" s="415"/>
      <c r="K3494" s="417" t="e">
        <f>SUM(K3477:K3493)</f>
        <v>#REF!</v>
      </c>
      <c r="W3494" s="413"/>
    </row>
    <row r="3495" spans="6:23" ht="24" customHeight="1">
      <c r="K3495" s="418" t="s">
        <v>1676</v>
      </c>
      <c r="W3495" s="413"/>
    </row>
    <row r="3496" spans="6:23" ht="24" customHeight="1">
      <c r="W3496" s="413"/>
    </row>
    <row r="3497" spans="6:23" ht="24" hidden="1" customHeight="1">
      <c r="J3497" s="413"/>
      <c r="W3497" s="413"/>
    </row>
    <row r="3498" spans="6:23" ht="24" customHeight="1">
      <c r="G3498" s="412" t="s">
        <v>4363</v>
      </c>
      <c r="J3498" s="413"/>
      <c r="W3498" s="413"/>
    </row>
    <row r="3499" spans="6:23" ht="24" customHeight="1">
      <c r="J3499" s="413"/>
      <c r="W3499" s="413"/>
    </row>
    <row r="3500" spans="6:23" ht="24" customHeight="1">
      <c r="F3500" s="440">
        <v>1.8</v>
      </c>
      <c r="G3500" s="414" t="s">
        <v>702</v>
      </c>
      <c r="H3500" s="414" t="s">
        <v>2113</v>
      </c>
      <c r="I3500" s="414" t="e">
        <f>((505+583)/2)+Z15</f>
        <v>#REF!</v>
      </c>
      <c r="J3500" s="413" t="s">
        <v>702</v>
      </c>
      <c r="K3500" s="423" t="e">
        <f>I3500*F3500</f>
        <v>#REF!</v>
      </c>
      <c r="W3500" s="413"/>
    </row>
    <row r="3501" spans="6:23" ht="24" customHeight="1">
      <c r="J3501" s="413"/>
      <c r="K3501" s="423"/>
      <c r="W3501" s="413"/>
    </row>
    <row r="3502" spans="6:23" ht="24" customHeight="1">
      <c r="F3502" s="440">
        <v>1.2</v>
      </c>
      <c r="G3502" s="414" t="s">
        <v>702</v>
      </c>
      <c r="H3502" s="414" t="s">
        <v>2114</v>
      </c>
      <c r="I3502" s="414" t="e">
        <f>((1054+906+1467+1362+1001)/5)+Z15</f>
        <v>#REF!</v>
      </c>
      <c r="J3502" s="413" t="s">
        <v>702</v>
      </c>
      <c r="K3502" s="423" t="e">
        <f t="shared" ref="K3502:K3510" si="329">I3502*F3502</f>
        <v>#REF!</v>
      </c>
      <c r="W3502" s="413"/>
    </row>
    <row r="3503" spans="6:23" ht="24" customHeight="1">
      <c r="J3503" s="413"/>
      <c r="K3503" s="423"/>
      <c r="W3503" s="413"/>
    </row>
    <row r="3504" spans="6:23" ht="24" customHeight="1">
      <c r="F3504" s="440">
        <v>0.6</v>
      </c>
      <c r="G3504" s="414" t="s">
        <v>702</v>
      </c>
      <c r="H3504" s="414" t="s">
        <v>2115</v>
      </c>
      <c r="I3504" s="414" t="e">
        <f>AC16</f>
        <v>#REF!</v>
      </c>
      <c r="J3504" s="413" t="s">
        <v>702</v>
      </c>
      <c r="K3504" s="423" t="e">
        <f t="shared" si="329"/>
        <v>#REF!</v>
      </c>
      <c r="O3504" s="417" t="s">
        <v>2102</v>
      </c>
      <c r="W3504" s="413"/>
    </row>
    <row r="3505" spans="6:24" ht="24" customHeight="1">
      <c r="J3505" s="413"/>
      <c r="K3505" s="423"/>
      <c r="W3505" s="413"/>
    </row>
    <row r="3506" spans="6:24" ht="24" customHeight="1">
      <c r="F3506" s="440">
        <v>3</v>
      </c>
      <c r="G3506" s="414" t="s">
        <v>702</v>
      </c>
      <c r="H3506" s="414" t="s">
        <v>2106</v>
      </c>
      <c r="I3506" s="414">
        <f>R3519</f>
        <v>2072.9699999999998</v>
      </c>
      <c r="J3506" s="413" t="s">
        <v>702</v>
      </c>
      <c r="K3506" s="423">
        <f t="shared" si="329"/>
        <v>6218.91</v>
      </c>
      <c r="W3506" s="413"/>
    </row>
    <row r="3507" spans="6:24" ht="24" customHeight="1">
      <c r="F3507" s="440"/>
      <c r="J3507" s="413"/>
      <c r="K3507" s="423"/>
      <c r="M3507" s="414">
        <f>(1.08/8)</f>
        <v>0.14000000000000001</v>
      </c>
      <c r="N3507" s="414" t="s">
        <v>702</v>
      </c>
      <c r="O3507" s="414" t="s">
        <v>1550</v>
      </c>
      <c r="P3507" s="414">
        <f>P3515</f>
        <v>651</v>
      </c>
      <c r="Q3507" s="414" t="s">
        <v>702</v>
      </c>
      <c r="R3507" s="414">
        <f>P3507*M3507</f>
        <v>91.14</v>
      </c>
      <c r="W3507" s="413"/>
    </row>
    <row r="3508" spans="6:24" ht="24" customHeight="1">
      <c r="F3508" s="440">
        <v>3</v>
      </c>
      <c r="G3508" s="414" t="s">
        <v>702</v>
      </c>
      <c r="H3508" s="414" t="s">
        <v>2112</v>
      </c>
      <c r="I3508" s="414">
        <f>R3521</f>
        <v>36.950000000000003</v>
      </c>
      <c r="J3508" s="413" t="s">
        <v>702</v>
      </c>
      <c r="K3508" s="423">
        <f t="shared" si="329"/>
        <v>110.85</v>
      </c>
      <c r="W3508" s="413"/>
    </row>
    <row r="3509" spans="6:24" ht="24" customHeight="1">
      <c r="F3509" s="440"/>
      <c r="J3509" s="413"/>
      <c r="K3509" s="423"/>
      <c r="O3509" s="423" t="s">
        <v>2103</v>
      </c>
      <c r="R3509" s="414">
        <f>R3507</f>
        <v>91.14</v>
      </c>
      <c r="W3509" s="413"/>
    </row>
    <row r="3510" spans="6:24" ht="24" customHeight="1">
      <c r="F3510" s="440">
        <v>3</v>
      </c>
      <c r="G3510" s="414" t="s">
        <v>702</v>
      </c>
      <c r="H3510" s="414" t="s">
        <v>2108</v>
      </c>
      <c r="I3510" s="414">
        <f>AE26</f>
        <v>69.8</v>
      </c>
      <c r="J3510" s="413" t="s">
        <v>702</v>
      </c>
      <c r="K3510" s="423">
        <f t="shared" si="329"/>
        <v>209.4</v>
      </c>
      <c r="O3510" s="423" t="s">
        <v>2104</v>
      </c>
      <c r="R3510" s="414">
        <f>R3509/0.75</f>
        <v>121.52</v>
      </c>
      <c r="W3510" s="413"/>
    </row>
    <row r="3511" spans="6:24" ht="24" customHeight="1">
      <c r="J3511" s="413"/>
      <c r="K3511" s="423"/>
      <c r="W3511" s="413"/>
    </row>
    <row r="3512" spans="6:24" ht="24" customHeight="1">
      <c r="H3512" s="414" t="s">
        <v>2110</v>
      </c>
      <c r="J3512" s="413" t="s">
        <v>358</v>
      </c>
      <c r="K3512" s="423">
        <v>1.84</v>
      </c>
      <c r="O3512" s="417" t="s">
        <v>2105</v>
      </c>
      <c r="W3512" s="413"/>
    </row>
    <row r="3513" spans="6:24" ht="24" customHeight="1">
      <c r="J3513" s="413"/>
      <c r="K3513" s="423"/>
      <c r="W3513" s="413"/>
    </row>
    <row r="3514" spans="6:24" ht="24" customHeight="1">
      <c r="H3514" s="423" t="s">
        <v>4274</v>
      </c>
      <c r="J3514" s="413"/>
      <c r="K3514" s="419" t="e">
        <f>SUM(K3500:K3513)</f>
        <v>#REF!</v>
      </c>
      <c r="M3514" s="414">
        <v>1.8</v>
      </c>
      <c r="N3514" s="414" t="s">
        <v>1166</v>
      </c>
      <c r="O3514" s="414" t="s">
        <v>2107</v>
      </c>
      <c r="P3514" s="414">
        <f>AE10</f>
        <v>932</v>
      </c>
      <c r="Q3514" s="414" t="s">
        <v>1134</v>
      </c>
      <c r="R3514" s="414">
        <f>P3514*M3514</f>
        <v>1677.6</v>
      </c>
      <c r="W3514" s="413"/>
    </row>
    <row r="3515" spans="6:24" ht="24" customHeight="1">
      <c r="H3515" s="423" t="s">
        <v>2116</v>
      </c>
      <c r="J3515" s="413"/>
      <c r="K3515" s="417" t="e">
        <f>K3514/F3506</f>
        <v>#REF!</v>
      </c>
      <c r="M3515" s="414">
        <v>17.7</v>
      </c>
      <c r="N3515" s="414" t="s">
        <v>1166</v>
      </c>
      <c r="O3515" s="414" t="s">
        <v>1955</v>
      </c>
      <c r="P3515" s="414">
        <f>AE11</f>
        <v>651</v>
      </c>
      <c r="Q3515" s="414" t="s">
        <v>1134</v>
      </c>
      <c r="R3515" s="414">
        <f>P3515*M3515</f>
        <v>11522.7</v>
      </c>
      <c r="W3515" s="413"/>
    </row>
    <row r="3516" spans="6:24" ht="24" customHeight="1">
      <c r="J3516" s="413"/>
      <c r="K3516" s="418" t="s">
        <v>1676</v>
      </c>
      <c r="M3516" s="414">
        <v>14.1</v>
      </c>
      <c r="N3516" s="414" t="s">
        <v>1166</v>
      </c>
      <c r="O3516" s="414" t="s">
        <v>1956</v>
      </c>
      <c r="P3516" s="414">
        <f>AE12</f>
        <v>534</v>
      </c>
      <c r="Q3516" s="414" t="s">
        <v>1134</v>
      </c>
      <c r="R3516" s="414">
        <f>P3516*M3516</f>
        <v>7529.4</v>
      </c>
      <c r="S3516" s="414"/>
      <c r="U3516" s="414" t="s">
        <v>2289</v>
      </c>
      <c r="W3516" s="413"/>
    </row>
    <row r="3517" spans="6:24" ht="24" customHeight="1">
      <c r="S3517" s="414"/>
      <c r="U3517" s="414" t="s">
        <v>3100</v>
      </c>
      <c r="V3517" s="414">
        <f>1.1*2.325</f>
        <v>2.56</v>
      </c>
      <c r="W3517" s="413"/>
    </row>
    <row r="3518" spans="6:24" ht="24" hidden="1" customHeight="1">
      <c r="O3518" s="423" t="s">
        <v>2109</v>
      </c>
      <c r="R3518" s="414">
        <f>SUM(R3514:R3517)</f>
        <v>20729.7</v>
      </c>
      <c r="S3518" s="414">
        <f>V3517</f>
        <v>2.56</v>
      </c>
      <c r="T3518" s="414" t="s">
        <v>488</v>
      </c>
      <c r="U3518" s="414" t="s">
        <v>2183</v>
      </c>
      <c r="V3518" s="414">
        <f>V3538</f>
        <v>2255</v>
      </c>
      <c r="W3518" s="413" t="s">
        <v>488</v>
      </c>
      <c r="X3518" s="414">
        <f>V3518*S3518</f>
        <v>5772.8</v>
      </c>
    </row>
    <row r="3519" spans="6:24" ht="24" hidden="1" customHeight="1">
      <c r="O3519" s="423" t="s">
        <v>2104</v>
      </c>
      <c r="R3519" s="414">
        <f>R3518/10</f>
        <v>2072.9699999999998</v>
      </c>
      <c r="S3519" s="414">
        <f>V3517</f>
        <v>2.56</v>
      </c>
      <c r="T3519" s="414" t="s">
        <v>488</v>
      </c>
      <c r="U3519" s="414" t="s">
        <v>2184</v>
      </c>
      <c r="V3519" s="414">
        <f t="shared" ref="V3519:V3527" si="330">V3539</f>
        <v>214.1</v>
      </c>
      <c r="W3519" s="413" t="s">
        <v>488</v>
      </c>
      <c r="X3519" s="414">
        <f t="shared" ref="X3519:X3526" si="331">V3519*S3519</f>
        <v>548.1</v>
      </c>
    </row>
    <row r="3520" spans="6:24" ht="24" customHeight="1">
      <c r="H3520" s="414" t="s">
        <v>2195</v>
      </c>
      <c r="O3520" s="423"/>
      <c r="S3520" s="414">
        <v>2</v>
      </c>
      <c r="T3520" s="414" t="s">
        <v>619</v>
      </c>
      <c r="U3520" s="414" t="s">
        <v>2185</v>
      </c>
      <c r="V3520" s="414">
        <f t="shared" si="330"/>
        <v>57.65</v>
      </c>
      <c r="W3520" s="413" t="s">
        <v>619</v>
      </c>
      <c r="X3520" s="414">
        <f t="shared" si="331"/>
        <v>115.3</v>
      </c>
    </row>
    <row r="3521" spans="6:32" ht="24" customHeight="1">
      <c r="H3521" s="414" t="s">
        <v>2196</v>
      </c>
      <c r="I3521" s="414">
        <f>1.1*2.325</f>
        <v>2.56</v>
      </c>
      <c r="O3521" s="417" t="s">
        <v>2345</v>
      </c>
      <c r="R3521" s="417">
        <f>AF67</f>
        <v>36.950000000000003</v>
      </c>
      <c r="S3521" s="414">
        <v>4</v>
      </c>
      <c r="T3521" s="414" t="s">
        <v>619</v>
      </c>
      <c r="U3521" s="414" t="s">
        <v>2186</v>
      </c>
      <c r="V3521" s="414">
        <f t="shared" si="330"/>
        <v>89.6</v>
      </c>
      <c r="W3521" s="413" t="s">
        <v>619</v>
      </c>
      <c r="X3521" s="414">
        <f t="shared" si="331"/>
        <v>358.4</v>
      </c>
    </row>
    <row r="3522" spans="6:32" ht="24" customHeight="1">
      <c r="F3522" s="414">
        <f>I3521</f>
        <v>2.56</v>
      </c>
      <c r="G3522" s="414" t="s">
        <v>488</v>
      </c>
      <c r="H3522" s="414" t="s">
        <v>3033</v>
      </c>
      <c r="I3522" s="414">
        <v>2255</v>
      </c>
      <c r="J3522" s="414" t="s">
        <v>488</v>
      </c>
      <c r="K3522" s="414">
        <f>I3522*F3522</f>
        <v>5772.8</v>
      </c>
      <c r="S3522" s="414">
        <v>2</v>
      </c>
      <c r="T3522" s="414" t="s">
        <v>619</v>
      </c>
      <c r="U3522" s="414" t="s">
        <v>2187</v>
      </c>
      <c r="V3522" s="414">
        <f t="shared" si="330"/>
        <v>64.8</v>
      </c>
      <c r="W3522" s="413" t="s">
        <v>619</v>
      </c>
      <c r="X3522" s="414">
        <f t="shared" si="331"/>
        <v>129.6</v>
      </c>
    </row>
    <row r="3523" spans="6:32" ht="24" customHeight="1">
      <c r="F3523" s="414">
        <f>F3522</f>
        <v>2.56</v>
      </c>
      <c r="G3523" s="414" t="s">
        <v>488</v>
      </c>
      <c r="H3523" s="414" t="s">
        <v>2852</v>
      </c>
      <c r="I3523" s="414">
        <f>AE53</f>
        <v>330.2</v>
      </c>
      <c r="J3523" s="414" t="s">
        <v>488</v>
      </c>
      <c r="K3523" s="414">
        <f t="shared" ref="K3523:K3530" si="332">I3523*F3523</f>
        <v>845.31</v>
      </c>
      <c r="S3523" s="414">
        <v>1</v>
      </c>
      <c r="T3523" s="414" t="s">
        <v>619</v>
      </c>
      <c r="U3523" s="414" t="s">
        <v>1903</v>
      </c>
      <c r="V3523" s="414">
        <f t="shared" si="330"/>
        <v>181</v>
      </c>
      <c r="W3523" s="413" t="s">
        <v>619</v>
      </c>
      <c r="X3523" s="414">
        <f t="shared" si="331"/>
        <v>181</v>
      </c>
    </row>
    <row r="3524" spans="6:32" ht="24" customHeight="1">
      <c r="F3524" s="414">
        <v>4</v>
      </c>
      <c r="G3524" s="414" t="s">
        <v>619</v>
      </c>
      <c r="H3524" s="414" t="s">
        <v>2336</v>
      </c>
      <c r="I3524" s="414">
        <f>P3228</f>
        <v>57.65</v>
      </c>
      <c r="J3524" s="414" t="s">
        <v>619</v>
      </c>
      <c r="K3524" s="414">
        <f t="shared" si="332"/>
        <v>230.6</v>
      </c>
      <c r="O3524" s="417" t="s">
        <v>2279</v>
      </c>
      <c r="Q3524" s="412"/>
      <c r="S3524" s="414">
        <v>92</v>
      </c>
      <c r="T3524" s="414" t="s">
        <v>619</v>
      </c>
      <c r="U3524" s="414" t="s">
        <v>2188</v>
      </c>
      <c r="V3524" s="414">
        <f t="shared" si="330"/>
        <v>2.41</v>
      </c>
      <c r="W3524" s="413" t="s">
        <v>619</v>
      </c>
      <c r="X3524" s="414">
        <f t="shared" si="331"/>
        <v>221.72</v>
      </c>
    </row>
    <row r="3525" spans="6:32" ht="24" customHeight="1">
      <c r="F3525" s="414">
        <v>8</v>
      </c>
      <c r="G3525" s="414" t="s">
        <v>619</v>
      </c>
      <c r="H3525" s="414" t="s">
        <v>2337</v>
      </c>
      <c r="I3525" s="414">
        <f>P3229</f>
        <v>89.6</v>
      </c>
      <c r="J3525" s="414" t="s">
        <v>619</v>
      </c>
      <c r="K3525" s="414">
        <f t="shared" si="332"/>
        <v>716.8</v>
      </c>
      <c r="O3525" s="414" t="s">
        <v>2280</v>
      </c>
      <c r="P3525" s="414">
        <f>1.4*2.325</f>
        <v>3.26</v>
      </c>
      <c r="Q3525" s="412"/>
      <c r="S3525" s="414">
        <v>1</v>
      </c>
      <c r="T3525" s="414" t="s">
        <v>619</v>
      </c>
      <c r="U3525" s="414" t="s">
        <v>2189</v>
      </c>
      <c r="V3525" s="414">
        <f t="shared" si="330"/>
        <v>23.1</v>
      </c>
      <c r="W3525" s="413" t="s">
        <v>619</v>
      </c>
      <c r="X3525" s="414">
        <f t="shared" si="331"/>
        <v>23.1</v>
      </c>
    </row>
    <row r="3526" spans="6:32" ht="24" customHeight="1">
      <c r="F3526" s="414">
        <v>4</v>
      </c>
      <c r="G3526" s="414" t="s">
        <v>619</v>
      </c>
      <c r="H3526" s="414" t="s">
        <v>2338</v>
      </c>
      <c r="I3526" s="414">
        <f>C284</f>
        <v>64.8</v>
      </c>
      <c r="J3526" s="414" t="s">
        <v>619</v>
      </c>
      <c r="K3526" s="414">
        <f t="shared" si="332"/>
        <v>259.2</v>
      </c>
      <c r="M3526" s="414">
        <f>P3525</f>
        <v>3.26</v>
      </c>
      <c r="N3526" s="414" t="s">
        <v>488</v>
      </c>
      <c r="O3526" s="414" t="s">
        <v>2622</v>
      </c>
      <c r="P3526" s="414">
        <f>I3522</f>
        <v>2255</v>
      </c>
      <c r="Q3526" s="414" t="s">
        <v>488</v>
      </c>
      <c r="R3526" s="414">
        <f t="shared" ref="R3526:R3534" si="333">P3526*M3526</f>
        <v>7351.3</v>
      </c>
      <c r="S3526" s="414">
        <v>1</v>
      </c>
      <c r="T3526" s="414" t="s">
        <v>619</v>
      </c>
      <c r="U3526" s="414" t="s">
        <v>2190</v>
      </c>
      <c r="V3526" s="414">
        <f t="shared" si="330"/>
        <v>49.55</v>
      </c>
      <c r="W3526" s="413" t="s">
        <v>619</v>
      </c>
      <c r="X3526" s="414">
        <f t="shared" si="331"/>
        <v>49.55</v>
      </c>
    </row>
    <row r="3527" spans="6:32" ht="24" customHeight="1">
      <c r="F3527" s="414">
        <v>1</v>
      </c>
      <c r="G3527" s="414" t="s">
        <v>619</v>
      </c>
      <c r="H3527" s="414" t="s">
        <v>2339</v>
      </c>
      <c r="I3527" s="414">
        <f>C286</f>
        <v>181</v>
      </c>
      <c r="J3527" s="414" t="s">
        <v>619</v>
      </c>
      <c r="K3527" s="414">
        <f t="shared" si="332"/>
        <v>181</v>
      </c>
      <c r="M3527" s="414">
        <f>M3526</f>
        <v>3.26</v>
      </c>
      <c r="N3527" s="414" t="s">
        <v>488</v>
      </c>
      <c r="O3527" s="414" t="s">
        <v>2346</v>
      </c>
      <c r="P3527" s="414">
        <f t="shared" ref="P3527:P3534" si="334">I3523</f>
        <v>330.2</v>
      </c>
      <c r="Q3527" s="414" t="s">
        <v>488</v>
      </c>
      <c r="R3527" s="414">
        <f t="shared" si="333"/>
        <v>1076.45</v>
      </c>
      <c r="S3527" s="416">
        <v>0.39</v>
      </c>
      <c r="T3527" s="414" t="s">
        <v>488</v>
      </c>
      <c r="U3527" s="414" t="s">
        <v>2288</v>
      </c>
      <c r="V3527" s="414">
        <f t="shared" si="330"/>
        <v>233.74</v>
      </c>
      <c r="W3527" s="413" t="s">
        <v>488</v>
      </c>
    </row>
    <row r="3528" spans="6:32" ht="24" customHeight="1">
      <c r="F3528" s="414">
        <v>118</v>
      </c>
      <c r="G3528" s="414" t="s">
        <v>619</v>
      </c>
      <c r="H3528" s="414" t="s">
        <v>2188</v>
      </c>
      <c r="I3528" s="414">
        <f>P3448</f>
        <v>2.41</v>
      </c>
      <c r="J3528" s="414" t="s">
        <v>619</v>
      </c>
      <c r="K3528" s="414">
        <f t="shared" si="332"/>
        <v>284.38</v>
      </c>
      <c r="M3528" s="414">
        <v>4</v>
      </c>
      <c r="N3528" s="414" t="s">
        <v>619</v>
      </c>
      <c r="O3528" s="414" t="s">
        <v>2185</v>
      </c>
      <c r="P3528" s="414">
        <f t="shared" si="334"/>
        <v>57.65</v>
      </c>
      <c r="Q3528" s="414" t="s">
        <v>619</v>
      </c>
      <c r="R3528" s="414">
        <f t="shared" si="333"/>
        <v>230.6</v>
      </c>
      <c r="S3528" s="414"/>
      <c r="U3528" s="414" t="s">
        <v>2290</v>
      </c>
      <c r="W3528" s="413"/>
      <c r="X3528" s="414">
        <f>SUM(X3518:X3527)</f>
        <v>7399.57</v>
      </c>
    </row>
    <row r="3529" spans="6:32" ht="24" customHeight="1">
      <c r="F3529" s="414">
        <v>2</v>
      </c>
      <c r="G3529" s="414" t="s">
        <v>619</v>
      </c>
      <c r="H3529" s="414" t="s">
        <v>2340</v>
      </c>
      <c r="I3529" s="414">
        <f>P3197</f>
        <v>23.1</v>
      </c>
      <c r="J3529" s="414" t="s">
        <v>619</v>
      </c>
      <c r="K3529" s="414">
        <f t="shared" si="332"/>
        <v>46.2</v>
      </c>
      <c r="M3529" s="414">
        <v>10</v>
      </c>
      <c r="N3529" s="414" t="s">
        <v>619</v>
      </c>
      <c r="O3529" s="414" t="s">
        <v>2186</v>
      </c>
      <c r="P3529" s="414">
        <f t="shared" si="334"/>
        <v>89.6</v>
      </c>
      <c r="Q3529" s="414" t="s">
        <v>619</v>
      </c>
      <c r="R3529" s="414">
        <f t="shared" si="333"/>
        <v>896</v>
      </c>
      <c r="S3529" s="414"/>
      <c r="U3529" s="414" t="s">
        <v>2018</v>
      </c>
      <c r="W3529" s="413"/>
      <c r="X3529" s="414">
        <f>X3528/S3519</f>
        <v>2890.46</v>
      </c>
    </row>
    <row r="3530" spans="6:32" ht="24" customHeight="1">
      <c r="F3530" s="414">
        <v>2</v>
      </c>
      <c r="G3530" s="414" t="s">
        <v>619</v>
      </c>
      <c r="H3530" s="414" t="s">
        <v>2190</v>
      </c>
      <c r="I3530" s="414">
        <f>P3403</f>
        <v>49.55</v>
      </c>
      <c r="J3530" s="414" t="s">
        <v>619</v>
      </c>
      <c r="K3530" s="414">
        <f t="shared" si="332"/>
        <v>99.1</v>
      </c>
      <c r="M3530" s="414">
        <v>3</v>
      </c>
      <c r="N3530" s="414" t="s">
        <v>619</v>
      </c>
      <c r="O3530" s="414" t="s">
        <v>2187</v>
      </c>
      <c r="P3530" s="414">
        <f t="shared" si="334"/>
        <v>64.8</v>
      </c>
      <c r="Q3530" s="414" t="s">
        <v>619</v>
      </c>
      <c r="R3530" s="414">
        <f t="shared" si="333"/>
        <v>194.4</v>
      </c>
      <c r="W3530" s="413"/>
    </row>
    <row r="3531" spans="6:32" ht="24" customHeight="1">
      <c r="F3531" s="416">
        <v>0.41099999999999998</v>
      </c>
      <c r="G3531" s="414" t="s">
        <v>488</v>
      </c>
      <c r="H3531" s="414" t="s">
        <v>2191</v>
      </c>
      <c r="I3531" s="414">
        <f>I1136</f>
        <v>194.22</v>
      </c>
      <c r="J3531" s="414" t="s">
        <v>488</v>
      </c>
      <c r="M3531" s="414">
        <v>1</v>
      </c>
      <c r="N3531" s="414" t="s">
        <v>619</v>
      </c>
      <c r="O3531" s="414" t="s">
        <v>1903</v>
      </c>
      <c r="P3531" s="414">
        <f t="shared" si="334"/>
        <v>181</v>
      </c>
      <c r="Q3531" s="414" t="s">
        <v>619</v>
      </c>
      <c r="R3531" s="414">
        <f t="shared" si="333"/>
        <v>181</v>
      </c>
      <c r="W3531" s="413"/>
    </row>
    <row r="3532" spans="6:32" ht="24" customHeight="1">
      <c r="H3532" s="414" t="s">
        <v>2284</v>
      </c>
      <c r="K3532" s="414">
        <f>SUM(K3522:K3531)</f>
        <v>8435.39</v>
      </c>
      <c r="M3532" s="414">
        <v>162</v>
      </c>
      <c r="N3532" s="414" t="s">
        <v>619</v>
      </c>
      <c r="O3532" s="414" t="s">
        <v>2188</v>
      </c>
      <c r="P3532" s="414">
        <f t="shared" si="334"/>
        <v>2.41</v>
      </c>
      <c r="Q3532" s="414" t="s">
        <v>619</v>
      </c>
      <c r="R3532" s="414">
        <f t="shared" si="333"/>
        <v>390.42</v>
      </c>
      <c r="W3532" s="413"/>
    </row>
    <row r="3533" spans="6:32" ht="24" customHeight="1">
      <c r="H3533" s="414" t="s">
        <v>2018</v>
      </c>
      <c r="K3533" s="414">
        <f>K3532/F3523</f>
        <v>3295.07</v>
      </c>
      <c r="M3533" s="414">
        <v>2</v>
      </c>
      <c r="N3533" s="414" t="s">
        <v>619</v>
      </c>
      <c r="O3533" s="414" t="s">
        <v>2189</v>
      </c>
      <c r="P3533" s="414">
        <f t="shared" si="334"/>
        <v>23.1</v>
      </c>
      <c r="Q3533" s="414" t="s">
        <v>619</v>
      </c>
      <c r="R3533" s="414">
        <f t="shared" si="333"/>
        <v>46.2</v>
      </c>
      <c r="W3533" s="413"/>
    </row>
    <row r="3534" spans="6:32" ht="24" customHeight="1">
      <c r="M3534" s="414">
        <v>2</v>
      </c>
      <c r="N3534" s="414" t="s">
        <v>619</v>
      </c>
      <c r="O3534" s="414" t="s">
        <v>2190</v>
      </c>
      <c r="P3534" s="414">
        <f t="shared" si="334"/>
        <v>49.55</v>
      </c>
      <c r="Q3534" s="414" t="s">
        <v>619</v>
      </c>
      <c r="R3534" s="414">
        <f t="shared" si="333"/>
        <v>99.1</v>
      </c>
      <c r="W3534" s="413"/>
    </row>
    <row r="3535" spans="6:32" ht="24" hidden="1" customHeight="1">
      <c r="M3535" s="416">
        <v>0</v>
      </c>
      <c r="N3535" s="414" t="s">
        <v>488</v>
      </c>
      <c r="O3535" s="414" t="s">
        <v>2191</v>
      </c>
      <c r="P3535" s="414">
        <f>I3531</f>
        <v>194.22</v>
      </c>
      <c r="Q3535" s="414" t="s">
        <v>488</v>
      </c>
      <c r="R3535" s="414">
        <f>P3535*M3535</f>
        <v>0</v>
      </c>
      <c r="W3535" s="413"/>
    </row>
    <row r="3536" spans="6:32" ht="24" customHeight="1">
      <c r="H3536" s="414" t="s">
        <v>2193</v>
      </c>
      <c r="O3536" s="414" t="s">
        <v>2281</v>
      </c>
      <c r="Q3536" s="412"/>
      <c r="R3536" s="414">
        <f>SUM(R3526:R3535)</f>
        <v>10465.469999999999</v>
      </c>
      <c r="S3536" s="414"/>
      <c r="U3536" s="414" t="s">
        <v>2289</v>
      </c>
      <c r="W3536" s="413"/>
      <c r="AD3536" s="414" t="s">
        <v>2640</v>
      </c>
      <c r="AF3536" s="412"/>
    </row>
    <row r="3537" spans="6:33" ht="24" customHeight="1">
      <c r="H3537" s="414" t="s">
        <v>2296</v>
      </c>
      <c r="I3537" s="414">
        <f>0.9*2.025</f>
        <v>1.82</v>
      </c>
      <c r="O3537" s="414" t="s">
        <v>2018</v>
      </c>
      <c r="Q3537" s="412"/>
      <c r="R3537" s="414">
        <f>R3536/M3527</f>
        <v>3210.27</v>
      </c>
      <c r="S3537" s="414"/>
      <c r="U3537" s="414" t="s">
        <v>2297</v>
      </c>
      <c r="V3537" s="414">
        <f>0.9*2.325</f>
        <v>2.09</v>
      </c>
      <c r="W3537" s="413"/>
      <c r="AD3537" s="414" t="s">
        <v>2874</v>
      </c>
      <c r="AE3537" s="414">
        <f>0.8*2.025</f>
        <v>1.62</v>
      </c>
      <c r="AF3537" s="412"/>
    </row>
    <row r="3538" spans="6:33" ht="24" customHeight="1">
      <c r="F3538" s="414">
        <f>I3537</f>
        <v>1.82</v>
      </c>
      <c r="G3538" s="414" t="s">
        <v>488</v>
      </c>
      <c r="H3538" s="414" t="s">
        <v>2183</v>
      </c>
      <c r="I3538" s="414">
        <f>I3522</f>
        <v>2255</v>
      </c>
      <c r="J3538" s="414" t="s">
        <v>488</v>
      </c>
      <c r="K3538" s="414">
        <f>I3538*F3538</f>
        <v>4104.1000000000004</v>
      </c>
      <c r="R3538" s="417"/>
      <c r="S3538" s="414">
        <f>V3537</f>
        <v>2.09</v>
      </c>
      <c r="T3538" s="414" t="s">
        <v>488</v>
      </c>
      <c r="U3538" s="414" t="s">
        <v>2183</v>
      </c>
      <c r="V3538" s="414">
        <f>I3538</f>
        <v>2255</v>
      </c>
      <c r="W3538" s="413" t="s">
        <v>488</v>
      </c>
      <c r="X3538" s="414">
        <f>V3538*S3538</f>
        <v>4712.95</v>
      </c>
      <c r="AB3538" s="414">
        <f>AE3537</f>
        <v>1.62</v>
      </c>
      <c r="AC3538" s="414" t="s">
        <v>488</v>
      </c>
      <c r="AD3538" s="414" t="s">
        <v>2642</v>
      </c>
      <c r="AE3538" s="414">
        <f>I3522</f>
        <v>2255</v>
      </c>
      <c r="AF3538" s="414" t="s">
        <v>488</v>
      </c>
      <c r="AG3538" s="414">
        <f>AE3538*AB3538</f>
        <v>3653.1</v>
      </c>
    </row>
    <row r="3539" spans="6:33" ht="24" customHeight="1">
      <c r="F3539" s="414">
        <f>I3537</f>
        <v>1.82</v>
      </c>
      <c r="G3539" s="414" t="s">
        <v>488</v>
      </c>
      <c r="H3539" s="414" t="s">
        <v>2853</v>
      </c>
      <c r="I3539" s="414">
        <f>AE52</f>
        <v>214.1</v>
      </c>
      <c r="J3539" s="414" t="s">
        <v>488</v>
      </c>
      <c r="K3539" s="414">
        <f t="shared" ref="K3539:K3546" si="335">I3539*F3539</f>
        <v>389.66</v>
      </c>
      <c r="S3539" s="414">
        <f>V3537</f>
        <v>2.09</v>
      </c>
      <c r="T3539" s="414" t="s">
        <v>488</v>
      </c>
      <c r="U3539" s="414" t="s">
        <v>2184</v>
      </c>
      <c r="V3539" s="414">
        <f t="shared" ref="V3539:V3547" si="336">I3539</f>
        <v>214.1</v>
      </c>
      <c r="W3539" s="413" t="s">
        <v>488</v>
      </c>
      <c r="X3539" s="414">
        <f t="shared" ref="X3539:X3546" si="337">V3539*S3539</f>
        <v>447.47</v>
      </c>
      <c r="AB3539" s="414">
        <f>AE3537</f>
        <v>1.62</v>
      </c>
      <c r="AC3539" s="414" t="s">
        <v>488</v>
      </c>
      <c r="AD3539" s="414" t="s">
        <v>2335</v>
      </c>
      <c r="AE3539" s="414">
        <f>I3539</f>
        <v>214.1</v>
      </c>
      <c r="AF3539" s="414" t="s">
        <v>488</v>
      </c>
      <c r="AG3539" s="414">
        <f t="shared" ref="AG3539:AG3546" si="338">AE3539*AB3539</f>
        <v>346.84</v>
      </c>
    </row>
    <row r="3540" spans="6:33" ht="24" customHeight="1">
      <c r="F3540" s="414">
        <v>2</v>
      </c>
      <c r="G3540" s="414" t="s">
        <v>619</v>
      </c>
      <c r="H3540" s="414" t="s">
        <v>2185</v>
      </c>
      <c r="I3540" s="414">
        <f t="shared" ref="I3540:I3546" si="339">I3524</f>
        <v>57.65</v>
      </c>
      <c r="J3540" s="414" t="s">
        <v>619</v>
      </c>
      <c r="K3540" s="414">
        <f t="shared" si="335"/>
        <v>115.3</v>
      </c>
      <c r="O3540" s="414" t="s">
        <v>2282</v>
      </c>
      <c r="Q3540" s="412"/>
      <c r="S3540" s="414">
        <v>2</v>
      </c>
      <c r="T3540" s="414" t="s">
        <v>619</v>
      </c>
      <c r="U3540" s="414" t="s">
        <v>2185</v>
      </c>
      <c r="V3540" s="414">
        <f t="shared" si="336"/>
        <v>57.65</v>
      </c>
      <c r="W3540" s="413" t="s">
        <v>619</v>
      </c>
      <c r="X3540" s="414">
        <f t="shared" si="337"/>
        <v>115.3</v>
      </c>
      <c r="AB3540" s="414">
        <v>2</v>
      </c>
      <c r="AC3540" s="414" t="s">
        <v>619</v>
      </c>
      <c r="AD3540" s="414" t="s">
        <v>2185</v>
      </c>
      <c r="AE3540" s="414">
        <f t="shared" ref="AE3540:AE3547" si="340">I3540</f>
        <v>57.65</v>
      </c>
      <c r="AF3540" s="414" t="s">
        <v>619</v>
      </c>
      <c r="AG3540" s="414">
        <f t="shared" si="338"/>
        <v>115.3</v>
      </c>
    </row>
    <row r="3541" spans="6:33" ht="24" customHeight="1">
      <c r="F3541" s="414">
        <v>3</v>
      </c>
      <c r="G3541" s="414" t="s">
        <v>619</v>
      </c>
      <c r="H3541" s="414" t="s">
        <v>2186</v>
      </c>
      <c r="I3541" s="414">
        <f t="shared" si="339"/>
        <v>89.6</v>
      </c>
      <c r="J3541" s="414" t="s">
        <v>619</v>
      </c>
      <c r="K3541" s="414">
        <f t="shared" si="335"/>
        <v>268.8</v>
      </c>
      <c r="O3541" s="414" t="s">
        <v>2283</v>
      </c>
      <c r="P3541" s="414">
        <f>1.1*2.325</f>
        <v>2.56</v>
      </c>
      <c r="Q3541" s="412"/>
      <c r="S3541" s="414">
        <v>4</v>
      </c>
      <c r="T3541" s="414" t="s">
        <v>619</v>
      </c>
      <c r="U3541" s="414" t="s">
        <v>2186</v>
      </c>
      <c r="V3541" s="414">
        <f t="shared" si="336"/>
        <v>89.6</v>
      </c>
      <c r="W3541" s="413" t="s">
        <v>619</v>
      </c>
      <c r="X3541" s="414">
        <f t="shared" si="337"/>
        <v>358.4</v>
      </c>
      <c r="AB3541" s="414">
        <v>3</v>
      </c>
      <c r="AC3541" s="414" t="s">
        <v>619</v>
      </c>
      <c r="AD3541" s="414" t="s">
        <v>2186</v>
      </c>
      <c r="AE3541" s="414">
        <f t="shared" si="340"/>
        <v>89.6</v>
      </c>
      <c r="AF3541" s="414" t="s">
        <v>619</v>
      </c>
      <c r="AG3541" s="414">
        <f t="shared" si="338"/>
        <v>268.8</v>
      </c>
    </row>
    <row r="3542" spans="6:33" ht="24" customHeight="1">
      <c r="F3542" s="414">
        <v>2</v>
      </c>
      <c r="G3542" s="414" t="s">
        <v>619</v>
      </c>
      <c r="H3542" s="414" t="s">
        <v>2187</v>
      </c>
      <c r="I3542" s="414">
        <f t="shared" si="339"/>
        <v>64.8</v>
      </c>
      <c r="J3542" s="414" t="s">
        <v>619</v>
      </c>
      <c r="K3542" s="414">
        <f t="shared" si="335"/>
        <v>129.6</v>
      </c>
      <c r="M3542" s="414">
        <f>P3541</f>
        <v>2.56</v>
      </c>
      <c r="N3542" s="414" t="s">
        <v>488</v>
      </c>
      <c r="O3542" s="414" t="s">
        <v>2183</v>
      </c>
      <c r="P3542" s="414">
        <f>I3538</f>
        <v>2255</v>
      </c>
      <c r="Q3542" s="414" t="s">
        <v>488</v>
      </c>
      <c r="R3542" s="414">
        <f>P3542*M3542</f>
        <v>5772.8</v>
      </c>
      <c r="S3542" s="414">
        <v>2</v>
      </c>
      <c r="T3542" s="414" t="s">
        <v>619</v>
      </c>
      <c r="U3542" s="414" t="s">
        <v>2187</v>
      </c>
      <c r="V3542" s="414">
        <f t="shared" si="336"/>
        <v>64.8</v>
      </c>
      <c r="W3542" s="413" t="s">
        <v>619</v>
      </c>
      <c r="X3542" s="414">
        <f t="shared" si="337"/>
        <v>129.6</v>
      </c>
      <c r="AB3542" s="414">
        <v>2</v>
      </c>
      <c r="AC3542" s="414" t="s">
        <v>619</v>
      </c>
      <c r="AD3542" s="414" t="s">
        <v>2187</v>
      </c>
      <c r="AE3542" s="414">
        <f t="shared" si="340"/>
        <v>64.8</v>
      </c>
      <c r="AF3542" s="414" t="s">
        <v>619</v>
      </c>
      <c r="AG3542" s="414">
        <f t="shared" si="338"/>
        <v>129.6</v>
      </c>
    </row>
    <row r="3543" spans="6:33" ht="24" customHeight="1">
      <c r="F3543" s="414">
        <v>1</v>
      </c>
      <c r="G3543" s="414" t="s">
        <v>619</v>
      </c>
      <c r="H3543" s="414" t="s">
        <v>1903</v>
      </c>
      <c r="I3543" s="414">
        <f t="shared" si="339"/>
        <v>181</v>
      </c>
      <c r="J3543" s="414" t="s">
        <v>619</v>
      </c>
      <c r="K3543" s="414">
        <f t="shared" si="335"/>
        <v>181</v>
      </c>
      <c r="M3543" s="414">
        <f>P3541</f>
        <v>2.56</v>
      </c>
      <c r="N3543" s="414" t="s">
        <v>488</v>
      </c>
      <c r="O3543" s="414" t="s">
        <v>2603</v>
      </c>
      <c r="P3543" s="414">
        <f t="shared" ref="P3543:P3551" si="341">I3539</f>
        <v>214.1</v>
      </c>
      <c r="Q3543" s="414" t="s">
        <v>488</v>
      </c>
      <c r="R3543" s="414">
        <f t="shared" ref="R3543:R3551" si="342">P3543*M3543</f>
        <v>548.1</v>
      </c>
      <c r="S3543" s="414">
        <v>1</v>
      </c>
      <c r="T3543" s="414" t="s">
        <v>619</v>
      </c>
      <c r="U3543" s="414" t="s">
        <v>1903</v>
      </c>
      <c r="V3543" s="414">
        <f t="shared" si="336"/>
        <v>181</v>
      </c>
      <c r="W3543" s="413" t="s">
        <v>619</v>
      </c>
      <c r="X3543" s="414">
        <f t="shared" si="337"/>
        <v>181</v>
      </c>
      <c r="AB3543" s="414">
        <v>1</v>
      </c>
      <c r="AC3543" s="414" t="s">
        <v>619</v>
      </c>
      <c r="AD3543" s="414" t="s">
        <v>1903</v>
      </c>
      <c r="AE3543" s="414">
        <f t="shared" si="340"/>
        <v>181</v>
      </c>
      <c r="AF3543" s="414" t="s">
        <v>619</v>
      </c>
      <c r="AG3543" s="414">
        <f t="shared" si="338"/>
        <v>181</v>
      </c>
    </row>
    <row r="3544" spans="6:33" ht="24" customHeight="1">
      <c r="F3544" s="414">
        <v>92</v>
      </c>
      <c r="G3544" s="414" t="s">
        <v>619</v>
      </c>
      <c r="H3544" s="414" t="s">
        <v>2188</v>
      </c>
      <c r="I3544" s="414">
        <f t="shared" si="339"/>
        <v>2.41</v>
      </c>
      <c r="J3544" s="414" t="s">
        <v>619</v>
      </c>
      <c r="K3544" s="414">
        <f t="shared" si="335"/>
        <v>221.72</v>
      </c>
      <c r="M3544" s="414">
        <f>F3540</f>
        <v>2</v>
      </c>
      <c r="N3544" s="414" t="s">
        <v>619</v>
      </c>
      <c r="O3544" s="414" t="s">
        <v>2185</v>
      </c>
      <c r="P3544" s="414">
        <f t="shared" si="341"/>
        <v>57.65</v>
      </c>
      <c r="Q3544" s="414" t="s">
        <v>619</v>
      </c>
      <c r="R3544" s="414">
        <f t="shared" si="342"/>
        <v>115.3</v>
      </c>
      <c r="S3544" s="414">
        <v>92</v>
      </c>
      <c r="T3544" s="414" t="s">
        <v>619</v>
      </c>
      <c r="U3544" s="414" t="s">
        <v>2188</v>
      </c>
      <c r="V3544" s="414">
        <f t="shared" si="336"/>
        <v>2.41</v>
      </c>
      <c r="W3544" s="413" t="s">
        <v>619</v>
      </c>
      <c r="X3544" s="414">
        <f t="shared" si="337"/>
        <v>221.72</v>
      </c>
      <c r="AB3544" s="414">
        <v>92</v>
      </c>
      <c r="AC3544" s="414" t="s">
        <v>619</v>
      </c>
      <c r="AD3544" s="414" t="s">
        <v>2188</v>
      </c>
      <c r="AE3544" s="414">
        <f t="shared" si="340"/>
        <v>2.41</v>
      </c>
      <c r="AF3544" s="414" t="s">
        <v>619</v>
      </c>
      <c r="AG3544" s="414">
        <f t="shared" si="338"/>
        <v>221.72</v>
      </c>
    </row>
    <row r="3545" spans="6:33" ht="24" customHeight="1">
      <c r="F3545" s="414">
        <v>1</v>
      </c>
      <c r="G3545" s="414" t="s">
        <v>619</v>
      </c>
      <c r="H3545" s="414" t="s">
        <v>2189</v>
      </c>
      <c r="I3545" s="414">
        <f t="shared" si="339"/>
        <v>23.1</v>
      </c>
      <c r="J3545" s="414" t="s">
        <v>619</v>
      </c>
      <c r="K3545" s="414">
        <f t="shared" si="335"/>
        <v>23.1</v>
      </c>
      <c r="M3545" s="414">
        <f t="shared" ref="M3545:M3550" si="343">F3541</f>
        <v>3</v>
      </c>
      <c r="N3545" s="414" t="s">
        <v>619</v>
      </c>
      <c r="O3545" s="414" t="s">
        <v>2186</v>
      </c>
      <c r="P3545" s="414">
        <f t="shared" si="341"/>
        <v>89.6</v>
      </c>
      <c r="Q3545" s="414" t="s">
        <v>619</v>
      </c>
      <c r="R3545" s="414">
        <f t="shared" si="342"/>
        <v>268.8</v>
      </c>
      <c r="S3545" s="414">
        <v>1</v>
      </c>
      <c r="T3545" s="414" t="s">
        <v>619</v>
      </c>
      <c r="U3545" s="414" t="s">
        <v>2189</v>
      </c>
      <c r="V3545" s="414">
        <f t="shared" si="336"/>
        <v>23.1</v>
      </c>
      <c r="W3545" s="413" t="s">
        <v>619</v>
      </c>
      <c r="X3545" s="414">
        <f t="shared" si="337"/>
        <v>23.1</v>
      </c>
      <c r="AB3545" s="414">
        <v>1</v>
      </c>
      <c r="AC3545" s="414" t="s">
        <v>619</v>
      </c>
      <c r="AD3545" s="414" t="s">
        <v>2189</v>
      </c>
      <c r="AE3545" s="414">
        <f t="shared" si="340"/>
        <v>23.1</v>
      </c>
      <c r="AF3545" s="414" t="s">
        <v>619</v>
      </c>
      <c r="AG3545" s="414">
        <f t="shared" si="338"/>
        <v>23.1</v>
      </c>
    </row>
    <row r="3546" spans="6:33" ht="24" customHeight="1">
      <c r="F3546" s="414">
        <v>1</v>
      </c>
      <c r="G3546" s="414" t="s">
        <v>619</v>
      </c>
      <c r="H3546" s="414" t="s">
        <v>2190</v>
      </c>
      <c r="I3546" s="414">
        <f t="shared" si="339"/>
        <v>49.55</v>
      </c>
      <c r="J3546" s="414" t="s">
        <v>619</v>
      </c>
      <c r="K3546" s="414">
        <f t="shared" si="335"/>
        <v>49.55</v>
      </c>
      <c r="M3546" s="414">
        <f t="shared" si="343"/>
        <v>2</v>
      </c>
      <c r="N3546" s="414" t="s">
        <v>619</v>
      </c>
      <c r="O3546" s="414" t="s">
        <v>2187</v>
      </c>
      <c r="P3546" s="414">
        <f t="shared" si="341"/>
        <v>64.8</v>
      </c>
      <c r="Q3546" s="414" t="s">
        <v>619</v>
      </c>
      <c r="R3546" s="414">
        <f t="shared" si="342"/>
        <v>129.6</v>
      </c>
      <c r="S3546" s="414">
        <v>1</v>
      </c>
      <c r="T3546" s="414" t="s">
        <v>619</v>
      </c>
      <c r="U3546" s="414" t="s">
        <v>2190</v>
      </c>
      <c r="V3546" s="414">
        <f t="shared" si="336"/>
        <v>49.55</v>
      </c>
      <c r="W3546" s="413" t="s">
        <v>619</v>
      </c>
      <c r="X3546" s="414">
        <f t="shared" si="337"/>
        <v>49.55</v>
      </c>
      <c r="AB3546" s="414">
        <v>1</v>
      </c>
      <c r="AC3546" s="414" t="s">
        <v>619</v>
      </c>
      <c r="AD3546" s="414" t="s">
        <v>2190</v>
      </c>
      <c r="AE3546" s="414">
        <f t="shared" si="340"/>
        <v>49.55</v>
      </c>
      <c r="AF3546" s="414" t="s">
        <v>619</v>
      </c>
      <c r="AG3546" s="414">
        <f t="shared" si="338"/>
        <v>49.55</v>
      </c>
    </row>
    <row r="3547" spans="6:33" ht="24" customHeight="1">
      <c r="F3547" s="416">
        <v>0.35</v>
      </c>
      <c r="G3547" s="414" t="s">
        <v>488</v>
      </c>
      <c r="H3547" s="414" t="s">
        <v>2288</v>
      </c>
      <c r="I3547" s="414">
        <f>K1540</f>
        <v>233.74</v>
      </c>
      <c r="J3547" s="414" t="s">
        <v>488</v>
      </c>
      <c r="M3547" s="414">
        <f t="shared" si="343"/>
        <v>1</v>
      </c>
      <c r="N3547" s="414" t="s">
        <v>619</v>
      </c>
      <c r="O3547" s="414" t="s">
        <v>1903</v>
      </c>
      <c r="P3547" s="414">
        <f t="shared" si="341"/>
        <v>181</v>
      </c>
      <c r="Q3547" s="414" t="s">
        <v>619</v>
      </c>
      <c r="R3547" s="414">
        <f t="shared" si="342"/>
        <v>181</v>
      </c>
      <c r="S3547" s="416">
        <v>0.39</v>
      </c>
      <c r="T3547" s="414" t="s">
        <v>488</v>
      </c>
      <c r="U3547" s="414" t="s">
        <v>2288</v>
      </c>
      <c r="V3547" s="414">
        <f t="shared" si="336"/>
        <v>233.74</v>
      </c>
      <c r="W3547" s="413" t="s">
        <v>488</v>
      </c>
      <c r="AB3547" s="416">
        <v>0.35</v>
      </c>
      <c r="AC3547" s="414" t="s">
        <v>488</v>
      </c>
      <c r="AD3547" s="414" t="s">
        <v>2288</v>
      </c>
      <c r="AE3547" s="414">
        <f t="shared" si="340"/>
        <v>233.74</v>
      </c>
      <c r="AF3547" s="414" t="s">
        <v>488</v>
      </c>
    </row>
    <row r="3548" spans="6:33" ht="24" customHeight="1">
      <c r="H3548" s="414" t="s">
        <v>2194</v>
      </c>
      <c r="K3548" s="414">
        <f>SUM(K3538:K3547)</f>
        <v>5482.83</v>
      </c>
      <c r="M3548" s="414">
        <f t="shared" si="343"/>
        <v>92</v>
      </c>
      <c r="N3548" s="414" t="s">
        <v>619</v>
      </c>
      <c r="O3548" s="414" t="s">
        <v>2188</v>
      </c>
      <c r="P3548" s="414">
        <f t="shared" si="341"/>
        <v>2.41</v>
      </c>
      <c r="Q3548" s="414" t="s">
        <v>619</v>
      </c>
      <c r="R3548" s="414">
        <f t="shared" si="342"/>
        <v>221.72</v>
      </c>
      <c r="S3548" s="414"/>
      <c r="U3548" s="414" t="s">
        <v>2290</v>
      </c>
      <c r="W3548" s="413"/>
      <c r="X3548" s="414">
        <f>SUM(X3538:X3547)</f>
        <v>6239.09</v>
      </c>
      <c r="AD3548" s="414" t="s">
        <v>2641</v>
      </c>
      <c r="AF3548" s="412"/>
      <c r="AG3548" s="414">
        <f>SUM(AG3538:AG3547)</f>
        <v>4989.01</v>
      </c>
    </row>
    <row r="3549" spans="6:33" ht="24" customHeight="1">
      <c r="H3549" s="414" t="s">
        <v>2018</v>
      </c>
      <c r="K3549" s="414">
        <f>K3548/F3539</f>
        <v>3012.54</v>
      </c>
      <c r="M3549" s="414">
        <f t="shared" si="343"/>
        <v>1</v>
      </c>
      <c r="N3549" s="414" t="s">
        <v>619</v>
      </c>
      <c r="O3549" s="414" t="s">
        <v>2189</v>
      </c>
      <c r="P3549" s="414">
        <f t="shared" si="341"/>
        <v>23.1</v>
      </c>
      <c r="Q3549" s="414" t="s">
        <v>619</v>
      </c>
      <c r="R3549" s="414">
        <f t="shared" si="342"/>
        <v>23.1</v>
      </c>
      <c r="S3549" s="414"/>
      <c r="U3549" s="414" t="s">
        <v>2018</v>
      </c>
      <c r="W3549" s="413"/>
      <c r="X3549" s="414">
        <f>X3548/S3539</f>
        <v>2985.21</v>
      </c>
      <c r="AD3549" s="414" t="s">
        <v>2018</v>
      </c>
      <c r="AF3549" s="412"/>
      <c r="AG3549" s="414">
        <f>AG3548/AB3539</f>
        <v>3079.64</v>
      </c>
    </row>
    <row r="3550" spans="6:33" ht="24" customHeight="1">
      <c r="M3550" s="414">
        <f t="shared" si="343"/>
        <v>1</v>
      </c>
      <c r="N3550" s="414" t="s">
        <v>619</v>
      </c>
      <c r="O3550" s="414" t="s">
        <v>2190</v>
      </c>
      <c r="P3550" s="414">
        <f t="shared" si="341"/>
        <v>49.55</v>
      </c>
      <c r="Q3550" s="414" t="s">
        <v>619</v>
      </c>
      <c r="R3550" s="414">
        <f t="shared" si="342"/>
        <v>49.55</v>
      </c>
      <c r="W3550" s="413"/>
      <c r="AF3550" s="412"/>
    </row>
    <row r="3551" spans="6:33" ht="24" hidden="1" customHeight="1">
      <c r="M3551" s="416"/>
      <c r="N3551" s="414" t="s">
        <v>488</v>
      </c>
      <c r="O3551" s="414" t="s">
        <v>2191</v>
      </c>
      <c r="P3551" s="414">
        <f t="shared" si="341"/>
        <v>233.74</v>
      </c>
      <c r="Q3551" s="414" t="s">
        <v>488</v>
      </c>
      <c r="R3551" s="414">
        <f t="shared" si="342"/>
        <v>0</v>
      </c>
      <c r="W3551" s="413"/>
    </row>
    <row r="3552" spans="6:33" ht="24" customHeight="1">
      <c r="F3552" s="427"/>
      <c r="G3552" s="414" t="s">
        <v>1833</v>
      </c>
      <c r="H3552" s="412" t="s">
        <v>1807</v>
      </c>
      <c r="O3552" s="414" t="s">
        <v>2284</v>
      </c>
      <c r="Q3552" s="412"/>
      <c r="R3552" s="414">
        <f>SUM(R3542:R3551)</f>
        <v>7309.97</v>
      </c>
      <c r="S3552" s="414"/>
      <c r="U3552" s="414" t="s">
        <v>2291</v>
      </c>
      <c r="W3552" s="413"/>
      <c r="AD3552" s="414" t="s">
        <v>2871</v>
      </c>
      <c r="AF3552" s="412"/>
    </row>
    <row r="3553" spans="6:33" ht="24" customHeight="1">
      <c r="H3553" s="415" t="s">
        <v>4364</v>
      </c>
      <c r="O3553" s="414" t="s">
        <v>2018</v>
      </c>
      <c r="Q3553" s="412"/>
      <c r="R3553" s="414">
        <f>R3552/M3543</f>
        <v>2855.46</v>
      </c>
      <c r="S3553" s="414"/>
      <c r="U3553" s="414" t="s">
        <v>2294</v>
      </c>
      <c r="V3553" s="414">
        <f>1.4*2.025</f>
        <v>2.84</v>
      </c>
      <c r="W3553" s="413"/>
      <c r="AD3553" s="414" t="s">
        <v>2872</v>
      </c>
      <c r="AE3553" s="414">
        <f>0.8*2.325</f>
        <v>1.86</v>
      </c>
      <c r="AF3553" s="412"/>
    </row>
    <row r="3554" spans="6:33" ht="24" customHeight="1">
      <c r="H3554" s="412" t="s">
        <v>930</v>
      </c>
      <c r="Q3554" s="412"/>
      <c r="S3554" s="414">
        <f>V3553</f>
        <v>2.84</v>
      </c>
      <c r="T3554" s="414" t="s">
        <v>488</v>
      </c>
      <c r="U3554" s="414" t="s">
        <v>2183</v>
      </c>
      <c r="V3554" s="414">
        <f>P3526</f>
        <v>2255</v>
      </c>
      <c r="W3554" s="413" t="s">
        <v>488</v>
      </c>
      <c r="X3554" s="414">
        <f>V3554*S3554</f>
        <v>6404.2</v>
      </c>
      <c r="AB3554" s="414">
        <f>AE3553</f>
        <v>1.86</v>
      </c>
      <c r="AC3554" s="414" t="s">
        <v>488</v>
      </c>
      <c r="AD3554" s="414" t="s">
        <v>2183</v>
      </c>
      <c r="AE3554" s="414">
        <f>AE3538</f>
        <v>2255</v>
      </c>
      <c r="AF3554" s="414" t="s">
        <v>488</v>
      </c>
      <c r="AG3554" s="414">
        <f>AE3554*AB3554</f>
        <v>4194.3</v>
      </c>
    </row>
    <row r="3555" spans="6:33" ht="24" customHeight="1">
      <c r="H3555" s="412" t="s">
        <v>931</v>
      </c>
      <c r="M3555" s="427"/>
      <c r="N3555" s="414" t="s">
        <v>1833</v>
      </c>
      <c r="O3555" s="412" t="s">
        <v>1807</v>
      </c>
      <c r="Q3555" s="412"/>
      <c r="S3555" s="414">
        <f>V3553</f>
        <v>2.84</v>
      </c>
      <c r="T3555" s="414" t="s">
        <v>488</v>
      </c>
      <c r="U3555" s="414" t="s">
        <v>2184</v>
      </c>
      <c r="V3555" s="414">
        <f>P3527</f>
        <v>330.2</v>
      </c>
      <c r="W3555" s="413" t="s">
        <v>488</v>
      </c>
      <c r="X3555" s="414">
        <f t="shared" ref="X3555:X3562" si="344">V3555*S3555</f>
        <v>937.77</v>
      </c>
      <c r="AB3555" s="414">
        <f>AE3553</f>
        <v>1.86</v>
      </c>
      <c r="AC3555" s="414" t="s">
        <v>488</v>
      </c>
      <c r="AD3555" s="414" t="s">
        <v>2184</v>
      </c>
      <c r="AE3555" s="414">
        <f t="shared" ref="AE3555:AE3563" si="345">AE3539</f>
        <v>214.1</v>
      </c>
      <c r="AF3555" s="414" t="s">
        <v>488</v>
      </c>
      <c r="AG3555" s="414">
        <f t="shared" ref="AG3555:AG3562" si="346">AE3555*AB3555</f>
        <v>398.23</v>
      </c>
    </row>
    <row r="3556" spans="6:33" ht="24" customHeight="1">
      <c r="H3556" s="418" t="s">
        <v>1288</v>
      </c>
      <c r="O3556" s="415" t="s">
        <v>4364</v>
      </c>
      <c r="Q3556" s="412"/>
      <c r="S3556" s="414">
        <v>4</v>
      </c>
      <c r="T3556" s="414" t="s">
        <v>619</v>
      </c>
      <c r="U3556" s="414" t="s">
        <v>2185</v>
      </c>
      <c r="V3556" s="414">
        <f t="shared" ref="V3556:V3563" si="347">V3540</f>
        <v>57.65</v>
      </c>
      <c r="W3556" s="413" t="s">
        <v>619</v>
      </c>
      <c r="X3556" s="414">
        <f t="shared" si="344"/>
        <v>230.6</v>
      </c>
      <c r="AB3556" s="414">
        <v>2</v>
      </c>
      <c r="AC3556" s="414" t="s">
        <v>619</v>
      </c>
      <c r="AD3556" s="414" t="s">
        <v>2185</v>
      </c>
      <c r="AE3556" s="414">
        <f t="shared" si="345"/>
        <v>57.65</v>
      </c>
      <c r="AF3556" s="414" t="s">
        <v>619</v>
      </c>
      <c r="AG3556" s="414">
        <f t="shared" si="346"/>
        <v>115.3</v>
      </c>
    </row>
    <row r="3557" spans="6:33" ht="81.599999999999994" customHeight="1">
      <c r="F3557" s="414">
        <v>1</v>
      </c>
      <c r="G3557" s="414" t="s">
        <v>701</v>
      </c>
      <c r="H3557" s="426" t="s">
        <v>2854</v>
      </c>
      <c r="I3557" s="414">
        <v>1672</v>
      </c>
      <c r="J3557" s="412" t="s">
        <v>701</v>
      </c>
      <c r="K3557" s="414">
        <f>(F3557*I3557)</f>
        <v>1672</v>
      </c>
      <c r="O3557" s="412" t="s">
        <v>930</v>
      </c>
      <c r="Q3557" s="412"/>
      <c r="S3557" s="414">
        <v>6</v>
      </c>
      <c r="T3557" s="414" t="s">
        <v>619</v>
      </c>
      <c r="U3557" s="414" t="s">
        <v>2186</v>
      </c>
      <c r="V3557" s="414">
        <f t="shared" si="347"/>
        <v>89.6</v>
      </c>
      <c r="W3557" s="413" t="s">
        <v>619</v>
      </c>
      <c r="X3557" s="414">
        <f t="shared" si="344"/>
        <v>537.6</v>
      </c>
      <c r="AB3557" s="414">
        <v>4</v>
      </c>
      <c r="AC3557" s="414" t="s">
        <v>619</v>
      </c>
      <c r="AD3557" s="414" t="s">
        <v>2186</v>
      </c>
      <c r="AE3557" s="414">
        <f t="shared" si="345"/>
        <v>89.6</v>
      </c>
      <c r="AF3557" s="414" t="s">
        <v>619</v>
      </c>
      <c r="AG3557" s="414">
        <f t="shared" si="346"/>
        <v>358.4</v>
      </c>
    </row>
    <row r="3558" spans="6:33" ht="33.75" hidden="1" customHeight="1">
      <c r="H3558" s="412"/>
      <c r="O3558" s="412" t="s">
        <v>931</v>
      </c>
      <c r="Q3558" s="412"/>
      <c r="S3558" s="414">
        <v>4</v>
      </c>
      <c r="T3558" s="414" t="s">
        <v>619</v>
      </c>
      <c r="U3558" s="414" t="s">
        <v>2187</v>
      </c>
      <c r="V3558" s="414">
        <f t="shared" si="347"/>
        <v>64.8</v>
      </c>
      <c r="W3558" s="413" t="s">
        <v>619</v>
      </c>
      <c r="X3558" s="414">
        <f t="shared" si="344"/>
        <v>259.2</v>
      </c>
      <c r="AB3558" s="414">
        <v>2</v>
      </c>
      <c r="AC3558" s="414" t="s">
        <v>619</v>
      </c>
      <c r="AD3558" s="414" t="s">
        <v>2187</v>
      </c>
      <c r="AE3558" s="414">
        <f t="shared" si="345"/>
        <v>64.8</v>
      </c>
      <c r="AF3558" s="414" t="s">
        <v>619</v>
      </c>
      <c r="AG3558" s="414">
        <f t="shared" si="346"/>
        <v>129.6</v>
      </c>
    </row>
    <row r="3559" spans="6:33" ht="24" customHeight="1">
      <c r="H3559" s="412"/>
      <c r="J3559" s="413"/>
      <c r="O3559" s="418" t="s">
        <v>1288</v>
      </c>
      <c r="Q3559" s="412"/>
      <c r="S3559" s="414">
        <v>1</v>
      </c>
      <c r="T3559" s="414" t="s">
        <v>619</v>
      </c>
      <c r="U3559" s="414" t="s">
        <v>1903</v>
      </c>
      <c r="V3559" s="414">
        <f t="shared" si="347"/>
        <v>181</v>
      </c>
      <c r="W3559" s="413" t="s">
        <v>619</v>
      </c>
      <c r="X3559" s="414">
        <f t="shared" si="344"/>
        <v>181</v>
      </c>
      <c r="AB3559" s="414">
        <v>1</v>
      </c>
      <c r="AC3559" s="414" t="s">
        <v>619</v>
      </c>
      <c r="AD3559" s="414" t="s">
        <v>1903</v>
      </c>
      <c r="AE3559" s="414">
        <f t="shared" si="345"/>
        <v>181</v>
      </c>
      <c r="AF3559" s="414" t="s">
        <v>619</v>
      </c>
      <c r="AG3559" s="414">
        <f t="shared" si="346"/>
        <v>181</v>
      </c>
    </row>
    <row r="3560" spans="6:33" ht="24" customHeight="1">
      <c r="F3560" s="414">
        <v>1</v>
      </c>
      <c r="G3560" s="414" t="s">
        <v>701</v>
      </c>
      <c r="H3560" s="412" t="s">
        <v>1735</v>
      </c>
      <c r="I3560" s="414">
        <f>I1939</f>
        <v>-169</v>
      </c>
      <c r="J3560" s="412" t="s">
        <v>701</v>
      </c>
      <c r="K3560" s="414">
        <f>(F3560*I3560)</f>
        <v>-169</v>
      </c>
      <c r="M3560" s="414">
        <v>1</v>
      </c>
      <c r="N3560" s="414" t="s">
        <v>701</v>
      </c>
      <c r="O3560" s="426" t="s">
        <v>2854</v>
      </c>
      <c r="P3560" s="414">
        <v>1672</v>
      </c>
      <c r="Q3560" s="412" t="s">
        <v>701</v>
      </c>
      <c r="R3560" s="414">
        <f>(M3560*P3560)</f>
        <v>1672</v>
      </c>
      <c r="S3560" s="414">
        <v>118</v>
      </c>
      <c r="T3560" s="414" t="s">
        <v>619</v>
      </c>
      <c r="U3560" s="414" t="s">
        <v>2188</v>
      </c>
      <c r="V3560" s="414">
        <f t="shared" si="347"/>
        <v>2.41</v>
      </c>
      <c r="W3560" s="413" t="s">
        <v>619</v>
      </c>
      <c r="X3560" s="414">
        <f t="shared" si="344"/>
        <v>284.38</v>
      </c>
      <c r="AB3560" s="414">
        <v>92</v>
      </c>
      <c r="AC3560" s="414" t="s">
        <v>619</v>
      </c>
      <c r="AD3560" s="414" t="s">
        <v>2188</v>
      </c>
      <c r="AE3560" s="414">
        <f t="shared" si="345"/>
        <v>2.41</v>
      </c>
      <c r="AF3560" s="414" t="s">
        <v>619</v>
      </c>
      <c r="AG3560" s="414">
        <f t="shared" si="346"/>
        <v>221.72</v>
      </c>
    </row>
    <row r="3561" spans="6:33" ht="24" customHeight="1">
      <c r="H3561" s="412"/>
      <c r="J3561" s="413"/>
      <c r="O3561" s="412"/>
      <c r="Q3561" s="412"/>
      <c r="S3561" s="414">
        <v>2</v>
      </c>
      <c r="T3561" s="414" t="s">
        <v>619</v>
      </c>
      <c r="U3561" s="414" t="s">
        <v>2189</v>
      </c>
      <c r="V3561" s="414">
        <f t="shared" si="347"/>
        <v>23.1</v>
      </c>
      <c r="W3561" s="413" t="s">
        <v>619</v>
      </c>
      <c r="X3561" s="414">
        <f t="shared" si="344"/>
        <v>46.2</v>
      </c>
      <c r="AB3561" s="414">
        <v>1</v>
      </c>
      <c r="AC3561" s="414" t="s">
        <v>619</v>
      </c>
      <c r="AD3561" s="414" t="s">
        <v>2189</v>
      </c>
      <c r="AE3561" s="414">
        <f t="shared" si="345"/>
        <v>23.1</v>
      </c>
      <c r="AF3561" s="414" t="s">
        <v>619</v>
      </c>
      <c r="AG3561" s="414">
        <f t="shared" si="346"/>
        <v>23.1</v>
      </c>
    </row>
    <row r="3562" spans="6:33" ht="24" customHeight="1">
      <c r="F3562" s="414">
        <v>1</v>
      </c>
      <c r="G3562" s="414" t="s">
        <v>701</v>
      </c>
      <c r="H3562" s="412" t="s">
        <v>1736</v>
      </c>
      <c r="I3562" s="414">
        <v>250</v>
      </c>
      <c r="J3562" s="412" t="s">
        <v>701</v>
      </c>
      <c r="K3562" s="414">
        <f>(F3562*I3562)</f>
        <v>250</v>
      </c>
      <c r="O3562" s="412"/>
      <c r="Q3562" s="413"/>
      <c r="S3562" s="414">
        <v>2</v>
      </c>
      <c r="T3562" s="414" t="s">
        <v>619</v>
      </c>
      <c r="U3562" s="414" t="s">
        <v>2190</v>
      </c>
      <c r="V3562" s="414">
        <f t="shared" si="347"/>
        <v>49.55</v>
      </c>
      <c r="W3562" s="413" t="s">
        <v>619</v>
      </c>
      <c r="X3562" s="414">
        <f t="shared" si="344"/>
        <v>99.1</v>
      </c>
      <c r="AB3562" s="414">
        <v>1</v>
      </c>
      <c r="AC3562" s="414" t="s">
        <v>619</v>
      </c>
      <c r="AD3562" s="414" t="s">
        <v>2190</v>
      </c>
      <c r="AE3562" s="414">
        <f t="shared" si="345"/>
        <v>49.55</v>
      </c>
      <c r="AF3562" s="414" t="s">
        <v>619</v>
      </c>
      <c r="AG3562" s="414">
        <f t="shared" si="346"/>
        <v>49.55</v>
      </c>
    </row>
    <row r="3563" spans="6:33" ht="24" customHeight="1">
      <c r="H3563" s="412"/>
      <c r="M3563" s="414">
        <v>1</v>
      </c>
      <c r="N3563" s="414" t="s">
        <v>701</v>
      </c>
      <c r="O3563" s="412" t="s">
        <v>1735</v>
      </c>
      <c r="P3563" s="414">
        <f>I3560</f>
        <v>-169</v>
      </c>
      <c r="Q3563" s="412" t="s">
        <v>701</v>
      </c>
      <c r="R3563" s="414">
        <f>(M3563*P3563)</f>
        <v>-169</v>
      </c>
      <c r="S3563" s="416">
        <v>0.65</v>
      </c>
      <c r="T3563" s="414" t="s">
        <v>488</v>
      </c>
      <c r="U3563" s="414" t="s">
        <v>2288</v>
      </c>
      <c r="V3563" s="414">
        <f t="shared" si="347"/>
        <v>233.74</v>
      </c>
      <c r="W3563" s="413" t="s">
        <v>488</v>
      </c>
      <c r="AB3563" s="416">
        <v>0.39</v>
      </c>
      <c r="AC3563" s="414" t="s">
        <v>488</v>
      </c>
      <c r="AD3563" s="414" t="s">
        <v>2288</v>
      </c>
      <c r="AE3563" s="414">
        <f t="shared" si="345"/>
        <v>233.74</v>
      </c>
      <c r="AF3563" s="414" t="s">
        <v>488</v>
      </c>
    </row>
    <row r="3564" spans="6:33" ht="24" customHeight="1">
      <c r="F3564" s="414">
        <v>0.5</v>
      </c>
      <c r="G3564" s="414" t="s">
        <v>701</v>
      </c>
      <c r="H3564" s="412" t="s">
        <v>1711</v>
      </c>
      <c r="I3564" s="414">
        <f>I1943</f>
        <v>866</v>
      </c>
      <c r="J3564" s="412" t="s">
        <v>701</v>
      </c>
      <c r="K3564" s="414">
        <f>(F3564*I3564)</f>
        <v>433</v>
      </c>
      <c r="O3564" s="412"/>
      <c r="Q3564" s="413"/>
      <c r="S3564" s="414"/>
      <c r="U3564" s="414" t="s">
        <v>2295</v>
      </c>
      <c r="W3564" s="413"/>
      <c r="X3564" s="414">
        <f>SUM(X3554:X3563)</f>
        <v>8980.0499999999993</v>
      </c>
      <c r="AD3564" s="414" t="s">
        <v>2873</v>
      </c>
      <c r="AF3564" s="412"/>
      <c r="AG3564" s="414">
        <f>SUM(AG3554:AG3563)</f>
        <v>5671.2</v>
      </c>
    </row>
    <row r="3565" spans="6:33" ht="24" customHeight="1">
      <c r="F3565" s="414">
        <v>1</v>
      </c>
      <c r="G3565" s="414" t="s">
        <v>701</v>
      </c>
      <c r="H3565" s="412" t="s">
        <v>1550</v>
      </c>
      <c r="I3565" s="414">
        <f>I1944</f>
        <v>651</v>
      </c>
      <c r="J3565" s="412" t="s">
        <v>701</v>
      </c>
      <c r="K3565" s="414">
        <f>(F3565*I3565)</f>
        <v>651</v>
      </c>
      <c r="M3565" s="414">
        <v>1</v>
      </c>
      <c r="N3565" s="414" t="s">
        <v>701</v>
      </c>
      <c r="O3565" s="412" t="s">
        <v>1736</v>
      </c>
      <c r="P3565" s="414">
        <v>250</v>
      </c>
      <c r="Q3565" s="412" t="s">
        <v>701</v>
      </c>
      <c r="R3565" s="414">
        <f>(M3565*P3565)</f>
        <v>250</v>
      </c>
      <c r="S3565" s="414"/>
      <c r="U3565" s="414" t="s">
        <v>2018</v>
      </c>
      <c r="W3565" s="413"/>
      <c r="X3565" s="414">
        <f>X3564/S3555</f>
        <v>3161.99</v>
      </c>
      <c r="AD3565" s="414" t="s">
        <v>2018</v>
      </c>
      <c r="AF3565" s="412"/>
      <c r="AG3565" s="414">
        <f>AG3564/AB3555</f>
        <v>3049.03</v>
      </c>
    </row>
    <row r="3566" spans="6:33" ht="24" customHeight="1">
      <c r="F3566" s="414">
        <v>0.5</v>
      </c>
      <c r="G3566" s="414" t="s">
        <v>701</v>
      </c>
      <c r="H3566" s="412" t="s">
        <v>1637</v>
      </c>
      <c r="I3566" s="414">
        <f>I1945</f>
        <v>999</v>
      </c>
      <c r="J3566" s="412" t="s">
        <v>701</v>
      </c>
      <c r="K3566" s="414">
        <f>(F3566*I3566)</f>
        <v>499.5</v>
      </c>
      <c r="O3566" s="412"/>
      <c r="Q3566" s="412"/>
      <c r="W3566" s="413"/>
    </row>
    <row r="3567" spans="6:33" ht="24" customHeight="1">
      <c r="G3567" s="414" t="s">
        <v>358</v>
      </c>
      <c r="H3567" s="412" t="s">
        <v>932</v>
      </c>
      <c r="J3567" s="412" t="s">
        <v>358</v>
      </c>
      <c r="K3567" s="414">
        <v>0.82</v>
      </c>
      <c r="M3567" s="414">
        <v>0.5</v>
      </c>
      <c r="N3567" s="414" t="s">
        <v>701</v>
      </c>
      <c r="O3567" s="412" t="s">
        <v>1711</v>
      </c>
      <c r="P3567" s="414">
        <f>I3564</f>
        <v>866</v>
      </c>
      <c r="Q3567" s="412" t="s">
        <v>701</v>
      </c>
      <c r="R3567" s="414">
        <f>(M3567*P3567)</f>
        <v>433</v>
      </c>
      <c r="W3567" s="413"/>
    </row>
    <row r="3568" spans="6:33" ht="24" customHeight="1">
      <c r="K3568" s="418" t="s">
        <v>1288</v>
      </c>
      <c r="M3568" s="414">
        <v>1</v>
      </c>
      <c r="N3568" s="414" t="s">
        <v>701</v>
      </c>
      <c r="O3568" s="412" t="s">
        <v>1550</v>
      </c>
      <c r="P3568" s="414">
        <f>I3565</f>
        <v>651</v>
      </c>
      <c r="Q3568" s="412" t="s">
        <v>701</v>
      </c>
      <c r="R3568" s="414">
        <f>(M3568*P3568)</f>
        <v>651</v>
      </c>
      <c r="S3568" s="414"/>
      <c r="U3568" s="414" t="s">
        <v>2292</v>
      </c>
      <c r="W3568" s="413"/>
    </row>
    <row r="3569" spans="1:119" ht="24" customHeight="1">
      <c r="H3569" s="412" t="s">
        <v>1428</v>
      </c>
      <c r="K3569" s="417">
        <f>SUM(K3557:K3567)</f>
        <v>3337.32</v>
      </c>
      <c r="M3569" s="414">
        <v>0.5</v>
      </c>
      <c r="N3569" s="414" t="s">
        <v>701</v>
      </c>
      <c r="O3569" s="412" t="s">
        <v>1637</v>
      </c>
      <c r="P3569" s="414">
        <f>I3566</f>
        <v>999</v>
      </c>
      <c r="Q3569" s="412" t="s">
        <v>701</v>
      </c>
      <c r="R3569" s="414">
        <f>(M3569*P3569)</f>
        <v>499.5</v>
      </c>
      <c r="S3569" s="414"/>
      <c r="U3569" s="414" t="s">
        <v>2293</v>
      </c>
      <c r="V3569" s="414">
        <f>1.4*2.325</f>
        <v>3.26</v>
      </c>
      <c r="W3569" s="413"/>
    </row>
    <row r="3570" spans="1:119" ht="24" customHeight="1">
      <c r="K3570" s="418" t="s">
        <v>1288</v>
      </c>
      <c r="N3570" s="414" t="s">
        <v>358</v>
      </c>
      <c r="O3570" s="412" t="s">
        <v>932</v>
      </c>
      <c r="Q3570" s="412" t="s">
        <v>358</v>
      </c>
      <c r="R3570" s="414">
        <v>0.82</v>
      </c>
      <c r="S3570" s="414">
        <f>V3569</f>
        <v>3.26</v>
      </c>
      <c r="T3570" s="414" t="s">
        <v>488</v>
      </c>
      <c r="U3570" s="414" t="s">
        <v>2183</v>
      </c>
      <c r="V3570" s="414">
        <f>V3554</f>
        <v>2255</v>
      </c>
      <c r="W3570" s="413" t="s">
        <v>488</v>
      </c>
      <c r="X3570" s="414">
        <f>V3570*S3570</f>
        <v>7351.3</v>
      </c>
    </row>
    <row r="3571" spans="1:119" ht="24" customHeight="1">
      <c r="I3571" s="416"/>
      <c r="J3571" s="414"/>
      <c r="Q3571" s="412"/>
      <c r="R3571" s="418" t="s">
        <v>1288</v>
      </c>
      <c r="S3571" s="414">
        <f>V3569</f>
        <v>3.26</v>
      </c>
      <c r="T3571" s="414" t="s">
        <v>488</v>
      </c>
      <c r="U3571" s="414" t="s">
        <v>2184</v>
      </c>
      <c r="V3571" s="414">
        <f t="shared" ref="V3571:V3579" si="348">V3555</f>
        <v>330.2</v>
      </c>
      <c r="W3571" s="413" t="s">
        <v>488</v>
      </c>
      <c r="X3571" s="414">
        <f t="shared" ref="X3571:X3578" si="349">V3571*S3571</f>
        <v>1076.45</v>
      </c>
    </row>
    <row r="3572" spans="1:119" ht="24" customHeight="1">
      <c r="H3572" s="417" t="s">
        <v>2258</v>
      </c>
      <c r="I3572" s="416"/>
      <c r="J3572" s="414"/>
      <c r="O3572" s="412" t="s">
        <v>1428</v>
      </c>
      <c r="Q3572" s="412"/>
      <c r="R3572" s="417">
        <f>SUM(R3560:R3570)</f>
        <v>3337.32</v>
      </c>
      <c r="S3572" s="414">
        <v>4</v>
      </c>
      <c r="T3572" s="414" t="s">
        <v>619</v>
      </c>
      <c r="U3572" s="414" t="s">
        <v>2185</v>
      </c>
      <c r="V3572" s="414">
        <f t="shared" si="348"/>
        <v>57.65</v>
      </c>
      <c r="W3572" s="413" t="s">
        <v>619</v>
      </c>
      <c r="X3572" s="414">
        <f t="shared" si="349"/>
        <v>230.6</v>
      </c>
    </row>
    <row r="3573" spans="1:119" ht="24" customHeight="1">
      <c r="F3573" s="414">
        <v>70</v>
      </c>
      <c r="G3573" s="414" t="s">
        <v>669</v>
      </c>
      <c r="H3573" s="414" t="s">
        <v>2437</v>
      </c>
      <c r="I3573" s="414">
        <f>P1353</f>
        <v>33</v>
      </c>
      <c r="J3573" s="412" t="s">
        <v>1875</v>
      </c>
      <c r="K3573" s="414">
        <f>I3573*F3573</f>
        <v>2310</v>
      </c>
      <c r="Q3573" s="412"/>
      <c r="R3573" s="418" t="s">
        <v>1288</v>
      </c>
      <c r="S3573" s="414">
        <v>6</v>
      </c>
      <c r="T3573" s="414" t="s">
        <v>619</v>
      </c>
      <c r="U3573" s="414" t="s">
        <v>2186</v>
      </c>
      <c r="V3573" s="414">
        <f t="shared" si="348"/>
        <v>89.6</v>
      </c>
      <c r="W3573" s="413" t="s">
        <v>619</v>
      </c>
      <c r="X3573" s="414">
        <f t="shared" si="349"/>
        <v>537.6</v>
      </c>
    </row>
    <row r="3574" spans="1:119" ht="24" customHeight="1">
      <c r="F3574" s="414">
        <v>0.3</v>
      </c>
      <c r="G3574" s="414" t="s">
        <v>1089</v>
      </c>
      <c r="H3574" s="414" t="s">
        <v>2438</v>
      </c>
      <c r="I3574" s="414">
        <f>P1355</f>
        <v>17600</v>
      </c>
      <c r="J3574" s="412" t="s">
        <v>2237</v>
      </c>
      <c r="K3574" s="414">
        <f>I3574*F3574</f>
        <v>5280</v>
      </c>
      <c r="S3574" s="414">
        <v>4</v>
      </c>
      <c r="T3574" s="414" t="s">
        <v>619</v>
      </c>
      <c r="U3574" s="414" t="s">
        <v>2187</v>
      </c>
      <c r="V3574" s="414">
        <f t="shared" si="348"/>
        <v>64.8</v>
      </c>
      <c r="W3574" s="413" t="s">
        <v>619</v>
      </c>
      <c r="X3574" s="414">
        <f t="shared" si="349"/>
        <v>259.2</v>
      </c>
    </row>
    <row r="3575" spans="1:119" ht="24" customHeight="1">
      <c r="H3575" s="414" t="s">
        <v>2239</v>
      </c>
      <c r="K3575" s="414">
        <f>SUM(K3573:K3574)</f>
        <v>7590</v>
      </c>
      <c r="S3575" s="414">
        <v>1</v>
      </c>
      <c r="T3575" s="414" t="s">
        <v>619</v>
      </c>
      <c r="U3575" s="414" t="s">
        <v>1903</v>
      </c>
      <c r="V3575" s="414">
        <f t="shared" si="348"/>
        <v>181</v>
      </c>
      <c r="W3575" s="413" t="s">
        <v>619</v>
      </c>
      <c r="X3575" s="414">
        <f t="shared" si="349"/>
        <v>181</v>
      </c>
    </row>
    <row r="3576" spans="1:119" ht="24" customHeight="1">
      <c r="H3576" s="417" t="s">
        <v>2240</v>
      </c>
      <c r="I3576" s="417"/>
      <c r="J3576" s="415"/>
      <c r="K3576" s="417">
        <f>K3575/10</f>
        <v>759</v>
      </c>
      <c r="S3576" s="414">
        <v>118</v>
      </c>
      <c r="T3576" s="414" t="s">
        <v>619</v>
      </c>
      <c r="U3576" s="414" t="s">
        <v>2188</v>
      </c>
      <c r="V3576" s="414">
        <f t="shared" si="348"/>
        <v>2.41</v>
      </c>
      <c r="W3576" s="413" t="s">
        <v>619</v>
      </c>
      <c r="X3576" s="414">
        <f t="shared" si="349"/>
        <v>284.38</v>
      </c>
    </row>
    <row r="3577" spans="1:119" ht="24" customHeight="1">
      <c r="F3577" s="414">
        <v>1</v>
      </c>
      <c r="G3577" s="414" t="s">
        <v>2241</v>
      </c>
      <c r="H3577" s="414" t="s">
        <v>2242</v>
      </c>
      <c r="I3577" s="414">
        <f>K3576</f>
        <v>759</v>
      </c>
      <c r="J3577" s="412" t="s">
        <v>2241</v>
      </c>
      <c r="K3577" s="414">
        <f>I3577*F3577</f>
        <v>759</v>
      </c>
      <c r="S3577" s="414">
        <v>2</v>
      </c>
      <c r="T3577" s="414" t="s">
        <v>619</v>
      </c>
      <c r="U3577" s="414" t="s">
        <v>2189</v>
      </c>
      <c r="V3577" s="414">
        <f t="shared" si="348"/>
        <v>23.1</v>
      </c>
      <c r="W3577" s="413" t="s">
        <v>619</v>
      </c>
      <c r="X3577" s="414">
        <f t="shared" si="349"/>
        <v>46.2</v>
      </c>
    </row>
    <row r="3578" spans="1:119" ht="24" customHeight="1">
      <c r="F3578" s="414">
        <v>2</v>
      </c>
      <c r="G3578" s="414" t="s">
        <v>1166</v>
      </c>
      <c r="H3578" s="414" t="s">
        <v>117</v>
      </c>
      <c r="I3578" s="414">
        <f>I2349</f>
        <v>651</v>
      </c>
      <c r="J3578" s="412" t="s">
        <v>1134</v>
      </c>
      <c r="K3578" s="414">
        <f>I3578*F3578</f>
        <v>1302</v>
      </c>
      <c r="S3578" s="414">
        <v>2</v>
      </c>
      <c r="T3578" s="414" t="s">
        <v>619</v>
      </c>
      <c r="U3578" s="414" t="s">
        <v>2190</v>
      </c>
      <c r="V3578" s="414">
        <f t="shared" si="348"/>
        <v>49.55</v>
      </c>
      <c r="W3578" s="413" t="s">
        <v>619</v>
      </c>
      <c r="X3578" s="414">
        <f t="shared" si="349"/>
        <v>99.1</v>
      </c>
    </row>
    <row r="3579" spans="1:119" ht="24" customHeight="1">
      <c r="H3579" s="414" t="s">
        <v>2243</v>
      </c>
      <c r="K3579" s="414">
        <v>10.3</v>
      </c>
      <c r="S3579" s="416">
        <v>0.73</v>
      </c>
      <c r="T3579" s="414" t="s">
        <v>488</v>
      </c>
      <c r="U3579" s="414" t="s">
        <v>2288</v>
      </c>
      <c r="V3579" s="414">
        <f t="shared" si="348"/>
        <v>233.74</v>
      </c>
      <c r="W3579" s="413" t="s">
        <v>488</v>
      </c>
    </row>
    <row r="3580" spans="1:119" ht="24" customHeight="1">
      <c r="H3580" s="414" t="s">
        <v>2245</v>
      </c>
      <c r="K3580" s="414">
        <f>SUM(K3577:K3579)</f>
        <v>2071.3000000000002</v>
      </c>
      <c r="S3580" s="414"/>
      <c r="U3580" s="414" t="s">
        <v>2281</v>
      </c>
      <c r="W3580" s="413"/>
      <c r="X3580" s="414">
        <f>SUM(X3570:X3579)</f>
        <v>10065.83</v>
      </c>
    </row>
    <row r="3581" spans="1:119" ht="24" customHeight="1">
      <c r="A3581" s="417"/>
      <c r="B3581" s="417"/>
      <c r="C3581" s="417"/>
      <c r="D3581" s="417"/>
      <c r="E3581" s="417"/>
      <c r="F3581" s="417"/>
      <c r="G3581" s="417"/>
      <c r="H3581" s="417" t="s">
        <v>2244</v>
      </c>
      <c r="I3581" s="417"/>
      <c r="J3581" s="415"/>
      <c r="K3581" s="417">
        <f>K3580/6</f>
        <v>345.22</v>
      </c>
      <c r="L3581" s="417"/>
      <c r="M3581" s="417"/>
      <c r="N3581" s="417"/>
      <c r="O3581" s="417"/>
      <c r="P3581" s="417"/>
      <c r="Q3581" s="417"/>
      <c r="R3581" s="417"/>
      <c r="S3581" s="414"/>
      <c r="U3581" s="414" t="s">
        <v>2018</v>
      </c>
      <c r="W3581" s="413"/>
      <c r="X3581" s="414">
        <f>X3580/S3571</f>
        <v>3087.68</v>
      </c>
      <c r="Y3581" s="417"/>
      <c r="Z3581" s="417"/>
      <c r="AA3581" s="417"/>
      <c r="AB3581" s="417"/>
      <c r="AC3581" s="417"/>
      <c r="AD3581" s="417"/>
      <c r="AE3581" s="417"/>
      <c r="AF3581" s="417"/>
      <c r="AG3581" s="417"/>
      <c r="AH3581" s="417"/>
      <c r="AI3581" s="417"/>
      <c r="AJ3581" s="417"/>
      <c r="AK3581" s="417"/>
      <c r="AL3581" s="417"/>
      <c r="AM3581" s="417"/>
      <c r="AN3581" s="417"/>
      <c r="AO3581" s="417"/>
      <c r="AP3581" s="417"/>
      <c r="AQ3581" s="417"/>
      <c r="AR3581" s="417"/>
      <c r="AS3581" s="417"/>
      <c r="AT3581" s="417"/>
      <c r="AU3581" s="417"/>
      <c r="AV3581" s="417"/>
      <c r="AW3581" s="417"/>
      <c r="AX3581" s="417"/>
      <c r="AY3581" s="417"/>
      <c r="AZ3581" s="417"/>
      <c r="BA3581" s="417"/>
      <c r="BB3581" s="417"/>
      <c r="BC3581" s="417"/>
      <c r="BD3581" s="417"/>
      <c r="BE3581" s="417"/>
      <c r="BF3581" s="417"/>
      <c r="BG3581" s="417"/>
      <c r="BH3581" s="417"/>
      <c r="BI3581" s="417"/>
      <c r="BJ3581" s="417"/>
      <c r="BK3581" s="417"/>
      <c r="BL3581" s="417"/>
      <c r="BM3581" s="417"/>
      <c r="BN3581" s="417"/>
      <c r="BO3581" s="417"/>
      <c r="BP3581" s="417"/>
      <c r="BQ3581" s="417"/>
      <c r="BR3581" s="417"/>
      <c r="BS3581" s="417"/>
      <c r="BT3581" s="417"/>
      <c r="BU3581" s="417"/>
      <c r="BV3581" s="417"/>
      <c r="BW3581" s="417"/>
      <c r="BX3581" s="417"/>
      <c r="BY3581" s="417"/>
      <c r="BZ3581" s="417"/>
      <c r="CA3581" s="417"/>
      <c r="CB3581" s="417"/>
      <c r="CC3581" s="417"/>
      <c r="CD3581" s="417"/>
      <c r="CE3581" s="417"/>
      <c r="CF3581" s="417"/>
      <c r="CG3581" s="417"/>
      <c r="CH3581" s="417"/>
      <c r="CI3581" s="417"/>
      <c r="CJ3581" s="417"/>
      <c r="CK3581" s="417"/>
      <c r="CL3581" s="417"/>
      <c r="CM3581" s="417"/>
      <c r="CN3581" s="417"/>
      <c r="CO3581" s="417"/>
      <c r="CP3581" s="417"/>
      <c r="CQ3581" s="417"/>
      <c r="CR3581" s="417"/>
      <c r="CS3581" s="417"/>
      <c r="CT3581" s="417"/>
      <c r="CU3581" s="417"/>
      <c r="CV3581" s="417"/>
      <c r="CW3581" s="417"/>
      <c r="CX3581" s="417"/>
      <c r="CY3581" s="417"/>
      <c r="CZ3581" s="417"/>
      <c r="DA3581" s="417"/>
      <c r="DB3581" s="417"/>
      <c r="DC3581" s="417"/>
      <c r="DD3581" s="417"/>
      <c r="DE3581" s="417"/>
      <c r="DF3581" s="417"/>
      <c r="DG3581" s="417"/>
      <c r="DH3581" s="417"/>
      <c r="DI3581" s="417"/>
      <c r="DJ3581" s="417"/>
      <c r="DK3581" s="417"/>
      <c r="DL3581" s="417"/>
      <c r="DM3581" s="417"/>
      <c r="DN3581" s="417"/>
      <c r="DO3581" s="417"/>
    </row>
    <row r="3582" spans="1:119" s="417" customFormat="1" ht="24" customHeight="1">
      <c r="A3582" s="414"/>
      <c r="B3582" s="414"/>
      <c r="C3582" s="414"/>
      <c r="D3582" s="414"/>
      <c r="E3582" s="414"/>
      <c r="F3582" s="414"/>
      <c r="G3582" s="414"/>
      <c r="H3582" s="417" t="s">
        <v>2246</v>
      </c>
      <c r="I3582" s="414"/>
      <c r="J3582" s="412"/>
      <c r="K3582" s="414"/>
      <c r="L3582" s="414"/>
      <c r="M3582" s="414"/>
      <c r="N3582" s="414"/>
      <c r="O3582" s="414"/>
      <c r="P3582" s="414"/>
      <c r="Q3582" s="414"/>
      <c r="R3582" s="414"/>
      <c r="S3582" s="416"/>
      <c r="T3582" s="414"/>
      <c r="U3582" s="414"/>
      <c r="V3582" s="414"/>
      <c r="W3582" s="413"/>
      <c r="X3582" s="414"/>
      <c r="Y3582" s="414"/>
      <c r="Z3582" s="414"/>
      <c r="AA3582" s="414"/>
      <c r="AB3582" s="414"/>
      <c r="AC3582" s="414"/>
      <c r="AD3582" s="414"/>
      <c r="AE3582" s="414"/>
      <c r="AF3582" s="414"/>
      <c r="AG3582" s="414"/>
      <c r="AH3582" s="414"/>
      <c r="AI3582" s="414"/>
      <c r="AJ3582" s="414"/>
      <c r="AK3582" s="414"/>
      <c r="AL3582" s="414"/>
      <c r="AM3582" s="414"/>
      <c r="AN3582" s="414"/>
      <c r="AO3582" s="414"/>
      <c r="AP3582" s="414"/>
      <c r="AQ3582" s="414"/>
      <c r="AR3582" s="414"/>
      <c r="AS3582" s="414"/>
      <c r="AT3582" s="414"/>
      <c r="AU3582" s="414"/>
      <c r="AV3582" s="414"/>
      <c r="AW3582" s="414"/>
      <c r="AX3582" s="414"/>
      <c r="AY3582" s="414"/>
      <c r="AZ3582" s="414"/>
      <c r="BA3582" s="414"/>
      <c r="BB3582" s="414"/>
      <c r="BC3582" s="414"/>
      <c r="BD3582" s="414"/>
      <c r="BE3582" s="414"/>
      <c r="BF3582" s="414"/>
      <c r="BG3582" s="414"/>
      <c r="BH3582" s="414"/>
      <c r="BI3582" s="414"/>
      <c r="BJ3582" s="414"/>
      <c r="BK3582" s="414"/>
      <c r="BL3582" s="414"/>
      <c r="BM3582" s="414"/>
      <c r="BN3582" s="414"/>
      <c r="BO3582" s="414"/>
      <c r="BP3582" s="414"/>
      <c r="BQ3582" s="414"/>
      <c r="BR3582" s="414"/>
      <c r="BS3582" s="414"/>
      <c r="BT3582" s="414"/>
      <c r="BU3582" s="414"/>
      <c r="BV3582" s="414"/>
      <c r="BW3582" s="414"/>
      <c r="BX3582" s="414"/>
      <c r="BY3582" s="414"/>
      <c r="BZ3582" s="414"/>
      <c r="CA3582" s="414"/>
      <c r="CB3582" s="414"/>
      <c r="CC3582" s="414"/>
      <c r="CD3582" s="414"/>
      <c r="CE3582" s="414"/>
      <c r="CF3582" s="414"/>
      <c r="CG3582" s="414"/>
      <c r="CH3582" s="414"/>
      <c r="CI3582" s="414"/>
      <c r="CJ3582" s="414"/>
      <c r="CK3582" s="414"/>
      <c r="CL3582" s="414"/>
      <c r="CM3582" s="414"/>
      <c r="CN3582" s="414"/>
      <c r="CO3582" s="414"/>
      <c r="CP3582" s="414"/>
      <c r="CQ3582" s="414"/>
      <c r="CR3582" s="414"/>
      <c r="CS3582" s="414"/>
      <c r="CT3582" s="414"/>
      <c r="CU3582" s="414"/>
      <c r="CV3582" s="414"/>
      <c r="CW3582" s="414"/>
      <c r="CX3582" s="414"/>
      <c r="CY3582" s="414"/>
      <c r="CZ3582" s="414"/>
      <c r="DA3582" s="414"/>
      <c r="DB3582" s="414"/>
      <c r="DC3582" s="414"/>
      <c r="DD3582" s="414"/>
      <c r="DE3582" s="414"/>
      <c r="DF3582" s="414"/>
      <c r="DG3582" s="414"/>
      <c r="DH3582" s="414"/>
      <c r="DI3582" s="414"/>
      <c r="DJ3582" s="414"/>
      <c r="DK3582" s="414"/>
      <c r="DL3582" s="414"/>
      <c r="DM3582" s="414"/>
      <c r="DN3582" s="414"/>
      <c r="DO3582" s="414"/>
    </row>
    <row r="3583" spans="1:119" ht="24" customHeight="1">
      <c r="F3583" s="414">
        <v>49</v>
      </c>
      <c r="G3583" s="414" t="s">
        <v>2075</v>
      </c>
      <c r="H3583" s="414" t="s">
        <v>2247</v>
      </c>
      <c r="I3583" s="414">
        <f>I3573</f>
        <v>33</v>
      </c>
      <c r="J3583" s="412" t="s">
        <v>1875</v>
      </c>
      <c r="K3583" s="414">
        <f>F3583*I3583</f>
        <v>1617</v>
      </c>
      <c r="S3583" s="414"/>
      <c r="U3583" s="414" t="s">
        <v>2488</v>
      </c>
      <c r="W3583" s="413"/>
    </row>
    <row r="3584" spans="1:119" ht="24" customHeight="1">
      <c r="F3584" s="414">
        <v>0.3</v>
      </c>
      <c r="G3584" s="414" t="s">
        <v>1089</v>
      </c>
      <c r="H3584" s="414" t="s">
        <v>2248</v>
      </c>
      <c r="I3584" s="414">
        <f>I3574</f>
        <v>17600</v>
      </c>
      <c r="J3584" s="412" t="s">
        <v>1089</v>
      </c>
      <c r="K3584" s="414">
        <f>F3584*I3584</f>
        <v>5280</v>
      </c>
      <c r="S3584" s="414"/>
      <c r="U3584" s="414" t="s">
        <v>2489</v>
      </c>
      <c r="V3584" s="414">
        <f>1.7*2.325</f>
        <v>3.95</v>
      </c>
      <c r="W3584" s="413"/>
    </row>
    <row r="3585" spans="1:119" ht="24" customHeight="1">
      <c r="H3585" s="417" t="s">
        <v>2249</v>
      </c>
      <c r="K3585" s="417">
        <f>SUM(K3583:K3584)</f>
        <v>6897</v>
      </c>
      <c r="S3585" s="414">
        <f>V3584</f>
        <v>3.95</v>
      </c>
      <c r="T3585" s="414" t="s">
        <v>488</v>
      </c>
      <c r="U3585" s="414" t="s">
        <v>2183</v>
      </c>
      <c r="V3585" s="414">
        <f>V3570</f>
        <v>2255</v>
      </c>
      <c r="W3585" s="413" t="s">
        <v>488</v>
      </c>
      <c r="X3585" s="414">
        <f>V3585*S3585</f>
        <v>8907.25</v>
      </c>
    </row>
    <row r="3586" spans="1:119" ht="24" customHeight="1">
      <c r="H3586" s="417" t="s">
        <v>2240</v>
      </c>
      <c r="K3586" s="417">
        <f>K3585/10</f>
        <v>689.7</v>
      </c>
      <c r="S3586" s="414">
        <f>S3585</f>
        <v>3.95</v>
      </c>
      <c r="T3586" s="414" t="s">
        <v>488</v>
      </c>
      <c r="U3586" s="414" t="s">
        <v>2184</v>
      </c>
      <c r="V3586" s="414">
        <f t="shared" ref="V3586:V3593" si="350">V3571</f>
        <v>330.2</v>
      </c>
      <c r="W3586" s="413" t="s">
        <v>488</v>
      </c>
      <c r="X3586" s="414">
        <f t="shared" ref="X3586:X3593" si="351">V3586*S3586</f>
        <v>1304.29</v>
      </c>
    </row>
    <row r="3587" spans="1:119" ht="24" customHeight="1">
      <c r="F3587" s="414">
        <v>2</v>
      </c>
      <c r="G3587" s="414" t="s">
        <v>202</v>
      </c>
      <c r="H3587" s="414" t="s">
        <v>117</v>
      </c>
      <c r="I3587" s="414">
        <f>I3578</f>
        <v>651</v>
      </c>
      <c r="J3587" s="412" t="s">
        <v>202</v>
      </c>
      <c r="K3587" s="414">
        <f>F3587*I3587</f>
        <v>1302</v>
      </c>
      <c r="S3587" s="414">
        <v>4</v>
      </c>
      <c r="T3587" s="414" t="s">
        <v>619</v>
      </c>
      <c r="U3587" s="414" t="s">
        <v>2185</v>
      </c>
      <c r="V3587" s="414">
        <f t="shared" si="350"/>
        <v>57.65</v>
      </c>
      <c r="W3587" s="413" t="s">
        <v>619</v>
      </c>
      <c r="X3587" s="414">
        <f t="shared" si="351"/>
        <v>230.6</v>
      </c>
    </row>
    <row r="3588" spans="1:119" ht="24" customHeight="1">
      <c r="H3588" s="414" t="s">
        <v>2250</v>
      </c>
      <c r="K3588" s="414">
        <v>4.3499999999999996</v>
      </c>
      <c r="S3588" s="414">
        <v>8</v>
      </c>
      <c r="T3588" s="414" t="s">
        <v>619</v>
      </c>
      <c r="U3588" s="414" t="s">
        <v>2186</v>
      </c>
      <c r="V3588" s="414">
        <f t="shared" si="350"/>
        <v>89.6</v>
      </c>
      <c r="W3588" s="413" t="s">
        <v>619</v>
      </c>
      <c r="X3588" s="414">
        <f t="shared" si="351"/>
        <v>716.8</v>
      </c>
    </row>
    <row r="3589" spans="1:119" ht="24" customHeight="1">
      <c r="H3589" s="414" t="s">
        <v>2251</v>
      </c>
      <c r="K3589" s="414">
        <f>SUM(K3586:K3588)</f>
        <v>1996.05</v>
      </c>
      <c r="S3589" s="414">
        <v>4</v>
      </c>
      <c r="T3589" s="414" t="s">
        <v>619</v>
      </c>
      <c r="U3589" s="414" t="s">
        <v>2187</v>
      </c>
      <c r="V3589" s="414">
        <f t="shared" si="350"/>
        <v>64.8</v>
      </c>
      <c r="W3589" s="413" t="s">
        <v>619</v>
      </c>
      <c r="X3589" s="414">
        <f t="shared" si="351"/>
        <v>259.2</v>
      </c>
    </row>
    <row r="3590" spans="1:119" ht="24" customHeight="1">
      <c r="H3590" s="417" t="s">
        <v>2252</v>
      </c>
      <c r="I3590" s="417"/>
      <c r="J3590" s="415"/>
      <c r="K3590" s="417">
        <f>K3589/6</f>
        <v>332.68</v>
      </c>
      <c r="S3590" s="414">
        <v>1</v>
      </c>
      <c r="T3590" s="414" t="s">
        <v>619</v>
      </c>
      <c r="U3590" s="414" t="s">
        <v>1903</v>
      </c>
      <c r="V3590" s="414">
        <f t="shared" si="350"/>
        <v>181</v>
      </c>
      <c r="W3590" s="413" t="s">
        <v>619</v>
      </c>
      <c r="X3590" s="414">
        <f t="shared" si="351"/>
        <v>181</v>
      </c>
    </row>
    <row r="3591" spans="1:119" ht="24" customHeight="1">
      <c r="A3591" s="417"/>
      <c r="B3591" s="417"/>
      <c r="C3591" s="417"/>
      <c r="D3591" s="417"/>
      <c r="E3591" s="417"/>
      <c r="F3591" s="417"/>
      <c r="G3591" s="417"/>
      <c r="H3591" s="414" t="s">
        <v>2253</v>
      </c>
      <c r="K3591" s="414">
        <f>K3581</f>
        <v>345.22</v>
      </c>
      <c r="L3591" s="417"/>
      <c r="M3591" s="417"/>
      <c r="N3591" s="417"/>
      <c r="O3591" s="417"/>
      <c r="P3591" s="417"/>
      <c r="Q3591" s="417"/>
      <c r="R3591" s="417"/>
      <c r="S3591" s="414">
        <v>118</v>
      </c>
      <c r="T3591" s="414" t="s">
        <v>619</v>
      </c>
      <c r="U3591" s="414" t="s">
        <v>2188</v>
      </c>
      <c r="V3591" s="414">
        <f t="shared" si="350"/>
        <v>2.41</v>
      </c>
      <c r="W3591" s="413" t="s">
        <v>619</v>
      </c>
      <c r="X3591" s="414">
        <f t="shared" si="351"/>
        <v>284.38</v>
      </c>
      <c r="Z3591" s="417"/>
      <c r="AA3591" s="417"/>
      <c r="AB3591" s="417"/>
      <c r="AC3591" s="417"/>
      <c r="AD3591" s="417"/>
      <c r="AE3591" s="417"/>
      <c r="AF3591" s="417"/>
      <c r="AG3591" s="417"/>
      <c r="AH3591" s="417"/>
      <c r="AI3591" s="417"/>
      <c r="AJ3591" s="417"/>
      <c r="AK3591" s="417"/>
      <c r="AL3591" s="417"/>
      <c r="AM3591" s="417"/>
      <c r="AN3591" s="417"/>
      <c r="AO3591" s="417"/>
      <c r="AP3591" s="417"/>
      <c r="AQ3591" s="417"/>
      <c r="AR3591" s="417"/>
      <c r="AS3591" s="417"/>
      <c r="AT3591" s="417"/>
      <c r="AU3591" s="417"/>
      <c r="AV3591" s="417"/>
      <c r="AW3591" s="417"/>
      <c r="AX3591" s="417"/>
      <c r="AY3591" s="417"/>
      <c r="AZ3591" s="417"/>
      <c r="BA3591" s="417"/>
      <c r="BB3591" s="417"/>
      <c r="BC3591" s="417"/>
      <c r="BD3591" s="417"/>
      <c r="BE3591" s="417"/>
      <c r="BF3591" s="417"/>
      <c r="BG3591" s="417"/>
      <c r="BH3591" s="417"/>
      <c r="BI3591" s="417"/>
      <c r="BJ3591" s="417"/>
      <c r="BK3591" s="417"/>
      <c r="BL3591" s="417"/>
      <c r="BM3591" s="417"/>
      <c r="BN3591" s="417"/>
      <c r="BO3591" s="417"/>
      <c r="BP3591" s="417"/>
      <c r="BQ3591" s="417"/>
      <c r="BR3591" s="417"/>
      <c r="BS3591" s="417"/>
      <c r="BT3591" s="417"/>
      <c r="BU3591" s="417"/>
      <c r="BV3591" s="417"/>
      <c r="BW3591" s="417"/>
      <c r="BX3591" s="417"/>
      <c r="BY3591" s="417"/>
      <c r="BZ3591" s="417"/>
      <c r="CA3591" s="417"/>
      <c r="CB3591" s="417"/>
      <c r="CC3591" s="417"/>
      <c r="CD3591" s="417"/>
      <c r="CE3591" s="417"/>
      <c r="CF3591" s="417"/>
      <c r="CG3591" s="417"/>
      <c r="CH3591" s="417"/>
      <c r="CI3591" s="417"/>
      <c r="CJ3591" s="417"/>
      <c r="CK3591" s="417"/>
      <c r="CL3591" s="417"/>
      <c r="CM3591" s="417"/>
      <c r="CN3591" s="417"/>
      <c r="CO3591" s="417"/>
      <c r="CP3591" s="417"/>
      <c r="CQ3591" s="417"/>
      <c r="CR3591" s="417"/>
      <c r="CS3591" s="417"/>
      <c r="CT3591" s="417"/>
      <c r="CU3591" s="417"/>
      <c r="CV3591" s="417"/>
      <c r="CW3591" s="417"/>
      <c r="CX3591" s="417"/>
      <c r="CY3591" s="417"/>
      <c r="CZ3591" s="417"/>
      <c r="DA3591" s="417"/>
      <c r="DB3591" s="417"/>
      <c r="DC3591" s="417"/>
      <c r="DD3591" s="417"/>
      <c r="DE3591" s="417"/>
      <c r="DF3591" s="417"/>
      <c r="DG3591" s="417"/>
      <c r="DH3591" s="417"/>
      <c r="DI3591" s="417"/>
      <c r="DJ3591" s="417"/>
      <c r="DK3591" s="417"/>
      <c r="DL3591" s="417"/>
      <c r="DM3591" s="417"/>
      <c r="DN3591" s="417"/>
      <c r="DO3591" s="417"/>
    </row>
    <row r="3592" spans="1:119" s="417" customFormat="1" ht="24" customHeight="1">
      <c r="H3592" s="414" t="s">
        <v>2254</v>
      </c>
      <c r="I3592" s="414">
        <f>K3591</f>
        <v>345.22</v>
      </c>
      <c r="J3592" s="412">
        <f>K3590</f>
        <v>332.68</v>
      </c>
      <c r="K3592" s="414">
        <f>SUM(I3592:J3592)</f>
        <v>677.9</v>
      </c>
      <c r="S3592" s="414">
        <v>2</v>
      </c>
      <c r="T3592" s="414" t="s">
        <v>619</v>
      </c>
      <c r="U3592" s="414" t="s">
        <v>2189</v>
      </c>
      <c r="V3592" s="414">
        <f t="shared" si="350"/>
        <v>23.1</v>
      </c>
      <c r="W3592" s="413" t="s">
        <v>619</v>
      </c>
      <c r="X3592" s="414">
        <f t="shared" si="351"/>
        <v>46.2</v>
      </c>
      <c r="Y3592" s="414"/>
    </row>
    <row r="3593" spans="1:119" s="417" customFormat="1" ht="24" customHeight="1">
      <c r="H3593" s="414" t="s">
        <v>2255</v>
      </c>
      <c r="I3593" s="414">
        <f>K3592</f>
        <v>677.9</v>
      </c>
      <c r="J3593" s="412">
        <f>J3592</f>
        <v>332.68</v>
      </c>
      <c r="K3593" s="414">
        <f>SUM(I3593:J3593)</f>
        <v>1010.58</v>
      </c>
      <c r="S3593" s="414">
        <v>2</v>
      </c>
      <c r="T3593" s="414" t="s">
        <v>619</v>
      </c>
      <c r="U3593" s="414" t="s">
        <v>2190</v>
      </c>
      <c r="V3593" s="414">
        <f t="shared" si="350"/>
        <v>49.55</v>
      </c>
      <c r="W3593" s="413" t="s">
        <v>619</v>
      </c>
      <c r="X3593" s="414">
        <f t="shared" si="351"/>
        <v>99.1</v>
      </c>
      <c r="Y3593" s="414"/>
    </row>
    <row r="3594" spans="1:119" s="417" customFormat="1" ht="24" customHeight="1">
      <c r="H3594" s="414" t="s">
        <v>2256</v>
      </c>
      <c r="I3594" s="414">
        <f>K3593</f>
        <v>1010.58</v>
      </c>
      <c r="J3594" s="412">
        <f>J3593</f>
        <v>332.68</v>
      </c>
      <c r="K3594" s="414">
        <f>SUM(I3594:J3594)</f>
        <v>1343.26</v>
      </c>
      <c r="S3594" s="416"/>
      <c r="T3594" s="414"/>
      <c r="U3594" s="414"/>
      <c r="V3594" s="414"/>
      <c r="W3594" s="413" t="s">
        <v>488</v>
      </c>
      <c r="X3594" s="414">
        <f>V3594*S3594</f>
        <v>0</v>
      </c>
      <c r="Y3594" s="414"/>
    </row>
    <row r="3595" spans="1:119" s="417" customFormat="1" ht="24" customHeight="1">
      <c r="H3595" s="414" t="s">
        <v>2257</v>
      </c>
      <c r="I3595" s="414">
        <f>K3594</f>
        <v>1343.26</v>
      </c>
      <c r="J3595" s="412">
        <f>J3594</f>
        <v>332.68</v>
      </c>
      <c r="K3595" s="414">
        <f>SUM(I3595:J3595)</f>
        <v>1675.94</v>
      </c>
      <c r="S3595" s="414"/>
      <c r="T3595" s="414"/>
      <c r="U3595" s="414" t="s">
        <v>2490</v>
      </c>
      <c r="V3595" s="414"/>
      <c r="W3595" s="413"/>
      <c r="X3595" s="414">
        <f>SUM(X3585:X3594)</f>
        <v>12028.82</v>
      </c>
      <c r="Y3595" s="414"/>
    </row>
    <row r="3596" spans="1:119" s="417" customFormat="1" ht="24" customHeight="1">
      <c r="A3596" s="414"/>
      <c r="B3596" s="414"/>
      <c r="C3596" s="414"/>
      <c r="D3596" s="414"/>
      <c r="E3596" s="414"/>
      <c r="F3596" s="414"/>
      <c r="G3596" s="414"/>
      <c r="H3596" s="414"/>
      <c r="I3596" s="414"/>
      <c r="J3596" s="412"/>
      <c r="K3596" s="414"/>
      <c r="L3596" s="414"/>
      <c r="M3596" s="414"/>
      <c r="N3596" s="414"/>
      <c r="O3596" s="414"/>
      <c r="P3596" s="414"/>
      <c r="Q3596" s="414"/>
      <c r="R3596" s="414"/>
      <c r="S3596" s="414"/>
      <c r="T3596" s="414"/>
      <c r="U3596" s="414" t="s">
        <v>2018</v>
      </c>
      <c r="V3596" s="414"/>
      <c r="W3596" s="413"/>
      <c r="X3596" s="414">
        <f>X3595/S3586</f>
        <v>3045.27</v>
      </c>
      <c r="Y3596" s="414">
        <f>[15]Data!X3597</f>
        <v>213.6</v>
      </c>
      <c r="Z3596" s="414"/>
      <c r="AA3596" s="414"/>
      <c r="AB3596" s="414"/>
      <c r="AC3596" s="414"/>
      <c r="AD3596" s="414"/>
      <c r="AE3596" s="414"/>
      <c r="AF3596" s="414"/>
      <c r="AG3596" s="414"/>
      <c r="AH3596" s="414"/>
      <c r="AI3596" s="414"/>
      <c r="AJ3596" s="414"/>
      <c r="AK3596" s="414"/>
      <c r="AL3596" s="414"/>
      <c r="AM3596" s="414"/>
      <c r="AN3596" s="414"/>
      <c r="AO3596" s="414"/>
      <c r="AP3596" s="414"/>
      <c r="AQ3596" s="414"/>
      <c r="AR3596" s="414"/>
      <c r="AS3596" s="414"/>
      <c r="AT3596" s="414"/>
      <c r="AU3596" s="414"/>
      <c r="AV3596" s="414"/>
      <c r="AW3596" s="414"/>
      <c r="AX3596" s="414"/>
      <c r="AY3596" s="414"/>
      <c r="AZ3596" s="414"/>
      <c r="BA3596" s="414"/>
      <c r="BB3596" s="414"/>
      <c r="BC3596" s="414"/>
      <c r="BD3596" s="414"/>
      <c r="BE3596" s="414"/>
      <c r="BF3596" s="414"/>
      <c r="BG3596" s="414"/>
      <c r="BH3596" s="414"/>
      <c r="BI3596" s="414"/>
      <c r="BJ3596" s="414"/>
      <c r="BK3596" s="414"/>
      <c r="BL3596" s="414"/>
      <c r="BM3596" s="414"/>
      <c r="BN3596" s="414"/>
      <c r="BO3596" s="414"/>
      <c r="BP3596" s="414"/>
      <c r="BQ3596" s="414"/>
      <c r="BR3596" s="414"/>
      <c r="BS3596" s="414"/>
      <c r="BT3596" s="414"/>
      <c r="BU3596" s="414"/>
      <c r="BV3596" s="414"/>
      <c r="BW3596" s="414"/>
      <c r="BX3596" s="414"/>
      <c r="BY3596" s="414"/>
      <c r="BZ3596" s="414"/>
      <c r="CA3596" s="414"/>
      <c r="CB3596" s="414"/>
      <c r="CC3596" s="414"/>
      <c r="CD3596" s="414"/>
      <c r="CE3596" s="414"/>
      <c r="CF3596" s="414"/>
      <c r="CG3596" s="414"/>
      <c r="CH3596" s="414"/>
      <c r="CI3596" s="414"/>
      <c r="CJ3596" s="414"/>
      <c r="CK3596" s="414"/>
      <c r="CL3596" s="414"/>
      <c r="CM3596" s="414"/>
      <c r="CN3596" s="414"/>
      <c r="CO3596" s="414"/>
      <c r="CP3596" s="414"/>
      <c r="CQ3596" s="414"/>
      <c r="CR3596" s="414"/>
      <c r="CS3596" s="414"/>
      <c r="CT3596" s="414"/>
      <c r="CU3596" s="414"/>
      <c r="CV3596" s="414"/>
      <c r="CW3596" s="414"/>
      <c r="CX3596" s="414"/>
      <c r="CY3596" s="414"/>
      <c r="CZ3596" s="414"/>
      <c r="DA3596" s="414"/>
      <c r="DB3596" s="414"/>
      <c r="DC3596" s="414"/>
      <c r="DD3596" s="414"/>
      <c r="DE3596" s="414"/>
      <c r="DF3596" s="414"/>
      <c r="DG3596" s="414"/>
      <c r="DH3596" s="414"/>
      <c r="DI3596" s="414"/>
      <c r="DJ3596" s="414"/>
      <c r="DK3596" s="414"/>
      <c r="DL3596" s="414"/>
      <c r="DM3596" s="414"/>
      <c r="DN3596" s="414"/>
      <c r="DO3596" s="414"/>
    </row>
    <row r="3597" spans="1:119" ht="24" customHeight="1">
      <c r="F3597" s="413"/>
      <c r="G3597" s="414" t="s">
        <v>1833</v>
      </c>
      <c r="H3597" s="415" t="s">
        <v>2305</v>
      </c>
      <c r="L3597" s="412"/>
      <c r="S3597" s="414"/>
      <c r="W3597" s="413"/>
    </row>
    <row r="3598" spans="1:119" ht="24" customHeight="1">
      <c r="H3598" s="415" t="s">
        <v>2306</v>
      </c>
      <c r="L3598" s="412"/>
      <c r="W3598" s="413"/>
    </row>
    <row r="3599" spans="1:119" ht="24" customHeight="1">
      <c r="H3599" s="418" t="s">
        <v>1288</v>
      </c>
      <c r="L3599" s="412"/>
      <c r="W3599" s="413"/>
    </row>
    <row r="3600" spans="1:119" ht="24" customHeight="1">
      <c r="F3600" s="450">
        <v>7.0699999999999999E-2</v>
      </c>
      <c r="G3600" s="414" t="s">
        <v>1089</v>
      </c>
      <c r="H3600" s="412" t="s">
        <v>1090</v>
      </c>
      <c r="I3600" s="414" t="e">
        <f>I2814</f>
        <v>#REF!</v>
      </c>
      <c r="J3600" s="412" t="s">
        <v>702</v>
      </c>
      <c r="K3600" s="414" t="e">
        <f t="shared" ref="K3600:K3608" si="352">(F3600*I3600)</f>
        <v>#REF!</v>
      </c>
      <c r="L3600" s="412"/>
      <c r="S3600" s="414"/>
      <c r="U3600" s="414" t="s">
        <v>2491</v>
      </c>
      <c r="W3600" s="413"/>
    </row>
    <row r="3601" spans="6:29" ht="24" customHeight="1">
      <c r="F3601" s="450">
        <v>5.16</v>
      </c>
      <c r="G3601" s="414" t="s">
        <v>488</v>
      </c>
      <c r="H3601" s="412" t="s">
        <v>2307</v>
      </c>
      <c r="I3601" s="414">
        <f>AE57</f>
        <v>1547</v>
      </c>
      <c r="J3601" s="412" t="s">
        <v>702</v>
      </c>
      <c r="K3601" s="414">
        <f t="shared" si="352"/>
        <v>7982.52</v>
      </c>
      <c r="L3601" s="412"/>
      <c r="S3601" s="414"/>
      <c r="U3601" s="414" t="s">
        <v>2492</v>
      </c>
      <c r="V3601" s="414">
        <f>1.7*2.025</f>
        <v>3.44</v>
      </c>
      <c r="W3601" s="413"/>
    </row>
    <row r="3602" spans="6:29" ht="24" customHeight="1">
      <c r="F3602" s="450">
        <v>3.6659999999999999</v>
      </c>
      <c r="G3602" s="414" t="s">
        <v>488</v>
      </c>
      <c r="H3602" s="412" t="s">
        <v>2308</v>
      </c>
      <c r="I3602" s="414">
        <f>P1395</f>
        <v>306.89999999999998</v>
      </c>
      <c r="J3602" s="412" t="s">
        <v>488</v>
      </c>
      <c r="K3602" s="414">
        <f t="shared" si="352"/>
        <v>1125.0999999999999</v>
      </c>
      <c r="L3602" s="412"/>
      <c r="S3602" s="414">
        <f>V3601</f>
        <v>3.44</v>
      </c>
      <c r="T3602" s="414" t="s">
        <v>488</v>
      </c>
      <c r="U3602" s="414" t="s">
        <v>2183</v>
      </c>
      <c r="V3602" s="414">
        <f>V3585</f>
        <v>2255</v>
      </c>
      <c r="W3602" s="413" t="s">
        <v>488</v>
      </c>
      <c r="X3602" s="414">
        <f>V3602*S3602</f>
        <v>7757.2</v>
      </c>
    </row>
    <row r="3603" spans="6:29" ht="24" customHeight="1">
      <c r="F3603" s="414">
        <v>22.66</v>
      </c>
      <c r="G3603" s="414" t="s">
        <v>669</v>
      </c>
      <c r="H3603" s="412" t="s">
        <v>3202</v>
      </c>
      <c r="I3603" s="414">
        <v>15.45</v>
      </c>
      <c r="J3603" s="414" t="s">
        <v>669</v>
      </c>
      <c r="K3603" s="414">
        <f t="shared" si="352"/>
        <v>350.1</v>
      </c>
      <c r="L3603" s="412"/>
      <c r="S3603" s="414">
        <f>S3602</f>
        <v>3.44</v>
      </c>
      <c r="T3603" s="414" t="s">
        <v>488</v>
      </c>
      <c r="U3603" s="414" t="s">
        <v>2184</v>
      </c>
      <c r="V3603" s="414">
        <f t="shared" ref="V3603:V3610" si="353">V3586</f>
        <v>330.2</v>
      </c>
      <c r="W3603" s="413" t="s">
        <v>488</v>
      </c>
      <c r="X3603" s="414">
        <f t="shared" ref="X3603:X3610" si="354">V3603*S3603</f>
        <v>1135.8900000000001</v>
      </c>
    </row>
    <row r="3604" spans="6:29" ht="24" customHeight="1">
      <c r="F3604" s="414">
        <v>15</v>
      </c>
      <c r="G3604" s="414" t="s">
        <v>701</v>
      </c>
      <c r="H3604" s="412" t="s">
        <v>1234</v>
      </c>
      <c r="I3604" s="414">
        <f>C279</f>
        <v>89.6</v>
      </c>
      <c r="J3604" s="412" t="s">
        <v>701</v>
      </c>
      <c r="K3604" s="414">
        <f>(F3603*I3604)</f>
        <v>2030.34</v>
      </c>
      <c r="L3604" s="412"/>
      <c r="S3604" s="414">
        <v>4</v>
      </c>
      <c r="T3604" s="414" t="s">
        <v>619</v>
      </c>
      <c r="U3604" s="414" t="s">
        <v>2185</v>
      </c>
      <c r="V3604" s="414">
        <f t="shared" si="353"/>
        <v>57.65</v>
      </c>
      <c r="W3604" s="413" t="s">
        <v>619</v>
      </c>
      <c r="X3604" s="414">
        <f t="shared" si="354"/>
        <v>230.6</v>
      </c>
    </row>
    <row r="3605" spans="6:29" ht="24" customHeight="1">
      <c r="F3605" s="414">
        <v>10</v>
      </c>
      <c r="G3605" s="414" t="s">
        <v>701</v>
      </c>
      <c r="H3605" s="412" t="s">
        <v>3203</v>
      </c>
      <c r="I3605" s="414">
        <v>82.25</v>
      </c>
      <c r="J3605" s="412" t="s">
        <v>701</v>
      </c>
      <c r="K3605" s="414">
        <f>(F3604*I3605)</f>
        <v>1233.75</v>
      </c>
      <c r="L3605" s="412"/>
      <c r="S3605" s="414">
        <v>6</v>
      </c>
      <c r="T3605" s="414" t="s">
        <v>619</v>
      </c>
      <c r="U3605" s="414" t="s">
        <v>2186</v>
      </c>
      <c r="V3605" s="414">
        <f t="shared" si="353"/>
        <v>89.6</v>
      </c>
      <c r="W3605" s="413" t="s">
        <v>619</v>
      </c>
      <c r="X3605" s="414">
        <f t="shared" si="354"/>
        <v>537.6</v>
      </c>
    </row>
    <row r="3606" spans="6:29" ht="24" customHeight="1">
      <c r="F3606" s="414">
        <v>5</v>
      </c>
      <c r="G3606" s="414" t="s">
        <v>701</v>
      </c>
      <c r="H3606" s="412" t="s">
        <v>2309</v>
      </c>
      <c r="I3606" s="414">
        <v>57.65</v>
      </c>
      <c r="J3606" s="412" t="s">
        <v>701</v>
      </c>
      <c r="K3606" s="414">
        <f>(F3607*I3606)</f>
        <v>288.25</v>
      </c>
      <c r="L3606" s="412"/>
      <c r="S3606" s="414">
        <v>4</v>
      </c>
      <c r="T3606" s="414" t="s">
        <v>619</v>
      </c>
      <c r="U3606" s="414" t="s">
        <v>2187</v>
      </c>
      <c r="V3606" s="414">
        <f t="shared" si="353"/>
        <v>64.8</v>
      </c>
      <c r="W3606" s="413" t="s">
        <v>619</v>
      </c>
      <c r="X3606" s="414">
        <f t="shared" si="354"/>
        <v>259.2</v>
      </c>
    </row>
    <row r="3607" spans="6:29" ht="24" customHeight="1">
      <c r="F3607" s="414">
        <v>5</v>
      </c>
      <c r="G3607" s="414" t="s">
        <v>701</v>
      </c>
      <c r="H3607" s="412" t="s">
        <v>1716</v>
      </c>
      <c r="I3607" s="414">
        <v>7.3</v>
      </c>
      <c r="J3607" s="412" t="s">
        <v>701</v>
      </c>
      <c r="K3607" s="414">
        <f>(F3605*I3607)</f>
        <v>73</v>
      </c>
      <c r="L3607" s="412"/>
      <c r="S3607" s="414">
        <v>1</v>
      </c>
      <c r="T3607" s="414" t="s">
        <v>619</v>
      </c>
      <c r="U3607" s="414" t="s">
        <v>1903</v>
      </c>
      <c r="V3607" s="414">
        <f t="shared" si="353"/>
        <v>181</v>
      </c>
      <c r="W3607" s="413" t="s">
        <v>619</v>
      </c>
      <c r="X3607" s="414">
        <f t="shared" si="354"/>
        <v>181</v>
      </c>
    </row>
    <row r="3608" spans="6:29" ht="24" customHeight="1">
      <c r="F3608" s="414">
        <v>10</v>
      </c>
      <c r="H3608" s="412" t="s">
        <v>929</v>
      </c>
      <c r="I3608" s="414">
        <f>I3430</f>
        <v>2.41</v>
      </c>
      <c r="J3608" s="412" t="s">
        <v>701</v>
      </c>
      <c r="K3608" s="414">
        <f t="shared" si="352"/>
        <v>24.1</v>
      </c>
      <c r="L3608" s="412"/>
      <c r="S3608" s="414">
        <v>118</v>
      </c>
      <c r="T3608" s="414" t="s">
        <v>619</v>
      </c>
      <c r="U3608" s="414" t="s">
        <v>2188</v>
      </c>
      <c r="V3608" s="414">
        <f t="shared" si="353"/>
        <v>2.41</v>
      </c>
      <c r="W3608" s="413" t="s">
        <v>619</v>
      </c>
      <c r="X3608" s="414">
        <f t="shared" si="354"/>
        <v>284.38</v>
      </c>
    </row>
    <row r="3609" spans="6:29" ht="24" customHeight="1">
      <c r="K3609" s="418" t="s">
        <v>1288</v>
      </c>
      <c r="L3609" s="412"/>
      <c r="S3609" s="414">
        <v>2</v>
      </c>
      <c r="T3609" s="414" t="s">
        <v>619</v>
      </c>
      <c r="U3609" s="414" t="s">
        <v>2189</v>
      </c>
      <c r="V3609" s="414">
        <f t="shared" si="353"/>
        <v>23.1</v>
      </c>
      <c r="W3609" s="413" t="s">
        <v>619</v>
      </c>
      <c r="X3609" s="414">
        <f t="shared" si="354"/>
        <v>46.2</v>
      </c>
    </row>
    <row r="3610" spans="6:29" ht="24" customHeight="1">
      <c r="H3610" s="413" t="s">
        <v>2310</v>
      </c>
      <c r="K3610" s="414" t="e">
        <f>SUM(K3596:K3608)</f>
        <v>#REF!</v>
      </c>
      <c r="L3610" s="412"/>
      <c r="S3610" s="414">
        <v>2</v>
      </c>
      <c r="T3610" s="414" t="s">
        <v>619</v>
      </c>
      <c r="U3610" s="414" t="s">
        <v>2190</v>
      </c>
      <c r="V3610" s="414">
        <f t="shared" si="353"/>
        <v>49.55</v>
      </c>
      <c r="W3610" s="413" t="s">
        <v>619</v>
      </c>
      <c r="X3610" s="414">
        <f t="shared" si="354"/>
        <v>99.1</v>
      </c>
    </row>
    <row r="3611" spans="6:29" ht="24" customHeight="1">
      <c r="K3611" s="418" t="s">
        <v>1288</v>
      </c>
      <c r="L3611" s="412"/>
      <c r="W3611" s="413" t="s">
        <v>488</v>
      </c>
      <c r="X3611" s="414">
        <f>V3611*S3611</f>
        <v>0</v>
      </c>
    </row>
    <row r="3612" spans="6:29" ht="24" customHeight="1">
      <c r="H3612" s="420" t="s">
        <v>447</v>
      </c>
      <c r="I3612" s="412" t="s">
        <v>790</v>
      </c>
      <c r="K3612" s="417" t="e">
        <f>K3610/F3601</f>
        <v>#REF!</v>
      </c>
      <c r="S3612" s="414"/>
      <c r="U3612" s="414" t="s">
        <v>2493</v>
      </c>
      <c r="W3612" s="413"/>
      <c r="X3612" s="414">
        <f>SUM(X3602:X3611)</f>
        <v>10531.17</v>
      </c>
    </row>
    <row r="3613" spans="6:29" ht="24" customHeight="1">
      <c r="K3613" s="418" t="s">
        <v>1676</v>
      </c>
      <c r="S3613" s="414"/>
      <c r="U3613" s="414" t="s">
        <v>2018</v>
      </c>
      <c r="W3613" s="413"/>
      <c r="X3613" s="414">
        <f>X3612/S3603</f>
        <v>3061.39</v>
      </c>
    </row>
    <row r="3614" spans="6:29" ht="24" customHeight="1">
      <c r="F3614" s="413" t="s">
        <v>1316</v>
      </c>
      <c r="G3614" s="414" t="s">
        <v>1833</v>
      </c>
      <c r="H3614" s="412" t="s">
        <v>2320</v>
      </c>
      <c r="S3614" s="414"/>
      <c r="W3614" s="413"/>
    </row>
    <row r="3615" spans="6:29" ht="24" customHeight="1">
      <c r="H3615" s="412" t="s">
        <v>2321</v>
      </c>
      <c r="S3615" s="414"/>
      <c r="U3615" s="414" t="s">
        <v>3034</v>
      </c>
      <c r="W3615" s="413"/>
    </row>
    <row r="3616" spans="6:29" ht="24" customHeight="1">
      <c r="H3616" s="418" t="s">
        <v>1288</v>
      </c>
      <c r="S3616" s="414"/>
      <c r="U3616" s="414" t="s">
        <v>2875</v>
      </c>
      <c r="W3616" s="413">
        <f>1.1*2.025</f>
        <v>2.23</v>
      </c>
      <c r="AA3616" s="414" t="s">
        <v>3226</v>
      </c>
      <c r="AC3616" s="412"/>
    </row>
    <row r="3617" spans="6:30" ht="18.75" customHeight="1">
      <c r="H3617" s="412" t="s">
        <v>2322</v>
      </c>
      <c r="I3617" s="423" t="s">
        <v>1676</v>
      </c>
      <c r="J3617" s="483">
        <f>0.65*0.65</f>
        <v>0.42249999999999999</v>
      </c>
      <c r="K3617" s="414" t="s">
        <v>1861</v>
      </c>
      <c r="S3617" s="414">
        <f>W3616</f>
        <v>2.23</v>
      </c>
      <c r="T3617" s="414" t="s">
        <v>488</v>
      </c>
      <c r="U3617" s="414" t="s">
        <v>2183</v>
      </c>
      <c r="V3617" s="414">
        <f>AE3554</f>
        <v>2255</v>
      </c>
      <c r="W3617" s="413" t="s">
        <v>488</v>
      </c>
      <c r="X3617" s="414">
        <f>V3617*S3617</f>
        <v>5028.6499999999996</v>
      </c>
      <c r="AA3617" s="414" t="s">
        <v>3227</v>
      </c>
      <c r="AC3617" s="412">
        <f>0.65*2.025</f>
        <v>1.32</v>
      </c>
    </row>
    <row r="3618" spans="6:30" ht="18.75" customHeight="1">
      <c r="H3618" s="412"/>
      <c r="I3618" s="423"/>
      <c r="J3618" s="454"/>
      <c r="S3618" s="414">
        <f>S3617</f>
        <v>2.23</v>
      </c>
      <c r="T3618" s="414" t="s">
        <v>488</v>
      </c>
      <c r="U3618" s="414" t="s">
        <v>2184</v>
      </c>
      <c r="V3618" s="414">
        <f>V3603</f>
        <v>330.2</v>
      </c>
      <c r="W3618" s="413" t="s">
        <v>488</v>
      </c>
      <c r="X3618" s="414">
        <f t="shared" ref="X3618:X3625" si="355">V3618*S3618</f>
        <v>736.35</v>
      </c>
      <c r="Y3618" s="414">
        <f>AC3617</f>
        <v>1.32</v>
      </c>
      <c r="Z3618" s="414" t="s">
        <v>488</v>
      </c>
      <c r="AA3618" s="414" t="s">
        <v>2183</v>
      </c>
      <c r="AB3618" s="414">
        <f>V3618</f>
        <v>330.2</v>
      </c>
      <c r="AC3618" s="414" t="s">
        <v>488</v>
      </c>
      <c r="AD3618" s="414">
        <f>AB3618*Y3618</f>
        <v>435.86</v>
      </c>
    </row>
    <row r="3619" spans="6:30" ht="18.75" customHeight="1">
      <c r="H3619" s="412" t="s">
        <v>4365</v>
      </c>
      <c r="I3619" s="423" t="s">
        <v>1676</v>
      </c>
      <c r="J3619" s="483">
        <v>5.1999999999999998E-2</v>
      </c>
      <c r="K3619" s="414" t="s">
        <v>1749</v>
      </c>
      <c r="S3619" s="414">
        <v>4</v>
      </c>
      <c r="T3619" s="414" t="s">
        <v>619</v>
      </c>
      <c r="U3619" s="414" t="s">
        <v>2185</v>
      </c>
      <c r="V3619" s="414">
        <f t="shared" ref="V3619:V3625" si="356">AE3556</f>
        <v>57.65</v>
      </c>
      <c r="W3619" s="413" t="s">
        <v>619</v>
      </c>
      <c r="X3619" s="414">
        <f t="shared" si="355"/>
        <v>230.6</v>
      </c>
      <c r="Y3619" s="414">
        <f>Y3618</f>
        <v>1.32</v>
      </c>
      <c r="Z3619" s="414" t="s">
        <v>488</v>
      </c>
      <c r="AA3619" s="414" t="s">
        <v>2184</v>
      </c>
      <c r="AB3619" s="414">
        <f t="shared" ref="AB3619:AB3626" si="357">V3619</f>
        <v>57.65</v>
      </c>
      <c r="AC3619" s="414" t="s">
        <v>488</v>
      </c>
      <c r="AD3619" s="414">
        <f t="shared" ref="AD3619:AD3627" si="358">AB3619*Y3619</f>
        <v>76.099999999999994</v>
      </c>
    </row>
    <row r="3620" spans="6:30" ht="18.75" customHeight="1">
      <c r="H3620" s="412" t="s">
        <v>2025</v>
      </c>
      <c r="J3620" s="423"/>
      <c r="S3620" s="414">
        <v>6</v>
      </c>
      <c r="T3620" s="414" t="s">
        <v>619</v>
      </c>
      <c r="U3620" s="414" t="s">
        <v>2186</v>
      </c>
      <c r="V3620" s="414">
        <f t="shared" si="356"/>
        <v>89.6</v>
      </c>
      <c r="W3620" s="413" t="s">
        <v>619</v>
      </c>
      <c r="X3620" s="414">
        <f t="shared" si="355"/>
        <v>537.6</v>
      </c>
      <c r="Y3620" s="414">
        <v>2</v>
      </c>
      <c r="Z3620" s="414" t="s">
        <v>619</v>
      </c>
      <c r="AA3620" s="414" t="s">
        <v>2185</v>
      </c>
      <c r="AB3620" s="414">
        <f t="shared" si="357"/>
        <v>89.6</v>
      </c>
      <c r="AC3620" s="414" t="s">
        <v>619</v>
      </c>
      <c r="AD3620" s="414">
        <f t="shared" si="358"/>
        <v>179.2</v>
      </c>
    </row>
    <row r="3621" spans="6:30" ht="18.75" customHeight="1">
      <c r="H3621" s="412" t="s">
        <v>2323</v>
      </c>
      <c r="I3621" s="423" t="s">
        <v>1676</v>
      </c>
      <c r="J3621" s="492">
        <v>1.772E-2</v>
      </c>
      <c r="S3621" s="414">
        <v>4</v>
      </c>
      <c r="T3621" s="414" t="s">
        <v>619</v>
      </c>
      <c r="U3621" s="414" t="s">
        <v>2187</v>
      </c>
      <c r="V3621" s="414">
        <f t="shared" si="356"/>
        <v>64.8</v>
      </c>
      <c r="W3621" s="413" t="s">
        <v>619</v>
      </c>
      <c r="X3621" s="414">
        <f t="shared" si="355"/>
        <v>259.2</v>
      </c>
      <c r="Y3621" s="414">
        <v>3</v>
      </c>
      <c r="Z3621" s="414" t="s">
        <v>619</v>
      </c>
      <c r="AA3621" s="414" t="s">
        <v>2186</v>
      </c>
      <c r="AB3621" s="414">
        <f t="shared" si="357"/>
        <v>64.8</v>
      </c>
      <c r="AC3621" s="414" t="s">
        <v>619</v>
      </c>
      <c r="AD3621" s="414">
        <f t="shared" si="358"/>
        <v>194.4</v>
      </c>
    </row>
    <row r="3622" spans="6:30" ht="18.75" customHeight="1">
      <c r="H3622" s="418"/>
      <c r="S3622" s="414">
        <v>1</v>
      </c>
      <c r="T3622" s="414" t="s">
        <v>619</v>
      </c>
      <c r="U3622" s="414" t="s">
        <v>1903</v>
      </c>
      <c r="V3622" s="414">
        <f t="shared" si="356"/>
        <v>181</v>
      </c>
      <c r="W3622" s="413" t="s">
        <v>619</v>
      </c>
      <c r="X3622" s="414">
        <f t="shared" si="355"/>
        <v>181</v>
      </c>
      <c r="Y3622" s="414">
        <v>2</v>
      </c>
      <c r="Z3622" s="414" t="s">
        <v>619</v>
      </c>
      <c r="AA3622" s="414" t="s">
        <v>2187</v>
      </c>
      <c r="AB3622" s="414">
        <f t="shared" si="357"/>
        <v>181</v>
      </c>
      <c r="AC3622" s="414" t="s">
        <v>619</v>
      </c>
      <c r="AD3622" s="414">
        <f t="shared" si="358"/>
        <v>362</v>
      </c>
    </row>
    <row r="3623" spans="6:30" ht="18.75" customHeight="1">
      <c r="F3623" s="450">
        <v>5.3E-3</v>
      </c>
      <c r="G3623" s="414" t="s">
        <v>1089</v>
      </c>
      <c r="H3623" s="412" t="s">
        <v>1090</v>
      </c>
      <c r="I3623" s="414" t="e">
        <f>I3600</f>
        <v>#REF!</v>
      </c>
      <c r="J3623" s="412" t="s">
        <v>702</v>
      </c>
      <c r="K3623" s="414" t="e">
        <f t="shared" ref="K3623:K3629" si="359">(F3623*I3623)</f>
        <v>#REF!</v>
      </c>
      <c r="S3623" s="414">
        <v>118</v>
      </c>
      <c r="T3623" s="414" t="s">
        <v>619</v>
      </c>
      <c r="U3623" s="414" t="s">
        <v>2188</v>
      </c>
      <c r="V3623" s="414">
        <f t="shared" si="356"/>
        <v>2.41</v>
      </c>
      <c r="W3623" s="413" t="s">
        <v>619</v>
      </c>
      <c r="X3623" s="414">
        <f t="shared" si="355"/>
        <v>284.38</v>
      </c>
      <c r="Y3623" s="414">
        <v>1</v>
      </c>
      <c r="Z3623" s="414" t="s">
        <v>619</v>
      </c>
      <c r="AA3623" s="414" t="s">
        <v>1903</v>
      </c>
      <c r="AB3623" s="414">
        <f t="shared" si="357"/>
        <v>2.41</v>
      </c>
      <c r="AC3623" s="414" t="s">
        <v>619</v>
      </c>
      <c r="AD3623" s="414">
        <f t="shared" si="358"/>
        <v>2.41</v>
      </c>
    </row>
    <row r="3624" spans="6:30" ht="24" customHeight="1">
      <c r="F3624" s="450">
        <v>0.27450000000000002</v>
      </c>
      <c r="G3624" s="414" t="s">
        <v>488</v>
      </c>
      <c r="H3624" s="412" t="str">
        <f>H3602</f>
        <v>4 mm thicj frosted glass</v>
      </c>
      <c r="I3624" s="414">
        <f>I3602</f>
        <v>306.89999999999998</v>
      </c>
      <c r="J3624" s="412" t="s">
        <v>702</v>
      </c>
      <c r="K3624" s="414">
        <f t="shared" si="359"/>
        <v>84.24</v>
      </c>
      <c r="S3624" s="414">
        <v>2</v>
      </c>
      <c r="T3624" s="414" t="s">
        <v>619</v>
      </c>
      <c r="U3624" s="414" t="s">
        <v>2189</v>
      </c>
      <c r="V3624" s="414">
        <f t="shared" si="356"/>
        <v>23.1</v>
      </c>
      <c r="W3624" s="413" t="s">
        <v>619</v>
      </c>
      <c r="X3624" s="414">
        <f t="shared" si="355"/>
        <v>46.2</v>
      </c>
      <c r="Y3624" s="414">
        <v>92</v>
      </c>
      <c r="Z3624" s="414" t="s">
        <v>619</v>
      </c>
      <c r="AA3624" s="414" t="s">
        <v>2188</v>
      </c>
      <c r="AB3624" s="414">
        <f t="shared" si="357"/>
        <v>23.1</v>
      </c>
      <c r="AC3624" s="414" t="s">
        <v>619</v>
      </c>
      <c r="AD3624" s="414">
        <f t="shared" si="358"/>
        <v>2125.1999999999998</v>
      </c>
    </row>
    <row r="3625" spans="6:30" ht="24" customHeight="1">
      <c r="F3625" s="450">
        <v>0.4</v>
      </c>
      <c r="G3625" s="414" t="s">
        <v>488</v>
      </c>
      <c r="H3625" s="412" t="s">
        <v>1701</v>
      </c>
      <c r="I3625" s="414">
        <f>AE34</f>
        <v>1197</v>
      </c>
      <c r="J3625" s="412" t="s">
        <v>488</v>
      </c>
      <c r="K3625" s="414">
        <f t="shared" si="359"/>
        <v>478.8</v>
      </c>
      <c r="S3625" s="414">
        <v>2</v>
      </c>
      <c r="T3625" s="414" t="s">
        <v>619</v>
      </c>
      <c r="U3625" s="414" t="s">
        <v>2190</v>
      </c>
      <c r="V3625" s="414">
        <f t="shared" si="356"/>
        <v>49.55</v>
      </c>
      <c r="W3625" s="413" t="s">
        <v>619</v>
      </c>
      <c r="X3625" s="414">
        <f t="shared" si="355"/>
        <v>99.1</v>
      </c>
      <c r="Y3625" s="414">
        <v>1</v>
      </c>
      <c r="Z3625" s="414" t="s">
        <v>619</v>
      </c>
      <c r="AA3625" s="414" t="s">
        <v>2189</v>
      </c>
      <c r="AB3625" s="414">
        <f t="shared" si="357"/>
        <v>49.55</v>
      </c>
      <c r="AC3625" s="414" t="s">
        <v>619</v>
      </c>
      <c r="AD3625" s="414">
        <f t="shared" si="358"/>
        <v>49.55</v>
      </c>
    </row>
    <row r="3626" spans="6:30" ht="24" customHeight="1">
      <c r="F3626" s="414">
        <v>2</v>
      </c>
      <c r="G3626" s="414" t="s">
        <v>1623</v>
      </c>
      <c r="H3626" s="412" t="s">
        <v>1624</v>
      </c>
      <c r="I3626" s="414">
        <v>148</v>
      </c>
      <c r="J3626" s="412" t="s">
        <v>1623</v>
      </c>
      <c r="K3626" s="414">
        <f t="shared" si="359"/>
        <v>296</v>
      </c>
      <c r="T3626" s="414" t="s">
        <v>488</v>
      </c>
      <c r="W3626" s="413" t="s">
        <v>488</v>
      </c>
      <c r="X3626" s="414">
        <f>V3625*S3626</f>
        <v>0</v>
      </c>
      <c r="Y3626" s="414">
        <v>1</v>
      </c>
      <c r="Z3626" s="414" t="s">
        <v>619</v>
      </c>
      <c r="AA3626" s="414" t="s">
        <v>2190</v>
      </c>
      <c r="AB3626" s="414">
        <f t="shared" si="357"/>
        <v>0</v>
      </c>
      <c r="AC3626" s="414" t="s">
        <v>619</v>
      </c>
      <c r="AD3626" s="414">
        <f t="shared" si="358"/>
        <v>0</v>
      </c>
    </row>
    <row r="3627" spans="6:30" ht="24" customHeight="1">
      <c r="F3627" s="414">
        <v>1</v>
      </c>
      <c r="G3627" s="414" t="s">
        <v>701</v>
      </c>
      <c r="H3627" s="412" t="s">
        <v>1625</v>
      </c>
      <c r="I3627" s="414">
        <f>C293</f>
        <v>6.1</v>
      </c>
      <c r="J3627" s="412" t="s">
        <v>701</v>
      </c>
      <c r="K3627" s="414">
        <f t="shared" si="359"/>
        <v>6.1</v>
      </c>
      <c r="S3627" s="414"/>
      <c r="U3627" s="414" t="s">
        <v>2192</v>
      </c>
      <c r="W3627" s="413"/>
      <c r="X3627" s="414">
        <f>SUM(X3617:X3626)</f>
        <v>7403.08</v>
      </c>
      <c r="Y3627" s="416">
        <v>0.35</v>
      </c>
      <c r="Z3627" s="414" t="s">
        <v>488</v>
      </c>
      <c r="AC3627" s="414" t="s">
        <v>488</v>
      </c>
      <c r="AD3627" s="414">
        <f t="shared" si="358"/>
        <v>0</v>
      </c>
    </row>
    <row r="3628" spans="6:30" ht="24" customHeight="1">
      <c r="F3628" s="414">
        <v>1</v>
      </c>
      <c r="G3628" s="414" t="s">
        <v>701</v>
      </c>
      <c r="H3628" s="412" t="s">
        <v>1626</v>
      </c>
      <c r="I3628" s="414">
        <f>C291</f>
        <v>11.8</v>
      </c>
      <c r="J3628" s="412" t="s">
        <v>701</v>
      </c>
      <c r="K3628" s="414">
        <f t="shared" si="359"/>
        <v>11.8</v>
      </c>
      <c r="S3628" s="414"/>
      <c r="U3628" s="414" t="s">
        <v>2018</v>
      </c>
      <c r="W3628" s="413"/>
      <c r="X3628" s="414">
        <f>X3627/S3618</f>
        <v>3319.77</v>
      </c>
      <c r="AA3628" s="414" t="s">
        <v>2192</v>
      </c>
      <c r="AC3628" s="412"/>
      <c r="AD3628" s="414">
        <f>SUM(AD3618:AD3627)</f>
        <v>3424.72</v>
      </c>
    </row>
    <row r="3629" spans="6:30" ht="24" customHeight="1">
      <c r="F3629" s="414">
        <v>10</v>
      </c>
      <c r="H3629" s="412" t="s">
        <v>929</v>
      </c>
      <c r="I3629" s="414">
        <f>I3608</f>
        <v>2.41</v>
      </c>
      <c r="J3629" s="412" t="s">
        <v>701</v>
      </c>
      <c r="K3629" s="414">
        <f t="shared" si="359"/>
        <v>24.1</v>
      </c>
      <c r="W3629" s="413"/>
      <c r="AA3629" s="414" t="s">
        <v>2018</v>
      </c>
      <c r="AC3629" s="412"/>
      <c r="AD3629" s="414">
        <f>AD3628/Y3619</f>
        <v>2594.48</v>
      </c>
    </row>
    <row r="3630" spans="6:30" ht="24" customHeight="1">
      <c r="K3630" s="418" t="s">
        <v>1288</v>
      </c>
      <c r="S3630" s="414"/>
      <c r="U3630" s="415" t="s">
        <v>1419</v>
      </c>
      <c r="W3630" s="413"/>
    </row>
    <row r="3631" spans="6:30" ht="24" customHeight="1">
      <c r="H3631" s="413" t="s">
        <v>27</v>
      </c>
      <c r="K3631" s="414" t="e">
        <f>SUM(K3613:K3629)</f>
        <v>#REF!</v>
      </c>
      <c r="S3631" s="414"/>
      <c r="U3631" s="420" t="s">
        <v>2356</v>
      </c>
      <c r="W3631" s="413"/>
    </row>
    <row r="3632" spans="6:30" ht="24" customHeight="1">
      <c r="K3632" s="418" t="s">
        <v>1288</v>
      </c>
      <c r="S3632" s="414"/>
      <c r="W3632" s="413"/>
    </row>
    <row r="3633" spans="6:33" ht="24" customHeight="1">
      <c r="H3633" s="420" t="s">
        <v>447</v>
      </c>
      <c r="I3633" s="412" t="s">
        <v>790</v>
      </c>
      <c r="K3633" s="417" t="e">
        <f>K3631/F3625</f>
        <v>#REF!</v>
      </c>
      <c r="S3633" s="414"/>
      <c r="W3633" s="413"/>
    </row>
    <row r="3634" spans="6:33" ht="24" hidden="1" customHeight="1">
      <c r="F3634" s="412" t="s">
        <v>790</v>
      </c>
      <c r="S3634" s="440">
        <v>2.2800000000000001E-2</v>
      </c>
      <c r="T3634" s="414" t="s">
        <v>702</v>
      </c>
      <c r="U3634" s="414" t="s">
        <v>2012</v>
      </c>
      <c r="V3634" s="414" t="e">
        <f>P1111</f>
        <v>#REF!</v>
      </c>
      <c r="W3634" s="413" t="s">
        <v>702</v>
      </c>
      <c r="X3634" s="414" t="e">
        <f>V3634*S3634</f>
        <v>#REF!</v>
      </c>
    </row>
    <row r="3635" spans="6:33" ht="24" customHeight="1">
      <c r="K3635" s="418" t="s">
        <v>1676</v>
      </c>
      <c r="S3635" s="440">
        <v>3.5400000000000001E-2</v>
      </c>
      <c r="T3635" s="414" t="s">
        <v>702</v>
      </c>
      <c r="U3635" s="414" t="s">
        <v>1914</v>
      </c>
      <c r="V3635" s="414" t="e">
        <f>P1112</f>
        <v>#REF!</v>
      </c>
      <c r="W3635" s="413" t="s">
        <v>702</v>
      </c>
      <c r="X3635" s="414" t="e">
        <f t="shared" ref="X3635:X3644" si="360">V3635*S3635</f>
        <v>#REF!</v>
      </c>
    </row>
    <row r="3636" spans="6:33" ht="68.45" customHeight="1">
      <c r="F3636" s="414">
        <v>45</v>
      </c>
      <c r="H3636" s="435" t="s">
        <v>2404</v>
      </c>
      <c r="I3636" s="499"/>
      <c r="J3636" s="499"/>
      <c r="S3636" s="439">
        <v>3.2300000000000002E-2</v>
      </c>
      <c r="T3636" s="414" t="s">
        <v>702</v>
      </c>
      <c r="U3636" s="414" t="s">
        <v>756</v>
      </c>
      <c r="V3636" s="414" t="e">
        <f>P1113</f>
        <v>#REF!</v>
      </c>
      <c r="W3636" s="413" t="s">
        <v>702</v>
      </c>
      <c r="X3636" s="414" t="e">
        <f t="shared" si="360"/>
        <v>#REF!</v>
      </c>
    </row>
    <row r="3637" spans="6:33" ht="24" customHeight="1">
      <c r="H3637" s="499"/>
      <c r="I3637" s="499"/>
      <c r="J3637" s="499"/>
      <c r="S3637" s="416">
        <v>2.835</v>
      </c>
      <c r="T3637" s="414" t="s">
        <v>488</v>
      </c>
      <c r="U3637" s="414" t="s">
        <v>715</v>
      </c>
      <c r="V3637" s="414">
        <f>P1114</f>
        <v>1537</v>
      </c>
      <c r="W3637" s="413" t="s">
        <v>488</v>
      </c>
      <c r="X3637" s="414">
        <f t="shared" si="360"/>
        <v>4357.3999999999996</v>
      </c>
    </row>
    <row r="3638" spans="6:33" ht="24" hidden="1" customHeight="1">
      <c r="S3638" s="414">
        <v>2</v>
      </c>
      <c r="T3638" s="414" t="s">
        <v>1524</v>
      </c>
      <c r="U3638" s="414" t="s">
        <v>2266</v>
      </c>
      <c r="V3638" s="414">
        <v>254.5</v>
      </c>
      <c r="W3638" s="413" t="s">
        <v>1134</v>
      </c>
      <c r="X3638" s="414">
        <f t="shared" si="360"/>
        <v>509</v>
      </c>
    </row>
    <row r="3639" spans="6:33" ht="37.9" customHeight="1">
      <c r="F3639" s="414">
        <v>0.15</v>
      </c>
      <c r="G3639" s="414" t="s">
        <v>702</v>
      </c>
      <c r="H3639" s="431" t="s">
        <v>3204</v>
      </c>
      <c r="I3639" s="414">
        <f>91.1/0.0354</f>
        <v>2573.4499999999998</v>
      </c>
      <c r="J3639" s="412" t="s">
        <v>702</v>
      </c>
      <c r="K3639" s="414">
        <f t="shared" ref="K3639:K3644" si="361">I3639*F3639</f>
        <v>386.02</v>
      </c>
      <c r="S3639" s="414">
        <v>6</v>
      </c>
      <c r="T3639" s="414" t="s">
        <v>1524</v>
      </c>
      <c r="U3639" s="414" t="s">
        <v>2267</v>
      </c>
      <c r="V3639" s="414">
        <v>214.1</v>
      </c>
      <c r="W3639" s="413" t="s">
        <v>1134</v>
      </c>
      <c r="X3639" s="414">
        <f t="shared" si="360"/>
        <v>1284.5999999999999</v>
      </c>
    </row>
    <row r="3640" spans="6:33" ht="24" customHeight="1">
      <c r="F3640" s="440">
        <v>7.1999999999999995E-2</v>
      </c>
      <c r="G3640" s="414" t="s">
        <v>694</v>
      </c>
      <c r="H3640" s="414" t="s">
        <v>695</v>
      </c>
      <c r="I3640" s="414" t="e">
        <f>I1645</f>
        <v>#REF!</v>
      </c>
      <c r="J3640" s="412" t="s">
        <v>694</v>
      </c>
      <c r="K3640" s="414" t="e">
        <f t="shared" si="361"/>
        <v>#REF!</v>
      </c>
      <c r="S3640" s="414">
        <v>4</v>
      </c>
      <c r="T3640" s="414" t="s">
        <v>1524</v>
      </c>
      <c r="U3640" s="414" t="s">
        <v>2268</v>
      </c>
      <c r="V3640" s="414">
        <v>408</v>
      </c>
      <c r="W3640" s="413" t="s">
        <v>1134</v>
      </c>
      <c r="X3640" s="414">
        <f t="shared" si="360"/>
        <v>1632</v>
      </c>
    </row>
    <row r="3641" spans="6:33" ht="24" customHeight="1">
      <c r="F3641" s="414">
        <v>1.6</v>
      </c>
      <c r="G3641" s="414" t="s">
        <v>619</v>
      </c>
      <c r="H3641" s="414" t="s">
        <v>1637</v>
      </c>
      <c r="I3641" s="414">
        <f>I1646</f>
        <v>999</v>
      </c>
      <c r="J3641" s="412" t="s">
        <v>619</v>
      </c>
      <c r="K3641" s="414">
        <f t="shared" si="361"/>
        <v>1598.4</v>
      </c>
      <c r="S3641" s="414">
        <v>1</v>
      </c>
      <c r="T3641" s="414" t="s">
        <v>1524</v>
      </c>
      <c r="U3641" s="414" t="s">
        <v>2269</v>
      </c>
      <c r="V3641" s="414">
        <v>985</v>
      </c>
      <c r="W3641" s="413" t="s">
        <v>1134</v>
      </c>
      <c r="X3641" s="414">
        <f t="shared" si="360"/>
        <v>985</v>
      </c>
    </row>
    <row r="3642" spans="6:33" ht="24" customHeight="1">
      <c r="F3642" s="414">
        <v>0.5</v>
      </c>
      <c r="G3642" s="414" t="s">
        <v>619</v>
      </c>
      <c r="H3642" s="414" t="s">
        <v>1550</v>
      </c>
      <c r="I3642" s="414">
        <f>I1647</f>
        <v>651</v>
      </c>
      <c r="J3642" s="412" t="s">
        <v>619</v>
      </c>
      <c r="K3642" s="414">
        <f t="shared" si="361"/>
        <v>325.5</v>
      </c>
      <c r="S3642" s="414">
        <v>2</v>
      </c>
      <c r="T3642" s="414" t="s">
        <v>1524</v>
      </c>
      <c r="U3642" s="414" t="s">
        <v>2261</v>
      </c>
      <c r="V3642" s="414">
        <v>23.1</v>
      </c>
      <c r="W3642" s="413" t="s">
        <v>1134</v>
      </c>
      <c r="X3642" s="414">
        <f t="shared" si="360"/>
        <v>46.2</v>
      </c>
    </row>
    <row r="3643" spans="6:33" ht="24" customHeight="1">
      <c r="F3643" s="414">
        <v>1.1000000000000001</v>
      </c>
      <c r="G3643" s="414" t="s">
        <v>619</v>
      </c>
      <c r="H3643" s="414" t="s">
        <v>245</v>
      </c>
      <c r="I3643" s="414">
        <f>I1648</f>
        <v>534</v>
      </c>
      <c r="J3643" s="412" t="s">
        <v>619</v>
      </c>
      <c r="K3643" s="414">
        <f t="shared" si="361"/>
        <v>587.4</v>
      </c>
      <c r="S3643" s="414">
        <v>2</v>
      </c>
      <c r="T3643" s="414" t="s">
        <v>1524</v>
      </c>
      <c r="U3643" s="414" t="s">
        <v>1614</v>
      </c>
      <c r="V3643" s="414">
        <v>49.55</v>
      </c>
      <c r="W3643" s="413" t="s">
        <v>1134</v>
      </c>
      <c r="X3643" s="414">
        <f t="shared" si="360"/>
        <v>99.1</v>
      </c>
    </row>
    <row r="3644" spans="6:33" ht="24" customHeight="1">
      <c r="F3644" s="414">
        <v>14.5</v>
      </c>
      <c r="G3644" s="414" t="s">
        <v>283</v>
      </c>
      <c r="H3644" s="414" t="s">
        <v>2405</v>
      </c>
      <c r="I3644" s="414">
        <f>I3747</f>
        <v>24.93</v>
      </c>
      <c r="J3644" s="412" t="s">
        <v>283</v>
      </c>
      <c r="K3644" s="414">
        <f t="shared" si="361"/>
        <v>361.49</v>
      </c>
      <c r="S3644" s="414">
        <v>118</v>
      </c>
      <c r="T3644" s="417"/>
      <c r="U3644" s="414" t="s">
        <v>929</v>
      </c>
      <c r="V3644" s="414">
        <v>2.41</v>
      </c>
      <c r="W3644" s="413"/>
      <c r="X3644" s="414">
        <f t="shared" si="360"/>
        <v>284.38</v>
      </c>
    </row>
    <row r="3645" spans="6:33" ht="24" customHeight="1">
      <c r="G3645" s="414" t="s">
        <v>528</v>
      </c>
      <c r="H3645" s="414" t="s">
        <v>359</v>
      </c>
      <c r="J3645" s="412" t="s">
        <v>528</v>
      </c>
      <c r="K3645" s="414">
        <v>7</v>
      </c>
      <c r="S3645" s="414"/>
      <c r="W3645" s="413"/>
      <c r="X3645" s="417" t="e">
        <f>SUM(X3634:X3644)</f>
        <v>#REF!</v>
      </c>
    </row>
    <row r="3646" spans="6:33" ht="24" customHeight="1">
      <c r="S3646" s="414"/>
      <c r="T3646" s="417"/>
      <c r="U3646" s="417"/>
      <c r="W3646" s="413"/>
      <c r="X3646" s="429" t="s">
        <v>119</v>
      </c>
    </row>
    <row r="3647" spans="6:33" ht="24" customHeight="1">
      <c r="H3647" s="414" t="s">
        <v>351</v>
      </c>
      <c r="K3647" s="414" t="e">
        <f>SUM(K3639:K3646)</f>
        <v>#REF!</v>
      </c>
      <c r="S3647" s="414"/>
      <c r="T3647" s="417"/>
      <c r="U3647" s="417" t="s">
        <v>1692</v>
      </c>
      <c r="W3647" s="413"/>
      <c r="X3647" s="417" t="e">
        <f>X3645/2.835</f>
        <v>#REF!</v>
      </c>
    </row>
    <row r="3648" spans="6:33" ht="24" customHeight="1">
      <c r="H3648" s="414" t="s">
        <v>447</v>
      </c>
      <c r="K3648" s="414" t="e">
        <f>K3647/10</f>
        <v>#REF!</v>
      </c>
      <c r="S3648" s="414"/>
      <c r="T3648" s="417"/>
      <c r="W3648" s="413"/>
      <c r="X3648" s="429" t="s">
        <v>119</v>
      </c>
      <c r="AB3648" s="1235" t="s">
        <v>3102</v>
      </c>
      <c r="AC3648" s="1235"/>
      <c r="AD3648" s="1235"/>
      <c r="AE3648" s="1235"/>
      <c r="AF3648" s="1235"/>
      <c r="AG3648" s="1235"/>
    </row>
    <row r="3649" spans="6:33" ht="24" customHeight="1">
      <c r="S3649" s="414"/>
      <c r="W3649" s="413"/>
      <c r="AB3649" s="1235"/>
      <c r="AC3649" s="1235"/>
      <c r="AD3649" s="1235"/>
      <c r="AE3649" s="1235"/>
      <c r="AF3649" s="1235"/>
      <c r="AG3649" s="1235"/>
    </row>
    <row r="3650" spans="6:33" ht="24" hidden="1" customHeight="1">
      <c r="K3650" s="414" t="s">
        <v>1676</v>
      </c>
      <c r="S3650" s="417" t="s">
        <v>2518</v>
      </c>
      <c r="T3650" s="417"/>
      <c r="U3650" s="417"/>
      <c r="V3650" s="417"/>
      <c r="W3650" s="420"/>
      <c r="X3650" s="420"/>
      <c r="AB3650" s="440"/>
      <c r="AD3650" s="420"/>
    </row>
    <row r="3651" spans="6:33" ht="24" hidden="1" customHeight="1">
      <c r="S3651" s="440"/>
      <c r="U3651" s="420"/>
      <c r="W3651" s="413"/>
      <c r="AB3651" s="440"/>
      <c r="AD3651" s="412"/>
    </row>
    <row r="3652" spans="6:33" ht="24" customHeight="1">
      <c r="H3652" s="420" t="s">
        <v>2313</v>
      </c>
      <c r="J3652" s="414"/>
      <c r="S3652" s="440"/>
      <c r="U3652" s="412"/>
      <c r="W3652" s="413"/>
      <c r="AB3652" s="440">
        <v>38.86</v>
      </c>
      <c r="AC3652" s="414" t="s">
        <v>734</v>
      </c>
      <c r="AD3652" s="426" t="s">
        <v>2520</v>
      </c>
      <c r="AE3652" s="414">
        <f>V3653</f>
        <v>325</v>
      </c>
      <c r="AF3652" s="414" t="s">
        <v>734</v>
      </c>
      <c r="AG3652" s="414">
        <f>AE3652*AB3652</f>
        <v>12629.5</v>
      </c>
    </row>
    <row r="3653" spans="6:33" ht="24" customHeight="1">
      <c r="H3653" s="418" t="s">
        <v>1288</v>
      </c>
      <c r="J3653" s="414"/>
      <c r="S3653" s="440">
        <v>28.49</v>
      </c>
      <c r="T3653" s="414" t="s">
        <v>734</v>
      </c>
      <c r="U3653" s="426" t="s">
        <v>2520</v>
      </c>
      <c r="V3653" s="414">
        <f>I3781</f>
        <v>325</v>
      </c>
      <c r="W3653" s="413" t="s">
        <v>734</v>
      </c>
      <c r="X3653" s="414">
        <f>V3653*S3653</f>
        <v>9259.25</v>
      </c>
      <c r="AB3653" s="494">
        <v>34.65</v>
      </c>
      <c r="AC3653" s="414" t="s">
        <v>669</v>
      </c>
      <c r="AD3653" s="412" t="s">
        <v>2623</v>
      </c>
      <c r="AE3653" s="414">
        <f>V3654</f>
        <v>38.25</v>
      </c>
      <c r="AF3653" s="414" t="s">
        <v>669</v>
      </c>
      <c r="AG3653" s="414">
        <f t="shared" ref="AG3653:AG3660" si="362">AE3653*AB3653</f>
        <v>1325.36</v>
      </c>
    </row>
    <row r="3654" spans="6:33" ht="24" customHeight="1">
      <c r="G3654" s="412" t="s">
        <v>1833</v>
      </c>
      <c r="H3654" s="415" t="s">
        <v>2314</v>
      </c>
      <c r="J3654" s="414"/>
      <c r="S3654" s="494">
        <v>3.82</v>
      </c>
      <c r="T3654" s="414" t="s">
        <v>669</v>
      </c>
      <c r="U3654" s="412" t="s">
        <v>3205</v>
      </c>
      <c r="V3654" s="414">
        <v>38.25</v>
      </c>
      <c r="W3654" s="413" t="s">
        <v>669</v>
      </c>
      <c r="X3654" s="414">
        <v>501.66</v>
      </c>
      <c r="AB3654" s="440">
        <v>2.4300000000000002</v>
      </c>
      <c r="AC3654" s="414" t="s">
        <v>184</v>
      </c>
      <c r="AD3654" s="412" t="s">
        <v>2443</v>
      </c>
      <c r="AE3654" s="414">
        <f>V3655</f>
        <v>362.5</v>
      </c>
      <c r="AF3654" s="414" t="s">
        <v>184</v>
      </c>
      <c r="AG3654" s="414">
        <f t="shared" si="362"/>
        <v>880.88</v>
      </c>
    </row>
    <row r="3655" spans="6:33" ht="24" customHeight="1">
      <c r="H3655" s="415" t="s">
        <v>2315</v>
      </c>
      <c r="J3655" s="414"/>
      <c r="S3655" s="440">
        <v>1.52</v>
      </c>
      <c r="T3655" s="414" t="s">
        <v>184</v>
      </c>
      <c r="U3655" s="412" t="s">
        <v>2443</v>
      </c>
      <c r="V3655" s="414">
        <v>362.5</v>
      </c>
      <c r="W3655" s="413" t="s">
        <v>184</v>
      </c>
      <c r="X3655" s="414">
        <f t="shared" ref="X3655:X3664" si="363">V3655*S3655</f>
        <v>551</v>
      </c>
      <c r="AB3655" s="440">
        <v>4.8499999999999996</v>
      </c>
      <c r="AC3655" s="414" t="s">
        <v>184</v>
      </c>
      <c r="AD3655" s="412" t="s">
        <v>2444</v>
      </c>
      <c r="AE3655" s="414">
        <f>V3656</f>
        <v>695</v>
      </c>
      <c r="AF3655" s="414" t="s">
        <v>619</v>
      </c>
      <c r="AG3655" s="414">
        <f t="shared" si="362"/>
        <v>3370.75</v>
      </c>
    </row>
    <row r="3656" spans="6:33" ht="24" customHeight="1">
      <c r="H3656" s="415" t="s">
        <v>124</v>
      </c>
      <c r="J3656" s="414"/>
      <c r="S3656" s="440">
        <v>1.52</v>
      </c>
      <c r="T3656" s="414" t="s">
        <v>184</v>
      </c>
      <c r="U3656" s="412" t="s">
        <v>2444</v>
      </c>
      <c r="V3656" s="414">
        <v>695</v>
      </c>
      <c r="W3656" s="413" t="s">
        <v>619</v>
      </c>
      <c r="X3656" s="414">
        <f t="shared" si="363"/>
        <v>1056.4000000000001</v>
      </c>
      <c r="AB3656" s="414">
        <v>144</v>
      </c>
      <c r="AC3656" s="414" t="s">
        <v>1524</v>
      </c>
      <c r="AD3656" s="414" t="s">
        <v>3206</v>
      </c>
      <c r="AE3656" s="414">
        <v>2.41</v>
      </c>
      <c r="AF3656" s="412" t="s">
        <v>1130</v>
      </c>
      <c r="AG3656" s="414">
        <f>AE3656*AB3656</f>
        <v>347.04</v>
      </c>
    </row>
    <row r="3657" spans="6:33" ht="24" customHeight="1">
      <c r="H3657" s="418" t="s">
        <v>1288</v>
      </c>
      <c r="J3657" s="414"/>
      <c r="S3657" s="440">
        <v>3</v>
      </c>
      <c r="T3657" s="414" t="s">
        <v>181</v>
      </c>
      <c r="U3657" s="412" t="s">
        <v>3207</v>
      </c>
      <c r="V3657" s="414">
        <v>11.9</v>
      </c>
      <c r="W3657" s="413" t="s">
        <v>181</v>
      </c>
      <c r="X3657" s="414">
        <f t="shared" si="363"/>
        <v>35.700000000000003</v>
      </c>
      <c r="AB3657" s="414">
        <v>12</v>
      </c>
      <c r="AC3657" s="414" t="s">
        <v>1524</v>
      </c>
      <c r="AD3657" s="414" t="s">
        <v>3208</v>
      </c>
      <c r="AE3657" s="414">
        <v>4.88</v>
      </c>
      <c r="AF3657" s="412" t="s">
        <v>1130</v>
      </c>
      <c r="AG3657" s="414">
        <f>AE3657*AB3657</f>
        <v>58.56</v>
      </c>
    </row>
    <row r="3658" spans="6:33" ht="24" customHeight="1">
      <c r="G3658" s="412" t="s">
        <v>125</v>
      </c>
      <c r="H3658" s="499" t="s">
        <v>2316</v>
      </c>
      <c r="J3658" s="414"/>
      <c r="S3658" s="440">
        <v>4.2</v>
      </c>
      <c r="T3658" s="414" t="s">
        <v>1134</v>
      </c>
      <c r="U3658" s="412" t="s">
        <v>3035</v>
      </c>
      <c r="V3658" s="414">
        <v>7.95</v>
      </c>
      <c r="W3658" s="413" t="s">
        <v>619</v>
      </c>
      <c r="X3658" s="414">
        <f t="shared" si="363"/>
        <v>33.39</v>
      </c>
      <c r="AB3658" s="414">
        <v>12</v>
      </c>
      <c r="AC3658" s="414" t="s">
        <v>1524</v>
      </c>
      <c r="AD3658" s="414" t="s">
        <v>3103</v>
      </c>
      <c r="AE3658" s="414">
        <v>1.08</v>
      </c>
      <c r="AF3658" s="412" t="s">
        <v>1130</v>
      </c>
      <c r="AG3658" s="414">
        <f>AE3658*AB3658</f>
        <v>12.96</v>
      </c>
    </row>
    <row r="3659" spans="6:33" ht="24" customHeight="1">
      <c r="H3659" s="418" t="s">
        <v>1288</v>
      </c>
      <c r="J3659" s="414"/>
      <c r="S3659" s="440">
        <v>3.15</v>
      </c>
      <c r="T3659" s="414" t="s">
        <v>1861</v>
      </c>
      <c r="U3659" s="412" t="s">
        <v>2363</v>
      </c>
      <c r="V3659" s="414">
        <f>X3675</f>
        <v>1998</v>
      </c>
      <c r="W3659" s="413" t="s">
        <v>1861</v>
      </c>
      <c r="X3659" s="414">
        <f t="shared" si="363"/>
        <v>6293.7</v>
      </c>
      <c r="AB3659" s="440">
        <v>2</v>
      </c>
      <c r="AC3659" s="414" t="s">
        <v>181</v>
      </c>
      <c r="AD3659" s="412" t="s">
        <v>2521</v>
      </c>
      <c r="AE3659" s="414">
        <f>V3657</f>
        <v>11.9</v>
      </c>
      <c r="AF3659" s="414" t="s">
        <v>181</v>
      </c>
      <c r="AG3659" s="414">
        <f t="shared" si="362"/>
        <v>23.8</v>
      </c>
    </row>
    <row r="3660" spans="6:33" ht="24" customHeight="1">
      <c r="F3660" s="414">
        <v>18.899999999999999</v>
      </c>
      <c r="G3660" s="412" t="s">
        <v>702</v>
      </c>
      <c r="H3660" s="412" t="s">
        <v>493</v>
      </c>
      <c r="I3660" s="414">
        <f>P431</f>
        <v>224.1</v>
      </c>
      <c r="J3660" s="412" t="s">
        <v>702</v>
      </c>
      <c r="K3660" s="414">
        <f>(F3660*I3660)</f>
        <v>4235.49</v>
      </c>
      <c r="S3660" s="417">
        <v>1</v>
      </c>
      <c r="T3660" s="417" t="s">
        <v>1524</v>
      </c>
      <c r="U3660" s="417" t="s">
        <v>3036</v>
      </c>
      <c r="V3660" s="417">
        <v>49.55</v>
      </c>
      <c r="W3660" s="420" t="s">
        <v>1134</v>
      </c>
      <c r="X3660" s="417">
        <f t="shared" si="363"/>
        <v>49.55</v>
      </c>
      <c r="AB3660" s="440">
        <v>6.6150000000000002</v>
      </c>
      <c r="AC3660" s="414" t="s">
        <v>1861</v>
      </c>
      <c r="AD3660" s="412" t="s">
        <v>2363</v>
      </c>
      <c r="AE3660" s="414">
        <f>V3659</f>
        <v>1998</v>
      </c>
      <c r="AF3660" s="414" t="s">
        <v>1861</v>
      </c>
      <c r="AG3660" s="414">
        <f t="shared" si="362"/>
        <v>13216.77</v>
      </c>
    </row>
    <row r="3661" spans="6:33" ht="24" customHeight="1">
      <c r="F3661" s="414">
        <v>18.63</v>
      </c>
      <c r="G3661" s="412" t="s">
        <v>702</v>
      </c>
      <c r="H3661" s="412" t="s">
        <v>1755</v>
      </c>
      <c r="I3661" s="414">
        <f>P432</f>
        <v>38.950000000000003</v>
      </c>
      <c r="J3661" s="412" t="s">
        <v>702</v>
      </c>
      <c r="K3661" s="414">
        <f>(F3661*I3661)</f>
        <v>725.64</v>
      </c>
      <c r="S3661" s="417">
        <v>1</v>
      </c>
      <c r="T3661" s="417" t="s">
        <v>1524</v>
      </c>
      <c r="U3661" s="417" t="s">
        <v>2522</v>
      </c>
      <c r="V3661" s="417">
        <v>1008</v>
      </c>
      <c r="W3661" s="420" t="s">
        <v>1134</v>
      </c>
      <c r="X3661" s="417">
        <f t="shared" si="363"/>
        <v>1008</v>
      </c>
      <c r="AB3661" s="440"/>
      <c r="AD3661" s="412" t="s">
        <v>2447</v>
      </c>
      <c r="AG3661" s="417">
        <f>SUM(AG3652:AG3660)</f>
        <v>31865.62</v>
      </c>
    </row>
    <row r="3662" spans="6:33" ht="40.5" customHeight="1">
      <c r="F3662" s="414">
        <v>30</v>
      </c>
      <c r="G3662" s="412" t="s">
        <v>1443</v>
      </c>
      <c r="H3662" s="435" t="s">
        <v>3220</v>
      </c>
      <c r="I3662" s="417">
        <v>288</v>
      </c>
      <c r="J3662" s="412" t="s">
        <v>1443</v>
      </c>
      <c r="K3662" s="414">
        <f>(F3662*I3662)</f>
        <v>8640</v>
      </c>
      <c r="S3662" s="414">
        <v>45</v>
      </c>
      <c r="T3662" s="414" t="s">
        <v>1524</v>
      </c>
      <c r="U3662" s="414" t="s">
        <v>3037</v>
      </c>
      <c r="V3662" s="414">
        <v>2.21</v>
      </c>
      <c r="W3662" s="413" t="s">
        <v>1130</v>
      </c>
      <c r="X3662" s="414">
        <f t="shared" si="363"/>
        <v>99.45</v>
      </c>
      <c r="AB3662" s="440"/>
      <c r="AD3662" s="412" t="s">
        <v>447</v>
      </c>
      <c r="AF3662" s="420"/>
      <c r="AG3662" s="417">
        <f>AG3661/AB3660</f>
        <v>4817.18</v>
      </c>
    </row>
    <row r="3663" spans="6:33" ht="24" customHeight="1">
      <c r="J3663" s="414"/>
      <c r="S3663" s="414">
        <v>2</v>
      </c>
      <c r="T3663" s="414" t="s">
        <v>1524</v>
      </c>
      <c r="U3663" s="414" t="s">
        <v>3256</v>
      </c>
      <c r="V3663" s="414">
        <v>130.5</v>
      </c>
      <c r="W3663" s="420" t="s">
        <v>1134</v>
      </c>
      <c r="X3663" s="414">
        <f t="shared" si="363"/>
        <v>261</v>
      </c>
      <c r="AD3663" s="423"/>
    </row>
    <row r="3664" spans="6:33" ht="24" customHeight="1">
      <c r="F3664" s="414">
        <v>30</v>
      </c>
      <c r="G3664" s="412" t="s">
        <v>1443</v>
      </c>
      <c r="H3664" s="412" t="s">
        <v>1756</v>
      </c>
      <c r="I3664" s="414">
        <v>19.100000000000001</v>
      </c>
      <c r="J3664" s="412" t="s">
        <v>1443</v>
      </c>
      <c r="K3664" s="414">
        <f>(F3664*I3664)</f>
        <v>573</v>
      </c>
      <c r="S3664" s="414">
        <v>2</v>
      </c>
      <c r="T3664" s="414" t="s">
        <v>1524</v>
      </c>
      <c r="U3664" s="414" t="s">
        <v>3257</v>
      </c>
      <c r="V3664" s="414">
        <v>64.8</v>
      </c>
      <c r="W3664" s="420" t="s">
        <v>1134</v>
      </c>
      <c r="X3664" s="414">
        <f t="shared" si="363"/>
        <v>129.6</v>
      </c>
      <c r="AB3664" s="414">
        <v>1</v>
      </c>
      <c r="AC3664" s="414" t="s">
        <v>701</v>
      </c>
      <c r="AD3664" s="412" t="s">
        <v>4337</v>
      </c>
      <c r="AE3664" s="414">
        <f>V3670</f>
        <v>881</v>
      </c>
      <c r="AF3664" s="412" t="s">
        <v>701</v>
      </c>
      <c r="AG3664" s="414">
        <f>AE3664*AB3664</f>
        <v>881</v>
      </c>
    </row>
    <row r="3665" spans="6:33" ht="24" customHeight="1">
      <c r="H3665" s="412" t="s">
        <v>1757</v>
      </c>
      <c r="J3665" s="414"/>
      <c r="S3665" s="414"/>
      <c r="W3665" s="413"/>
      <c r="X3665" s="416"/>
      <c r="AB3665" s="414">
        <v>1</v>
      </c>
      <c r="AC3665" s="414" t="s">
        <v>701</v>
      </c>
      <c r="AD3665" s="412" t="s">
        <v>4338</v>
      </c>
      <c r="AE3665" s="414">
        <f>V3671</f>
        <v>651</v>
      </c>
      <c r="AF3665" s="412" t="s">
        <v>701</v>
      </c>
      <c r="AG3665" s="414">
        <f>AE3665*AB3665</f>
        <v>651</v>
      </c>
    </row>
    <row r="3666" spans="6:33" ht="24" customHeight="1">
      <c r="H3666" s="412" t="s">
        <v>1758</v>
      </c>
      <c r="J3666" s="414"/>
      <c r="S3666" s="440"/>
      <c r="U3666" s="412"/>
      <c r="W3666" s="413"/>
      <c r="AB3666" s="414">
        <v>0.5</v>
      </c>
      <c r="AC3666" s="414" t="s">
        <v>701</v>
      </c>
      <c r="AD3666" s="412" t="s">
        <v>4339</v>
      </c>
      <c r="AE3666" s="414">
        <f>V3672</f>
        <v>932</v>
      </c>
      <c r="AF3666" s="412" t="s">
        <v>701</v>
      </c>
      <c r="AG3666" s="414">
        <f>AE3666*AB3666</f>
        <v>466</v>
      </c>
    </row>
    <row r="3667" spans="6:33" ht="24" customHeight="1">
      <c r="H3667" s="412" t="s">
        <v>1759</v>
      </c>
      <c r="J3667" s="414"/>
      <c r="S3667" s="440"/>
      <c r="U3667" s="412" t="s">
        <v>2513</v>
      </c>
      <c r="W3667" s="413"/>
      <c r="X3667" s="414">
        <f>SUM(X3653:X3666)</f>
        <v>19278.7</v>
      </c>
      <c r="AC3667" s="414" t="s">
        <v>358</v>
      </c>
      <c r="AD3667" s="412"/>
      <c r="AE3667" s="414">
        <f>V3673</f>
        <v>0</v>
      </c>
      <c r="AF3667" s="412" t="s">
        <v>358</v>
      </c>
    </row>
    <row r="3668" spans="6:33" ht="24" customHeight="1">
      <c r="H3668" s="412" t="s">
        <v>3221</v>
      </c>
      <c r="J3668" s="414"/>
      <c r="S3668" s="440"/>
      <c r="U3668" s="412" t="s">
        <v>447</v>
      </c>
      <c r="W3668" s="420"/>
      <c r="X3668" s="417">
        <f>X3667/3.15</f>
        <v>6120.22</v>
      </c>
      <c r="Y3668" s="417" t="s">
        <v>1134</v>
      </c>
      <c r="AF3668" s="412"/>
      <c r="AG3668" s="418" t="s">
        <v>1288</v>
      </c>
    </row>
    <row r="3669" spans="6:33" ht="24" customHeight="1">
      <c r="H3669" s="412"/>
      <c r="J3669" s="414"/>
      <c r="S3669" s="414"/>
      <c r="U3669" s="423"/>
      <c r="W3669" s="413"/>
      <c r="AD3669" s="412" t="s">
        <v>2372</v>
      </c>
      <c r="AF3669" s="412"/>
      <c r="AG3669" s="417">
        <f>SUM(AG3664:AG3668)</f>
        <v>1998</v>
      </c>
    </row>
    <row r="3670" spans="6:33" ht="24.75" customHeight="1">
      <c r="F3670" s="414">
        <v>5</v>
      </c>
      <c r="G3670" s="412" t="s">
        <v>619</v>
      </c>
      <c r="H3670" s="426" t="s">
        <v>3059</v>
      </c>
      <c r="I3670" s="414">
        <v>44.9</v>
      </c>
      <c r="J3670" s="412" t="s">
        <v>619</v>
      </c>
      <c r="K3670" s="414">
        <f>(F3670*I3670)</f>
        <v>224.5</v>
      </c>
      <c r="L3670" s="417">
        <v>35.6</v>
      </c>
      <c r="S3670" s="414">
        <v>1</v>
      </c>
      <c r="T3670" s="414" t="s">
        <v>701</v>
      </c>
      <c r="U3670" s="412" t="s">
        <v>4337</v>
      </c>
      <c r="V3670" s="414">
        <f>AE17</f>
        <v>881</v>
      </c>
      <c r="W3670" s="413" t="s">
        <v>701</v>
      </c>
      <c r="X3670" s="414">
        <f>V3670*S3670</f>
        <v>881</v>
      </c>
      <c r="AF3670" s="412"/>
      <c r="AG3670" s="418" t="s">
        <v>1288</v>
      </c>
    </row>
    <row r="3671" spans="6:33" ht="30" customHeight="1">
      <c r="F3671" s="414">
        <v>1</v>
      </c>
      <c r="G3671" s="412" t="s">
        <v>358</v>
      </c>
      <c r="H3671" s="412" t="s">
        <v>1373</v>
      </c>
      <c r="I3671" s="414">
        <v>12.1</v>
      </c>
      <c r="J3671" s="412" t="s">
        <v>358</v>
      </c>
      <c r="K3671" s="414">
        <f>(F3671*I3671)</f>
        <v>12.1</v>
      </c>
      <c r="S3671" s="414">
        <v>1</v>
      </c>
      <c r="T3671" s="414" t="s">
        <v>701</v>
      </c>
      <c r="U3671" s="412" t="s">
        <v>4338</v>
      </c>
      <c r="V3671" s="414">
        <f>AE11</f>
        <v>651</v>
      </c>
      <c r="W3671" s="413" t="s">
        <v>701</v>
      </c>
      <c r="X3671" s="414">
        <f>V3671*S3671</f>
        <v>651</v>
      </c>
    </row>
    <row r="3672" spans="6:33" ht="24" customHeight="1">
      <c r="G3672" s="412" t="s">
        <v>358</v>
      </c>
      <c r="H3672" s="412" t="s">
        <v>359</v>
      </c>
      <c r="J3672" s="412" t="s">
        <v>358</v>
      </c>
      <c r="K3672" s="414">
        <v>17.100000000000001</v>
      </c>
      <c r="S3672" s="414">
        <v>0.5</v>
      </c>
      <c r="T3672" s="414" t="s">
        <v>701</v>
      </c>
      <c r="U3672" s="412" t="s">
        <v>4339</v>
      </c>
      <c r="V3672" s="414">
        <f>AE20</f>
        <v>932</v>
      </c>
      <c r="W3672" s="413" t="s">
        <v>701</v>
      </c>
      <c r="X3672" s="414">
        <f>V3672*S3672</f>
        <v>466</v>
      </c>
    </row>
    <row r="3673" spans="6:33" ht="24" customHeight="1">
      <c r="J3673" s="414"/>
      <c r="S3673" s="414"/>
      <c r="T3673" s="414" t="s">
        <v>358</v>
      </c>
      <c r="U3673" s="412"/>
      <c r="W3673" s="413" t="s">
        <v>358</v>
      </c>
    </row>
    <row r="3674" spans="6:33" ht="24" customHeight="1">
      <c r="J3674" s="414"/>
      <c r="K3674" s="418" t="s">
        <v>1288</v>
      </c>
      <c r="S3674" s="414"/>
      <c r="W3674" s="413"/>
      <c r="X3674" s="418" t="s">
        <v>1288</v>
      </c>
    </row>
    <row r="3675" spans="6:33" ht="24" customHeight="1">
      <c r="H3675" s="412" t="s">
        <v>1252</v>
      </c>
      <c r="J3675" s="414"/>
      <c r="K3675" s="414">
        <f>SUM(K3660:K3672)</f>
        <v>14427.83</v>
      </c>
      <c r="S3675" s="414"/>
      <c r="U3675" s="412" t="s">
        <v>2372</v>
      </c>
      <c r="W3675" s="413"/>
      <c r="X3675" s="417">
        <f>SUM(X3670:X3674)</f>
        <v>1998</v>
      </c>
    </row>
    <row r="3676" spans="6:33" ht="24" customHeight="1">
      <c r="J3676" s="414"/>
      <c r="K3676" s="418" t="s">
        <v>1288</v>
      </c>
      <c r="S3676" s="414"/>
      <c r="W3676" s="413"/>
      <c r="X3676" s="418" t="s">
        <v>1288</v>
      </c>
    </row>
    <row r="3677" spans="6:33" ht="24" customHeight="1">
      <c r="H3677" s="412" t="s">
        <v>1253</v>
      </c>
      <c r="J3677" s="414"/>
      <c r="K3677" s="417">
        <f>(K3675/30)</f>
        <v>480.93</v>
      </c>
      <c r="S3677" s="414"/>
      <c r="W3677" s="413"/>
    </row>
    <row r="3678" spans="6:33" ht="24" customHeight="1">
      <c r="J3678" s="414"/>
      <c r="K3678" s="418" t="s">
        <v>1288</v>
      </c>
      <c r="S3678" s="414"/>
      <c r="W3678" s="413"/>
    </row>
    <row r="3679" spans="6:33" ht="24" customHeight="1">
      <c r="G3679" s="412" t="s">
        <v>1261</v>
      </c>
      <c r="H3679" s="499" t="s">
        <v>2317</v>
      </c>
      <c r="J3679" s="414"/>
      <c r="S3679" s="428"/>
      <c r="T3679" s="428"/>
      <c r="U3679" s="428"/>
      <c r="V3679" s="428"/>
      <c r="W3679" s="500"/>
      <c r="X3679" s="428"/>
    </row>
    <row r="3680" spans="6:33" ht="24" customHeight="1">
      <c r="H3680" s="418" t="s">
        <v>1288</v>
      </c>
      <c r="J3680" s="414"/>
      <c r="S3680" s="1231" t="s">
        <v>2519</v>
      </c>
      <c r="T3680" s="1231"/>
      <c r="U3680" s="1231"/>
      <c r="V3680" s="1231"/>
      <c r="W3680" s="420"/>
      <c r="X3680" s="420"/>
    </row>
    <row r="3681" spans="6:25" ht="24" customHeight="1">
      <c r="F3681" s="414">
        <f>F3660</f>
        <v>18.899999999999999</v>
      </c>
      <c r="G3681" s="412" t="s">
        <v>702</v>
      </c>
      <c r="H3681" s="412" t="str">
        <f>H3660</f>
        <v>E.W EXCLUDING REFILLING</v>
      </c>
      <c r="I3681" s="414">
        <f>I3660</f>
        <v>224.1</v>
      </c>
      <c r="J3681" s="412" t="s">
        <v>702</v>
      </c>
      <c r="K3681" s="414">
        <f>(F3681*I3681)</f>
        <v>4235.49</v>
      </c>
      <c r="S3681" s="440"/>
      <c r="U3681" s="420"/>
      <c r="W3681" s="413"/>
    </row>
    <row r="3682" spans="6:25" ht="24" customHeight="1">
      <c r="F3682" s="414">
        <v>18.3</v>
      </c>
      <c r="G3682" s="412" t="s">
        <v>702</v>
      </c>
      <c r="H3682" s="412" t="str">
        <f>H3661</f>
        <v>REFILLING CHARGE</v>
      </c>
      <c r="I3682" s="414">
        <f>I3661</f>
        <v>38.950000000000003</v>
      </c>
      <c r="J3682" s="412" t="s">
        <v>702</v>
      </c>
      <c r="K3682" s="414">
        <f>(F3682*I3682)</f>
        <v>712.79</v>
      </c>
      <c r="S3682" s="440"/>
      <c r="U3682" s="412"/>
      <c r="W3682" s="413"/>
    </row>
    <row r="3683" spans="6:25" ht="33.75" customHeight="1">
      <c r="F3683" s="414">
        <f>F3662</f>
        <v>30</v>
      </c>
      <c r="G3683" s="412" t="s">
        <v>1443</v>
      </c>
      <c r="H3683" s="435" t="s">
        <v>3220</v>
      </c>
      <c r="I3683" s="417">
        <v>604.5</v>
      </c>
      <c r="J3683" s="412" t="s">
        <v>1443</v>
      </c>
      <c r="K3683" s="414">
        <f>(F3683*I3683)</f>
        <v>18135</v>
      </c>
      <c r="S3683" s="440">
        <v>29.06</v>
      </c>
      <c r="T3683" s="414" t="s">
        <v>734</v>
      </c>
      <c r="U3683" s="426" t="s">
        <v>2520</v>
      </c>
      <c r="V3683" s="414">
        <f>V3653</f>
        <v>325</v>
      </c>
      <c r="W3683" s="413" t="s">
        <v>734</v>
      </c>
      <c r="X3683" s="414">
        <f>V3683*S3683</f>
        <v>9444.5</v>
      </c>
    </row>
    <row r="3684" spans="6:25" ht="24" customHeight="1">
      <c r="H3684" s="412"/>
      <c r="J3684" s="414"/>
      <c r="S3684" s="494">
        <v>9.24</v>
      </c>
      <c r="T3684" s="414" t="s">
        <v>669</v>
      </c>
      <c r="U3684" s="412" t="s">
        <v>2445</v>
      </c>
      <c r="V3684" s="414">
        <f t="shared" ref="V3684:V3694" si="364">V3654</f>
        <v>38.25</v>
      </c>
      <c r="W3684" s="413" t="s">
        <v>669</v>
      </c>
      <c r="X3684" s="414">
        <f t="shared" ref="X3684:X3694" si="365">V3684*S3684</f>
        <v>353.43</v>
      </c>
    </row>
    <row r="3685" spans="6:25" ht="24" customHeight="1">
      <c r="F3685" s="414">
        <f>F3664</f>
        <v>30</v>
      </c>
      <c r="H3685" s="412" t="str">
        <f>H3664</f>
        <v>CONVEYING,LOWERING  ANDLAYING</v>
      </c>
      <c r="I3685" s="414">
        <v>27</v>
      </c>
      <c r="J3685" s="412" t="s">
        <v>1443</v>
      </c>
      <c r="K3685" s="414">
        <f>(F3685*I3685)</f>
        <v>810</v>
      </c>
      <c r="S3685" s="440">
        <v>1.49</v>
      </c>
      <c r="T3685" s="414" t="s">
        <v>184</v>
      </c>
      <c r="U3685" s="412" t="s">
        <v>2443</v>
      </c>
      <c r="V3685" s="414">
        <f t="shared" si="364"/>
        <v>362.5</v>
      </c>
      <c r="W3685" s="413" t="s">
        <v>184</v>
      </c>
      <c r="X3685" s="414">
        <f t="shared" si="365"/>
        <v>540.13</v>
      </c>
    </row>
    <row r="3686" spans="6:25" ht="24" customHeight="1">
      <c r="H3686" s="412" t="str">
        <f>H3665</f>
        <v>TO PROPER GRADEAND</v>
      </c>
      <c r="J3686" s="414"/>
      <c r="S3686" s="440">
        <v>0.75</v>
      </c>
      <c r="T3686" s="414" t="s">
        <v>184</v>
      </c>
      <c r="U3686" s="412" t="s">
        <v>2444</v>
      </c>
      <c r="V3686" s="414">
        <f t="shared" si="364"/>
        <v>695</v>
      </c>
      <c r="W3686" s="413" t="s">
        <v>619</v>
      </c>
      <c r="X3686" s="414">
        <f t="shared" si="365"/>
        <v>521.25</v>
      </c>
    </row>
    <row r="3687" spans="6:25" ht="24" customHeight="1">
      <c r="H3687" s="412" t="str">
        <f>H3666</f>
        <v>ALIGNMENT,JOINTING</v>
      </c>
      <c r="J3687" s="414"/>
      <c r="S3687" s="440">
        <v>2</v>
      </c>
      <c r="T3687" s="414" t="s">
        <v>181</v>
      </c>
      <c r="U3687" s="412" t="s">
        <v>2521</v>
      </c>
      <c r="V3687" s="414">
        <f t="shared" si="364"/>
        <v>11.9</v>
      </c>
      <c r="W3687" s="413" t="s">
        <v>181</v>
      </c>
      <c r="X3687" s="414">
        <f t="shared" si="365"/>
        <v>23.8</v>
      </c>
    </row>
    <row r="3688" spans="6:25" ht="24" customHeight="1">
      <c r="G3688" s="412"/>
      <c r="H3688" s="412" t="str">
        <f>H3667</f>
        <v>ETC BUT EXCLUDING  COST OF</v>
      </c>
      <c r="S3688" s="440">
        <v>7.08</v>
      </c>
      <c r="T3688" s="414" t="s">
        <v>1134</v>
      </c>
      <c r="U3688" s="412" t="s">
        <v>2507</v>
      </c>
      <c r="V3688" s="414">
        <f t="shared" si="364"/>
        <v>7.95</v>
      </c>
      <c r="W3688" s="413" t="s">
        <v>619</v>
      </c>
      <c r="X3688" s="414">
        <f t="shared" si="365"/>
        <v>56.29</v>
      </c>
    </row>
    <row r="3689" spans="6:25" ht="24" customHeight="1">
      <c r="G3689" s="412"/>
      <c r="H3689" s="412" t="s">
        <v>3221</v>
      </c>
      <c r="S3689" s="440">
        <v>2.1</v>
      </c>
      <c r="T3689" s="414" t="s">
        <v>1861</v>
      </c>
      <c r="U3689" s="412" t="s">
        <v>2363</v>
      </c>
      <c r="V3689" s="414">
        <f t="shared" si="364"/>
        <v>1998</v>
      </c>
      <c r="W3689" s="413" t="s">
        <v>1861</v>
      </c>
      <c r="X3689" s="414">
        <f t="shared" si="365"/>
        <v>4195.8</v>
      </c>
    </row>
    <row r="3690" spans="6:25" ht="24" customHeight="1">
      <c r="G3690" s="412"/>
      <c r="H3690" s="412"/>
      <c r="S3690" s="417">
        <v>1</v>
      </c>
      <c r="T3690" s="417" t="s">
        <v>1524</v>
      </c>
      <c r="U3690" s="417" t="s">
        <v>2508</v>
      </c>
      <c r="V3690" s="414">
        <f t="shared" si="364"/>
        <v>49.55</v>
      </c>
      <c r="W3690" s="420" t="s">
        <v>1134</v>
      </c>
      <c r="X3690" s="414">
        <f t="shared" si="365"/>
        <v>49.55</v>
      </c>
    </row>
    <row r="3691" spans="6:25" ht="24" customHeight="1">
      <c r="F3691" s="414">
        <f>F3670</f>
        <v>5</v>
      </c>
      <c r="G3691" s="412" t="s">
        <v>358</v>
      </c>
      <c r="H3691" s="412" t="str">
        <f>H3670</f>
        <v>CUTTING CHARGES ( P-32/141)</v>
      </c>
      <c r="I3691" s="414">
        <f>I3670</f>
        <v>44.9</v>
      </c>
      <c r="J3691" s="412" t="s">
        <v>619</v>
      </c>
      <c r="K3691" s="414">
        <f>(F3691*I3691)</f>
        <v>224.5</v>
      </c>
      <c r="S3691" s="417">
        <v>1</v>
      </c>
      <c r="T3691" s="417" t="s">
        <v>1524</v>
      </c>
      <c r="U3691" s="417" t="s">
        <v>2522</v>
      </c>
      <c r="V3691" s="414">
        <f t="shared" si="364"/>
        <v>1008</v>
      </c>
      <c r="W3691" s="420" t="s">
        <v>1134</v>
      </c>
      <c r="X3691" s="414">
        <f t="shared" si="365"/>
        <v>1008</v>
      </c>
    </row>
    <row r="3692" spans="6:25" ht="24" customHeight="1">
      <c r="F3692" s="414">
        <f>F3671</f>
        <v>1</v>
      </c>
      <c r="H3692" s="412" t="str">
        <f>H3671</f>
        <v>COST OF JOINTING  MATERIALS</v>
      </c>
      <c r="I3692" s="414">
        <f>I3671</f>
        <v>12.1</v>
      </c>
      <c r="J3692" s="412" t="s">
        <v>358</v>
      </c>
      <c r="K3692" s="414">
        <f>(F3692*I3692)</f>
        <v>12.1</v>
      </c>
      <c r="S3692" s="414">
        <v>6</v>
      </c>
      <c r="T3692" s="414" t="s">
        <v>1524</v>
      </c>
      <c r="U3692" s="414" t="s">
        <v>2516</v>
      </c>
      <c r="V3692" s="414">
        <f t="shared" si="364"/>
        <v>2.21</v>
      </c>
      <c r="W3692" s="413" t="s">
        <v>1130</v>
      </c>
      <c r="X3692" s="414">
        <f t="shared" si="365"/>
        <v>13.26</v>
      </c>
    </row>
    <row r="3693" spans="6:25" ht="24" customHeight="1">
      <c r="H3693" s="412" t="str">
        <f>H3672</f>
        <v>SUNDRIES</v>
      </c>
      <c r="J3693" s="412" t="s">
        <v>358</v>
      </c>
      <c r="K3693" s="414">
        <v>24.3</v>
      </c>
      <c r="S3693" s="414">
        <v>2</v>
      </c>
      <c r="T3693" s="414" t="s">
        <v>1524</v>
      </c>
      <c r="U3693" s="414" t="s">
        <v>2523</v>
      </c>
      <c r="V3693" s="414">
        <f t="shared" si="364"/>
        <v>130.5</v>
      </c>
      <c r="W3693" s="420" t="s">
        <v>1134</v>
      </c>
      <c r="X3693" s="414">
        <f t="shared" si="365"/>
        <v>261</v>
      </c>
    </row>
    <row r="3694" spans="6:25" ht="24" customHeight="1">
      <c r="J3694" s="414"/>
      <c r="S3694" s="414">
        <v>2</v>
      </c>
      <c r="T3694" s="414" t="s">
        <v>1524</v>
      </c>
      <c r="U3694" s="414" t="s">
        <v>2512</v>
      </c>
      <c r="V3694" s="414">
        <f t="shared" si="364"/>
        <v>64.8</v>
      </c>
      <c r="W3694" s="420" t="s">
        <v>1134</v>
      </c>
      <c r="X3694" s="414">
        <f t="shared" si="365"/>
        <v>129.6</v>
      </c>
    </row>
    <row r="3695" spans="6:25" ht="24" customHeight="1">
      <c r="H3695" s="412" t="s">
        <v>1252</v>
      </c>
      <c r="J3695" s="414"/>
      <c r="K3695" s="414">
        <f>SUM(K3681:K3694)</f>
        <v>24154.18</v>
      </c>
      <c r="S3695" s="414"/>
      <c r="U3695" s="412" t="s">
        <v>2524</v>
      </c>
      <c r="W3695" s="413"/>
      <c r="X3695" s="414">
        <f>SUM(X3683:X3694)</f>
        <v>16596.61</v>
      </c>
    </row>
    <row r="3696" spans="6:25" ht="24" customHeight="1">
      <c r="J3696" s="414"/>
      <c r="K3696" s="418" t="s">
        <v>1288</v>
      </c>
      <c r="S3696" s="428"/>
      <c r="T3696" s="428"/>
      <c r="U3696" s="412" t="s">
        <v>447</v>
      </c>
      <c r="W3696" s="420"/>
      <c r="X3696" s="417">
        <f>X3695/2.1</f>
        <v>7903.15</v>
      </c>
      <c r="Y3696" s="417"/>
    </row>
    <row r="3697" spans="6:26" ht="24" customHeight="1">
      <c r="H3697" s="412" t="s">
        <v>1253</v>
      </c>
      <c r="J3697" s="414"/>
      <c r="K3697" s="417">
        <f>(K3695/30)</f>
        <v>805.14</v>
      </c>
      <c r="S3697" s="428"/>
      <c r="T3697" s="428"/>
      <c r="U3697" s="428"/>
      <c r="V3697" s="428"/>
      <c r="W3697" s="500"/>
      <c r="X3697" s="428"/>
    </row>
    <row r="3698" spans="6:26" ht="23.45" customHeight="1">
      <c r="J3698" s="414"/>
      <c r="S3698" s="414"/>
      <c r="U3698" s="417" t="s">
        <v>2558</v>
      </c>
      <c r="W3698" s="413"/>
    </row>
    <row r="3699" spans="6:26" ht="24" hidden="1" customHeight="1">
      <c r="S3699" s="417"/>
      <c r="T3699" s="417"/>
      <c r="U3699" s="430" t="s">
        <v>4366</v>
      </c>
      <c r="V3699" s="430"/>
      <c r="W3699" s="501"/>
      <c r="X3699" s="430"/>
      <c r="Y3699" s="430"/>
      <c r="Z3699" s="430"/>
    </row>
    <row r="3700" spans="6:26" ht="240.75" hidden="1" customHeight="1">
      <c r="S3700" s="417"/>
      <c r="T3700" s="417"/>
      <c r="U3700" s="430"/>
      <c r="V3700" s="430"/>
      <c r="W3700" s="501"/>
      <c r="X3700" s="430"/>
      <c r="Y3700" s="430"/>
      <c r="Z3700" s="430"/>
    </row>
    <row r="3701" spans="6:26" ht="25.5" hidden="1" customHeight="1">
      <c r="F3701" s="428"/>
      <c r="G3701" s="428"/>
      <c r="H3701" s="428"/>
      <c r="I3701" s="428"/>
      <c r="J3701" s="428"/>
      <c r="K3701" s="428"/>
      <c r="L3701" s="428"/>
      <c r="M3701" s="428"/>
      <c r="N3701" s="428"/>
      <c r="S3701" s="440">
        <v>17.440000000000001</v>
      </c>
      <c r="T3701" s="414" t="s">
        <v>734</v>
      </c>
      <c r="U3701" s="426" t="s">
        <v>2624</v>
      </c>
      <c r="V3701" s="414">
        <f>V3683</f>
        <v>325</v>
      </c>
      <c r="W3701" s="413" t="s">
        <v>734</v>
      </c>
      <c r="X3701" s="414">
        <f>V3701*S3701</f>
        <v>5668</v>
      </c>
    </row>
    <row r="3702" spans="6:26" ht="24" customHeight="1">
      <c r="F3702" s="428"/>
      <c r="G3702" s="428"/>
      <c r="H3702" s="502" t="s">
        <v>2448</v>
      </c>
      <c r="I3702" s="502"/>
      <c r="J3702" s="502"/>
      <c r="K3702" s="502"/>
      <c r="L3702" s="428"/>
      <c r="M3702" s="428"/>
      <c r="N3702" s="428"/>
      <c r="S3702" s="494">
        <v>13.56</v>
      </c>
      <c r="T3702" s="414" t="s">
        <v>669</v>
      </c>
      <c r="U3702" s="412" t="s">
        <v>3038</v>
      </c>
      <c r="V3702" s="414">
        <v>38.25</v>
      </c>
      <c r="W3702" s="413" t="s">
        <v>669</v>
      </c>
      <c r="X3702" s="414">
        <v>501.66</v>
      </c>
    </row>
    <row r="3703" spans="6:26" ht="24" customHeight="1">
      <c r="F3703" s="428">
        <v>11</v>
      </c>
      <c r="G3703" s="414" t="s">
        <v>1861</v>
      </c>
      <c r="H3703" s="428" t="s">
        <v>3060</v>
      </c>
      <c r="I3703" s="414">
        <v>434</v>
      </c>
      <c r="J3703" s="414" t="s">
        <v>1861</v>
      </c>
      <c r="K3703" s="484">
        <f>I3703*F3703</f>
        <v>4774</v>
      </c>
      <c r="L3703" s="428"/>
      <c r="M3703" s="428"/>
      <c r="N3703" s="428"/>
      <c r="S3703" s="440">
        <v>2.62</v>
      </c>
      <c r="T3703" s="414" t="s">
        <v>184</v>
      </c>
      <c r="U3703" s="412" t="s">
        <v>3039</v>
      </c>
      <c r="V3703" s="414">
        <v>306.89999999999998</v>
      </c>
      <c r="W3703" s="413" t="s">
        <v>184</v>
      </c>
      <c r="X3703" s="414">
        <f>V3703*S3703</f>
        <v>804.08</v>
      </c>
    </row>
    <row r="3704" spans="6:26" ht="24" customHeight="1">
      <c r="F3704" s="428">
        <v>2.2000000000000002</v>
      </c>
      <c r="G3704" s="428" t="s">
        <v>1134</v>
      </c>
      <c r="H3704" s="428" t="s">
        <v>2464</v>
      </c>
      <c r="I3704" s="414">
        <f>AE17</f>
        <v>881</v>
      </c>
      <c r="J3704" s="428" t="s">
        <v>1134</v>
      </c>
      <c r="K3704" s="484">
        <f>I3704*F3704</f>
        <v>1938.2</v>
      </c>
      <c r="L3704" s="428"/>
      <c r="M3704" s="428"/>
      <c r="N3704" s="428"/>
      <c r="S3704" s="440">
        <v>8</v>
      </c>
      <c r="T3704" s="414" t="s">
        <v>1166</v>
      </c>
      <c r="U3704" s="412" t="s">
        <v>3040</v>
      </c>
      <c r="V3704" s="414">
        <v>14.6</v>
      </c>
      <c r="W3704" s="413" t="s">
        <v>1166</v>
      </c>
      <c r="X3704" s="414">
        <f>V3704*S3704</f>
        <v>116.8</v>
      </c>
    </row>
    <row r="3705" spans="6:26" ht="24" customHeight="1">
      <c r="F3705" s="428">
        <v>1.1000000000000001</v>
      </c>
      <c r="G3705" s="428" t="s">
        <v>1134</v>
      </c>
      <c r="H3705" s="428" t="s">
        <v>2449</v>
      </c>
      <c r="I3705" s="414">
        <f>AE19</f>
        <v>976</v>
      </c>
      <c r="J3705" s="428" t="s">
        <v>1134</v>
      </c>
      <c r="K3705" s="484">
        <f>I3705*F3705</f>
        <v>1073.5999999999999</v>
      </c>
      <c r="L3705" s="428"/>
      <c r="M3705" s="428"/>
      <c r="N3705" s="428"/>
      <c r="S3705" s="440">
        <v>3</v>
      </c>
      <c r="T3705" s="414" t="s">
        <v>1166</v>
      </c>
      <c r="U3705" s="412" t="s">
        <v>3041</v>
      </c>
      <c r="V3705" s="414">
        <v>71.099999999999994</v>
      </c>
      <c r="W3705" s="413" t="s">
        <v>181</v>
      </c>
      <c r="X3705" s="414">
        <f>V3705*S3705</f>
        <v>213.3</v>
      </c>
    </row>
    <row r="3706" spans="6:26" ht="24" customHeight="1">
      <c r="F3706" s="428">
        <v>3.2</v>
      </c>
      <c r="G3706" s="428" t="s">
        <v>1134</v>
      </c>
      <c r="H3706" s="412" t="s">
        <v>2450</v>
      </c>
      <c r="I3706" s="414">
        <f>AE11</f>
        <v>651</v>
      </c>
      <c r="J3706" s="428" t="s">
        <v>1134</v>
      </c>
      <c r="K3706" s="484">
        <f>I3706*F3706</f>
        <v>2083.1999999999998</v>
      </c>
      <c r="L3706" s="428"/>
      <c r="M3706" s="428"/>
      <c r="N3706" s="428"/>
      <c r="S3706" s="440">
        <v>4</v>
      </c>
      <c r="T3706" s="414" t="s">
        <v>1166</v>
      </c>
      <c r="U3706" s="412" t="s">
        <v>3042</v>
      </c>
      <c r="V3706" s="414">
        <v>35.299999999999997</v>
      </c>
      <c r="W3706" s="413" t="s">
        <v>619</v>
      </c>
      <c r="X3706" s="414">
        <f>V3706*S3706</f>
        <v>141.19999999999999</v>
      </c>
    </row>
    <row r="3707" spans="6:26" ht="24" customHeight="1">
      <c r="F3707" s="428"/>
      <c r="G3707" s="428" t="s">
        <v>2451</v>
      </c>
      <c r="H3707" s="428" t="s">
        <v>2452</v>
      </c>
      <c r="I3707" s="428" t="s">
        <v>2451</v>
      </c>
      <c r="J3707" s="428"/>
      <c r="K3707" s="428">
        <v>107.11</v>
      </c>
      <c r="L3707" s="428"/>
      <c r="M3707" s="428"/>
      <c r="N3707" s="428"/>
      <c r="S3707" s="440">
        <v>2.4300000000000002</v>
      </c>
      <c r="T3707" s="414" t="s">
        <v>1861</v>
      </c>
      <c r="U3707" s="412" t="s">
        <v>2363</v>
      </c>
      <c r="V3707" s="414">
        <f>X3675</f>
        <v>1998</v>
      </c>
      <c r="W3707" s="413" t="s">
        <v>1861</v>
      </c>
      <c r="X3707" s="414">
        <f>V3707*S3707</f>
        <v>4855.1400000000003</v>
      </c>
    </row>
    <row r="3708" spans="6:26" ht="24" customHeight="1">
      <c r="F3708" s="428"/>
      <c r="G3708" s="428"/>
      <c r="H3708" s="428" t="s">
        <v>2453</v>
      </c>
      <c r="I3708" s="428"/>
      <c r="J3708" s="428"/>
      <c r="K3708" s="484">
        <f>SUM(K3703:K3707)</f>
        <v>9976.11</v>
      </c>
      <c r="L3708" s="428"/>
      <c r="M3708" s="428"/>
      <c r="N3708" s="428"/>
      <c r="S3708" s="417"/>
      <c r="T3708" s="417" t="s">
        <v>528</v>
      </c>
      <c r="U3708" s="417" t="s">
        <v>2553</v>
      </c>
      <c r="V3708" s="417"/>
      <c r="W3708" s="420" t="s">
        <v>528</v>
      </c>
      <c r="X3708" s="417">
        <v>130</v>
      </c>
    </row>
    <row r="3709" spans="6:26" ht="24" customHeight="1">
      <c r="F3709" s="428"/>
      <c r="G3709" s="428"/>
      <c r="H3709" s="428" t="s">
        <v>2454</v>
      </c>
      <c r="I3709" s="428"/>
      <c r="J3709" s="428"/>
      <c r="K3709" s="485">
        <f>K3708/10</f>
        <v>997.61</v>
      </c>
      <c r="L3709" s="428"/>
      <c r="M3709" s="428"/>
      <c r="N3709" s="428">
        <f>L3709</f>
        <v>0</v>
      </c>
      <c r="S3709" s="417"/>
      <c r="T3709" s="417"/>
      <c r="U3709" s="417"/>
      <c r="V3709" s="417"/>
      <c r="W3709" s="420"/>
      <c r="X3709" s="417">
        <f>SUM(X3701:X3708)</f>
        <v>12430.18</v>
      </c>
    </row>
    <row r="3710" spans="6:26" ht="24" customHeight="1">
      <c r="F3710" s="428"/>
      <c r="G3710" s="428"/>
      <c r="H3710" s="428"/>
      <c r="I3710" s="428"/>
      <c r="J3710" s="428"/>
      <c r="K3710" s="428"/>
      <c r="L3710" s="428"/>
      <c r="M3710" s="428"/>
      <c r="N3710" s="428"/>
      <c r="W3710" s="413"/>
      <c r="X3710" s="417">
        <f>X3709/S3707</f>
        <v>5115.3</v>
      </c>
      <c r="Y3710" s="414" t="s">
        <v>1861</v>
      </c>
    </row>
    <row r="3711" spans="6:26" ht="24" customHeight="1">
      <c r="F3711" s="1232" t="s">
        <v>2465</v>
      </c>
      <c r="G3711" s="1232"/>
      <c r="H3711" s="1232"/>
      <c r="I3711" s="1232"/>
      <c r="J3711" s="1232"/>
      <c r="K3711" s="1232"/>
      <c r="L3711" s="428"/>
      <c r="M3711" s="428"/>
      <c r="N3711" s="428"/>
      <c r="O3711" s="1233" t="s">
        <v>2886</v>
      </c>
      <c r="P3711" s="1233"/>
      <c r="W3711" s="413" t="s">
        <v>2560</v>
      </c>
      <c r="X3711" s="414">
        <v>3584</v>
      </c>
    </row>
    <row r="3712" spans="6:26" ht="24" customHeight="1">
      <c r="F3712" s="428"/>
      <c r="G3712" s="428"/>
      <c r="H3712" s="502" t="s">
        <v>2455</v>
      </c>
      <c r="I3712" s="502"/>
      <c r="J3712" s="502"/>
      <c r="K3712" s="502"/>
      <c r="L3712" s="428"/>
      <c r="M3712" s="414">
        <v>12.72</v>
      </c>
      <c r="N3712" s="428" t="s">
        <v>1341</v>
      </c>
      <c r="O3712" s="414" t="s">
        <v>2890</v>
      </c>
      <c r="P3712" s="414">
        <f>V3715</f>
        <v>325</v>
      </c>
      <c r="Q3712" s="428" t="s">
        <v>1341</v>
      </c>
      <c r="R3712" s="484">
        <f>P3712*M3712</f>
        <v>4134</v>
      </c>
      <c r="S3712" s="414"/>
      <c r="U3712" s="417" t="s">
        <v>2559</v>
      </c>
      <c r="W3712" s="413"/>
    </row>
    <row r="3713" spans="6:25" ht="24" customHeight="1">
      <c r="F3713" s="414">
        <v>36</v>
      </c>
      <c r="G3713" s="428" t="s">
        <v>669</v>
      </c>
      <c r="H3713" s="412" t="s">
        <v>3209</v>
      </c>
      <c r="I3713" s="414">
        <v>34.6</v>
      </c>
      <c r="J3713" s="414" t="str">
        <f>G3713</f>
        <v>Rmt</v>
      </c>
      <c r="K3713" s="414">
        <f>I3713*F3713</f>
        <v>1245.5999999999999</v>
      </c>
      <c r="L3713" s="428"/>
      <c r="M3713" s="414">
        <v>9.4</v>
      </c>
      <c r="N3713" s="428" t="s">
        <v>1861</v>
      </c>
      <c r="O3713" s="412" t="s">
        <v>2888</v>
      </c>
      <c r="P3713" s="414">
        <v>807</v>
      </c>
      <c r="Q3713" s="428" t="s">
        <v>1861</v>
      </c>
      <c r="R3713" s="484">
        <f t="shared" ref="R3713:R3718" si="366">P3713*M3713</f>
        <v>7585.8</v>
      </c>
      <c r="S3713" s="417"/>
      <c r="T3713" s="417"/>
      <c r="U3713" s="430" t="s">
        <v>4367</v>
      </c>
      <c r="V3713" s="430"/>
      <c r="W3713" s="501"/>
      <c r="X3713" s="430"/>
    </row>
    <row r="3714" spans="6:25" ht="37.9" customHeight="1">
      <c r="F3714" s="414">
        <v>9</v>
      </c>
      <c r="G3714" s="414" t="s">
        <v>1861</v>
      </c>
      <c r="H3714" s="430" t="s">
        <v>2456</v>
      </c>
      <c r="I3714" s="414">
        <v>350</v>
      </c>
      <c r="J3714" s="414" t="str">
        <f>G3714</f>
        <v>Sqm</v>
      </c>
      <c r="K3714" s="414">
        <f>I3714*F3714</f>
        <v>3150</v>
      </c>
      <c r="L3714" s="428"/>
      <c r="M3714" s="414">
        <v>9.4</v>
      </c>
      <c r="N3714" s="414" t="s">
        <v>1861</v>
      </c>
      <c r="O3714" s="430" t="s">
        <v>3043</v>
      </c>
      <c r="P3714" s="414">
        <v>412</v>
      </c>
      <c r="Q3714" s="414" t="s">
        <v>1861</v>
      </c>
      <c r="R3714" s="484">
        <f t="shared" si="366"/>
        <v>3872.8</v>
      </c>
      <c r="S3714" s="417"/>
      <c r="T3714" s="417"/>
      <c r="U3714" s="430"/>
      <c r="V3714" s="430"/>
      <c r="W3714" s="501"/>
      <c r="X3714" s="430"/>
    </row>
    <row r="3715" spans="6:25" ht="36.75" customHeight="1">
      <c r="F3715" s="414">
        <v>9</v>
      </c>
      <c r="G3715" s="414" t="s">
        <v>1861</v>
      </c>
      <c r="H3715" s="430" t="s">
        <v>2457</v>
      </c>
      <c r="I3715" s="414">
        <v>860.8</v>
      </c>
      <c r="J3715" s="414" t="str">
        <f>G3715</f>
        <v>Sqm</v>
      </c>
      <c r="K3715" s="414">
        <f>I3715*F3715</f>
        <v>7747.2</v>
      </c>
      <c r="L3715" s="428"/>
      <c r="M3715" s="414">
        <v>40</v>
      </c>
      <c r="N3715" s="414" t="s">
        <v>202</v>
      </c>
      <c r="O3715" s="430" t="s">
        <v>2887</v>
      </c>
      <c r="P3715" s="414">
        <v>10</v>
      </c>
      <c r="Q3715" s="414" t="s">
        <v>202</v>
      </c>
      <c r="R3715" s="484">
        <f t="shared" si="366"/>
        <v>400</v>
      </c>
      <c r="S3715" s="440">
        <v>14.43</v>
      </c>
      <c r="T3715" s="414" t="s">
        <v>734</v>
      </c>
      <c r="U3715" s="426" t="s">
        <v>2520</v>
      </c>
      <c r="V3715" s="414">
        <f>V3701</f>
        <v>325</v>
      </c>
      <c r="W3715" s="413" t="s">
        <v>734</v>
      </c>
      <c r="X3715" s="414">
        <f>V3715*S3715</f>
        <v>4689.75</v>
      </c>
    </row>
    <row r="3716" spans="6:25" ht="24" customHeight="1">
      <c r="F3716" s="414">
        <v>9</v>
      </c>
      <c r="G3716" s="414" t="s">
        <v>1861</v>
      </c>
      <c r="H3716" s="412" t="s">
        <v>3044</v>
      </c>
      <c r="I3716" s="414">
        <v>648</v>
      </c>
      <c r="J3716" s="414" t="str">
        <f>G3716</f>
        <v>Sqm</v>
      </c>
      <c r="K3716" s="414">
        <f>I3716*F3716</f>
        <v>5832</v>
      </c>
      <c r="L3716" s="428"/>
      <c r="M3716" s="414">
        <v>2.25</v>
      </c>
      <c r="N3716" s="414" t="s">
        <v>1341</v>
      </c>
      <c r="O3716" s="412" t="s">
        <v>3045</v>
      </c>
      <c r="P3716" s="414">
        <v>199.75</v>
      </c>
      <c r="Q3716" s="414" t="s">
        <v>1341</v>
      </c>
      <c r="R3716" s="484">
        <f t="shared" si="366"/>
        <v>449.44</v>
      </c>
      <c r="S3716" s="494">
        <v>10.433999999999999</v>
      </c>
      <c r="T3716" s="414" t="s">
        <v>669</v>
      </c>
      <c r="U3716" s="412" t="s">
        <v>2445</v>
      </c>
      <c r="V3716" s="414">
        <f t="shared" ref="V3716:V3721" si="367">V3702</f>
        <v>38.25</v>
      </c>
      <c r="W3716" s="413" t="s">
        <v>669</v>
      </c>
      <c r="X3716" s="414">
        <v>501.66</v>
      </c>
    </row>
    <row r="3717" spans="6:25" ht="24" customHeight="1">
      <c r="F3717" s="414">
        <v>9</v>
      </c>
      <c r="G3717" s="414" t="s">
        <v>1861</v>
      </c>
      <c r="H3717" s="428" t="s">
        <v>2458</v>
      </c>
      <c r="I3717" s="414">
        <f>K3725</f>
        <v>1799</v>
      </c>
      <c r="J3717" s="414" t="str">
        <f>G3717</f>
        <v>Sqm</v>
      </c>
      <c r="K3717" s="414">
        <f>I3717*F3717</f>
        <v>16191</v>
      </c>
      <c r="L3717" s="428"/>
      <c r="M3717" s="414">
        <v>9.4</v>
      </c>
      <c r="N3717" s="414" t="s">
        <v>1861</v>
      </c>
      <c r="O3717" s="428" t="s">
        <v>2458</v>
      </c>
      <c r="P3717" s="414">
        <f>R3725</f>
        <v>2753.5</v>
      </c>
      <c r="Q3717" s="414" t="s">
        <v>1861</v>
      </c>
      <c r="R3717" s="484">
        <f t="shared" si="366"/>
        <v>25882.9</v>
      </c>
      <c r="S3717" s="440">
        <v>2.16</v>
      </c>
      <c r="T3717" s="414" t="s">
        <v>184</v>
      </c>
      <c r="U3717" s="412" t="s">
        <v>2554</v>
      </c>
      <c r="V3717" s="414">
        <f t="shared" si="367"/>
        <v>306.89999999999998</v>
      </c>
      <c r="W3717" s="413" t="s">
        <v>184</v>
      </c>
      <c r="X3717" s="414">
        <f>V3717*S3717</f>
        <v>662.9</v>
      </c>
    </row>
    <row r="3718" spans="6:25" ht="24" customHeight="1">
      <c r="F3718" s="428"/>
      <c r="G3718" s="428"/>
      <c r="H3718" s="428"/>
      <c r="I3718" s="428"/>
      <c r="J3718" s="428"/>
      <c r="K3718" s="414">
        <f>SUM(K3713:K3717)</f>
        <v>34165.800000000003</v>
      </c>
      <c r="L3718" s="428"/>
      <c r="M3718" s="414">
        <v>0.25</v>
      </c>
      <c r="N3718" s="414" t="s">
        <v>1341</v>
      </c>
      <c r="O3718" s="428" t="s">
        <v>3046</v>
      </c>
      <c r="P3718" s="414">
        <v>64</v>
      </c>
      <c r="Q3718" s="414" t="s">
        <v>1341</v>
      </c>
      <c r="R3718" s="484">
        <f t="shared" si="366"/>
        <v>16</v>
      </c>
      <c r="S3718" s="440">
        <v>6</v>
      </c>
      <c r="T3718" s="414" t="s">
        <v>1166</v>
      </c>
      <c r="U3718" s="412" t="s">
        <v>2556</v>
      </c>
      <c r="V3718" s="414">
        <f t="shared" si="367"/>
        <v>14.6</v>
      </c>
      <c r="W3718" s="413" t="s">
        <v>1166</v>
      </c>
      <c r="X3718" s="414">
        <f>V3718*S3718</f>
        <v>87.6</v>
      </c>
      <c r="Y3718" s="417"/>
    </row>
    <row r="3719" spans="6:25" ht="24" customHeight="1">
      <c r="F3719" s="428"/>
      <c r="G3719" s="428"/>
      <c r="H3719" s="428" t="s">
        <v>2459</v>
      </c>
      <c r="I3719" s="428"/>
      <c r="J3719" s="414"/>
      <c r="K3719" s="414">
        <f>K3718/9</f>
        <v>3796.2</v>
      </c>
      <c r="L3719" s="428"/>
      <c r="M3719" s="428"/>
      <c r="N3719" s="428"/>
      <c r="O3719" s="428" t="s">
        <v>2889</v>
      </c>
      <c r="P3719" s="428"/>
      <c r="R3719" s="414">
        <f>SUM(R3712:R3718)</f>
        <v>42340.94</v>
      </c>
      <c r="S3719" s="440">
        <v>2</v>
      </c>
      <c r="T3719" s="414" t="s">
        <v>1166</v>
      </c>
      <c r="U3719" s="412" t="s">
        <v>2555</v>
      </c>
      <c r="V3719" s="414">
        <f t="shared" si="367"/>
        <v>71.099999999999994</v>
      </c>
      <c r="W3719" s="413" t="s">
        <v>181</v>
      </c>
      <c r="X3719" s="414">
        <f>V3719*S3719</f>
        <v>142.19999999999999</v>
      </c>
    </row>
    <row r="3720" spans="6:25" ht="24" customHeight="1">
      <c r="F3720" s="428"/>
      <c r="G3720" s="428"/>
      <c r="H3720" s="503" t="s">
        <v>2460</v>
      </c>
      <c r="I3720" s="502" t="s">
        <v>2461</v>
      </c>
      <c r="J3720" s="428"/>
      <c r="K3720" s="417">
        <v>3282</v>
      </c>
      <c r="L3720" s="428"/>
      <c r="M3720" s="428"/>
      <c r="N3720" s="428"/>
      <c r="O3720" s="503" t="s">
        <v>2460</v>
      </c>
      <c r="P3720" s="502" t="s">
        <v>2461</v>
      </c>
      <c r="Q3720" s="428"/>
      <c r="R3720" s="417">
        <f>R3719/M3717</f>
        <v>4504.3599999999997</v>
      </c>
      <c r="S3720" s="440">
        <v>3</v>
      </c>
      <c r="T3720" s="414" t="s">
        <v>1166</v>
      </c>
      <c r="U3720" s="412" t="s">
        <v>2557</v>
      </c>
      <c r="V3720" s="414">
        <f t="shared" si="367"/>
        <v>35.299999999999997</v>
      </c>
      <c r="W3720" s="413" t="s">
        <v>619</v>
      </c>
      <c r="X3720" s="414">
        <f>V3720*S3720</f>
        <v>105.9</v>
      </c>
    </row>
    <row r="3721" spans="6:25" ht="24" customHeight="1">
      <c r="F3721" s="428"/>
      <c r="G3721" s="428"/>
      <c r="H3721" s="428" t="s">
        <v>2462</v>
      </c>
      <c r="I3721" s="428"/>
      <c r="J3721" s="428"/>
      <c r="K3721" s="428"/>
      <c r="L3721" s="428"/>
      <c r="M3721" s="428"/>
      <c r="N3721" s="428"/>
      <c r="O3721" s="428" t="s">
        <v>2462</v>
      </c>
      <c r="P3721" s="428"/>
      <c r="Q3721" s="428"/>
      <c r="R3721" s="428"/>
      <c r="S3721" s="440">
        <v>1.823</v>
      </c>
      <c r="T3721" s="414" t="s">
        <v>1861</v>
      </c>
      <c r="U3721" s="412" t="s">
        <v>2363</v>
      </c>
      <c r="V3721" s="414">
        <f t="shared" si="367"/>
        <v>1998</v>
      </c>
      <c r="W3721" s="413" t="s">
        <v>1861</v>
      </c>
      <c r="X3721" s="414">
        <f>V3721*S3721</f>
        <v>3642.35</v>
      </c>
    </row>
    <row r="3722" spans="6:25" ht="24" customHeight="1">
      <c r="F3722" s="414">
        <v>1</v>
      </c>
      <c r="G3722" s="414" t="s">
        <v>202</v>
      </c>
      <c r="H3722" s="414" t="s">
        <v>2463</v>
      </c>
      <c r="I3722" s="414">
        <f>AE17</f>
        <v>881</v>
      </c>
      <c r="J3722" s="414" t="s">
        <v>202</v>
      </c>
      <c r="K3722" s="428">
        <f>I3722*F3722</f>
        <v>881</v>
      </c>
      <c r="L3722" s="428"/>
      <c r="M3722" s="414">
        <v>1</v>
      </c>
      <c r="N3722" s="414" t="s">
        <v>202</v>
      </c>
      <c r="O3722" s="414" t="s">
        <v>2480</v>
      </c>
      <c r="P3722" s="414">
        <f>AE19</f>
        <v>976</v>
      </c>
      <c r="Q3722" s="414" t="s">
        <v>202</v>
      </c>
      <c r="R3722" s="484">
        <f>P3722*M3722</f>
        <v>976</v>
      </c>
      <c r="S3722" s="417"/>
      <c r="T3722" s="417" t="s">
        <v>528</v>
      </c>
      <c r="U3722" s="417" t="s">
        <v>2553</v>
      </c>
      <c r="V3722" s="417"/>
      <c r="W3722" s="420" t="s">
        <v>528</v>
      </c>
      <c r="X3722" s="417">
        <v>110</v>
      </c>
    </row>
    <row r="3723" spans="6:25" ht="24" customHeight="1">
      <c r="F3723" s="414">
        <v>1</v>
      </c>
      <c r="G3723" s="414" t="s">
        <v>202</v>
      </c>
      <c r="H3723" s="412" t="s">
        <v>1550</v>
      </c>
      <c r="I3723" s="414">
        <f>AE11</f>
        <v>651</v>
      </c>
      <c r="J3723" s="414" t="s">
        <v>202</v>
      </c>
      <c r="K3723" s="428">
        <f>I3723*F3723</f>
        <v>651</v>
      </c>
      <c r="L3723" s="428"/>
      <c r="M3723" s="414">
        <v>1.5</v>
      </c>
      <c r="N3723" s="414" t="s">
        <v>202</v>
      </c>
      <c r="O3723" s="412" t="s">
        <v>1550</v>
      </c>
      <c r="P3723" s="414">
        <f>I3723</f>
        <v>651</v>
      </c>
      <c r="Q3723" s="414" t="s">
        <v>202</v>
      </c>
      <c r="R3723" s="484">
        <f>P3723*M3723</f>
        <v>976.5</v>
      </c>
      <c r="S3723" s="417"/>
      <c r="T3723" s="417"/>
      <c r="U3723" s="417"/>
      <c r="V3723" s="417"/>
      <c r="W3723" s="420"/>
      <c r="X3723" s="417">
        <f>SUM(X3715:X3722)</f>
        <v>9942.36</v>
      </c>
    </row>
    <row r="3724" spans="6:25" ht="24" customHeight="1">
      <c r="F3724" s="414">
        <v>0.5</v>
      </c>
      <c r="G3724" s="414" t="s">
        <v>202</v>
      </c>
      <c r="H3724" s="412" t="s">
        <v>245</v>
      </c>
      <c r="I3724" s="414">
        <f>AE12</f>
        <v>534</v>
      </c>
      <c r="J3724" s="414" t="s">
        <v>202</v>
      </c>
      <c r="K3724" s="428">
        <f>I3724*F3724</f>
        <v>267</v>
      </c>
      <c r="L3724" s="428"/>
      <c r="M3724" s="414">
        <v>1.5</v>
      </c>
      <c r="N3724" s="414" t="s">
        <v>202</v>
      </c>
      <c r="O3724" s="412" t="s">
        <v>245</v>
      </c>
      <c r="P3724" s="414">
        <f>I3724</f>
        <v>534</v>
      </c>
      <c r="Q3724" s="414" t="s">
        <v>202</v>
      </c>
      <c r="R3724" s="484">
        <f>P3724*M3724</f>
        <v>801</v>
      </c>
      <c r="W3724" s="413"/>
      <c r="X3724" s="417">
        <f>X3723/S3721</f>
        <v>5453.85</v>
      </c>
    </row>
    <row r="3725" spans="6:25" ht="24" customHeight="1">
      <c r="F3725" s="428"/>
      <c r="G3725" s="428"/>
      <c r="H3725" s="428"/>
      <c r="I3725" s="428"/>
      <c r="J3725" s="428"/>
      <c r="K3725" s="428">
        <f>SUM(K3722:K3724)</f>
        <v>1799</v>
      </c>
      <c r="L3725" s="428"/>
      <c r="M3725" s="428"/>
      <c r="N3725" s="428"/>
      <c r="O3725" s="428"/>
      <c r="P3725" s="428"/>
      <c r="Q3725" s="428"/>
      <c r="R3725" s="484">
        <f>SUM(R3722:R3724)</f>
        <v>2753.5</v>
      </c>
      <c r="W3725" s="413"/>
      <c r="X3725" s="414">
        <v>3873</v>
      </c>
    </row>
    <row r="3726" spans="6:25" ht="24" hidden="1" customHeight="1">
      <c r="F3726" s="428"/>
      <c r="G3726" s="428"/>
      <c r="H3726" s="428"/>
      <c r="I3726" s="428"/>
      <c r="J3726" s="428"/>
      <c r="K3726" s="428"/>
      <c r="L3726" s="428"/>
      <c r="M3726" s="428"/>
      <c r="N3726" s="428"/>
      <c r="O3726" s="428"/>
      <c r="P3726" s="428"/>
      <c r="Q3726" s="428"/>
      <c r="R3726" s="428"/>
      <c r="S3726" s="414"/>
      <c r="W3726" s="413"/>
      <c r="X3726" s="418"/>
    </row>
    <row r="3727" spans="6:25" ht="24" hidden="1" customHeight="1">
      <c r="F3727" s="428"/>
      <c r="G3727" s="428"/>
      <c r="H3727" s="428"/>
      <c r="I3727" s="428"/>
      <c r="J3727" s="428"/>
      <c r="K3727" s="428"/>
      <c r="L3727" s="428"/>
      <c r="M3727" s="428"/>
      <c r="N3727" s="428"/>
      <c r="S3727" s="414"/>
      <c r="W3727" s="413"/>
    </row>
    <row r="3728" spans="6:25" ht="24" hidden="1" customHeight="1">
      <c r="H3728" s="423"/>
      <c r="J3728" s="414"/>
      <c r="K3728" s="428"/>
      <c r="L3728" s="428"/>
      <c r="M3728" s="428"/>
      <c r="N3728" s="428"/>
      <c r="W3728" s="413"/>
    </row>
    <row r="3729" spans="6:23" ht="24" customHeight="1">
      <c r="F3729" s="428"/>
      <c r="G3729" s="428"/>
      <c r="H3729" s="502" t="s">
        <v>2466</v>
      </c>
      <c r="I3729" s="502"/>
      <c r="J3729" s="428"/>
      <c r="K3729" s="428"/>
      <c r="L3729" s="428"/>
      <c r="M3729" s="428"/>
      <c r="N3729" s="428"/>
      <c r="W3729" s="413"/>
    </row>
    <row r="3730" spans="6:23" ht="24" customHeight="1">
      <c r="F3730" s="428"/>
      <c r="G3730" s="428"/>
      <c r="H3730" s="428"/>
      <c r="I3730" s="428"/>
      <c r="J3730" s="428"/>
      <c r="K3730" s="428"/>
      <c r="L3730" s="428"/>
      <c r="M3730" s="428"/>
      <c r="N3730" s="428"/>
      <c r="W3730" s="413"/>
    </row>
    <row r="3731" spans="6:23" ht="24" customHeight="1">
      <c r="H3731" s="415" t="s">
        <v>4277</v>
      </c>
      <c r="J3731" s="414"/>
      <c r="K3731" s="428"/>
      <c r="L3731" s="428"/>
      <c r="M3731" s="428"/>
      <c r="N3731" s="428"/>
      <c r="W3731" s="413"/>
    </row>
    <row r="3732" spans="6:23" ht="24" customHeight="1">
      <c r="H3732" s="412"/>
      <c r="J3732" s="414"/>
      <c r="K3732" s="428"/>
      <c r="L3732" s="428"/>
      <c r="M3732" s="428"/>
      <c r="N3732" s="428"/>
      <c r="W3732" s="413"/>
    </row>
    <row r="3733" spans="6:23" ht="24" customHeight="1">
      <c r="F3733" s="428"/>
      <c r="G3733" s="428"/>
      <c r="H3733" s="415" t="s">
        <v>3047</v>
      </c>
      <c r="J3733" s="428"/>
      <c r="K3733" s="428"/>
      <c r="L3733" s="428"/>
      <c r="M3733" s="428"/>
      <c r="N3733" s="428"/>
      <c r="W3733" s="413"/>
    </row>
    <row r="3734" spans="6:23" ht="24" customHeight="1">
      <c r="F3734" s="414">
        <v>5</v>
      </c>
      <c r="G3734" s="414" t="s">
        <v>1341</v>
      </c>
      <c r="H3734" s="414" t="s">
        <v>3048</v>
      </c>
      <c r="I3734" s="414">
        <v>27.45</v>
      </c>
      <c r="J3734" s="414" t="s">
        <v>1341</v>
      </c>
      <c r="K3734" s="414">
        <f>I3734*F3734</f>
        <v>137.25</v>
      </c>
      <c r="L3734" s="428"/>
      <c r="M3734" s="428"/>
      <c r="N3734" s="428"/>
      <c r="W3734" s="413"/>
    </row>
    <row r="3735" spans="6:23" ht="24" customHeight="1">
      <c r="F3735" s="414">
        <v>1</v>
      </c>
      <c r="G3735" s="414" t="s">
        <v>1130</v>
      </c>
      <c r="H3735" s="414" t="s">
        <v>2467</v>
      </c>
      <c r="I3735" s="414">
        <f>AE13</f>
        <v>797</v>
      </c>
      <c r="J3735" s="414" t="s">
        <v>1130</v>
      </c>
      <c r="K3735" s="414">
        <f>I3735*F3735</f>
        <v>797</v>
      </c>
      <c r="L3735" s="428"/>
      <c r="M3735" s="428"/>
      <c r="N3735" s="428"/>
      <c r="W3735" s="413"/>
    </row>
    <row r="3736" spans="6:23" ht="24" customHeight="1">
      <c r="G3736" s="412" t="s">
        <v>528</v>
      </c>
      <c r="H3736" s="412" t="s">
        <v>1996</v>
      </c>
      <c r="I3736" s="428"/>
      <c r="J3736" s="412" t="s">
        <v>528</v>
      </c>
      <c r="K3736" s="414">
        <f>(121.1+90.9)/12</f>
        <v>17.670000000000002</v>
      </c>
      <c r="L3736" s="428"/>
      <c r="M3736" s="428"/>
      <c r="N3736" s="428"/>
      <c r="W3736" s="413"/>
    </row>
    <row r="3737" spans="6:23" ht="24" customHeight="1">
      <c r="F3737" s="428"/>
      <c r="G3737" s="428"/>
      <c r="H3737" s="412" t="s">
        <v>1187</v>
      </c>
      <c r="I3737" s="428"/>
      <c r="J3737" s="428"/>
      <c r="K3737" s="414">
        <f>SUM(K3734:K3736)</f>
        <v>951.92</v>
      </c>
      <c r="L3737" s="428"/>
      <c r="M3737" s="428"/>
      <c r="N3737" s="428"/>
      <c r="W3737" s="413"/>
    </row>
    <row r="3738" spans="6:23" ht="24" customHeight="1">
      <c r="F3738" s="428"/>
      <c r="G3738" s="428"/>
      <c r="H3738" s="412" t="s">
        <v>2018</v>
      </c>
      <c r="I3738" s="428"/>
      <c r="J3738" s="428"/>
      <c r="K3738" s="417">
        <f>K3737/10</f>
        <v>95.19</v>
      </c>
      <c r="L3738" s="428"/>
      <c r="M3738" s="428"/>
      <c r="N3738" s="428"/>
      <c r="W3738" s="413"/>
    </row>
    <row r="3739" spans="6:23" ht="24" customHeight="1">
      <c r="W3739" s="413"/>
    </row>
    <row r="3740" spans="6:23" ht="24" hidden="1" customHeight="1">
      <c r="W3740" s="413"/>
    </row>
    <row r="3741" spans="6:23" ht="24" hidden="1" customHeight="1">
      <c r="F3741" s="428"/>
      <c r="G3741" s="428"/>
      <c r="H3741" s="428"/>
      <c r="I3741" s="428"/>
      <c r="J3741" s="428"/>
      <c r="K3741" s="428"/>
      <c r="L3741" s="428"/>
      <c r="M3741" s="428"/>
      <c r="N3741" s="428"/>
      <c r="W3741" s="413"/>
    </row>
    <row r="3742" spans="6:23" ht="24" customHeight="1">
      <c r="H3742" s="415" t="s">
        <v>2468</v>
      </c>
      <c r="J3742" s="414"/>
      <c r="K3742" s="428"/>
      <c r="L3742" s="428"/>
      <c r="M3742" s="428"/>
      <c r="N3742" s="428"/>
      <c r="W3742" s="413"/>
    </row>
    <row r="3743" spans="6:23" ht="24" customHeight="1">
      <c r="F3743" s="414" t="s">
        <v>844</v>
      </c>
      <c r="G3743" s="414" t="s">
        <v>181</v>
      </c>
      <c r="H3743" s="412"/>
      <c r="I3743" s="414" t="s">
        <v>75</v>
      </c>
      <c r="J3743" s="414" t="s">
        <v>181</v>
      </c>
      <c r="K3743" s="414" t="s">
        <v>789</v>
      </c>
      <c r="L3743" s="428"/>
      <c r="M3743" s="428"/>
      <c r="N3743" s="428"/>
      <c r="W3743" s="413"/>
    </row>
    <row r="3744" spans="6:23" ht="24" customHeight="1">
      <c r="H3744" s="412"/>
      <c r="J3744" s="414"/>
      <c r="K3744" s="428"/>
      <c r="L3744" s="428"/>
      <c r="M3744" s="428"/>
      <c r="N3744" s="428"/>
      <c r="W3744" s="413"/>
    </row>
    <row r="3745" spans="6:23" ht="37.9" customHeight="1">
      <c r="F3745" s="414">
        <v>0.15</v>
      </c>
      <c r="G3745" s="414" t="s">
        <v>1749</v>
      </c>
      <c r="H3745" s="431" t="s">
        <v>2604</v>
      </c>
      <c r="I3745" s="414">
        <f>I3639</f>
        <v>2573.4499999999998</v>
      </c>
      <c r="J3745" s="414" t="s">
        <v>1749</v>
      </c>
      <c r="K3745" s="414">
        <f t="shared" ref="K3745:K3750" si="368">I3745*F3745</f>
        <v>386.02</v>
      </c>
      <c r="L3745" s="428"/>
      <c r="M3745" s="428"/>
      <c r="N3745" s="428"/>
      <c r="W3745" s="413"/>
    </row>
    <row r="3746" spans="6:23" ht="24" customHeight="1">
      <c r="F3746" s="416">
        <v>7.1999999999999995E-2</v>
      </c>
      <c r="G3746" s="414" t="s">
        <v>427</v>
      </c>
      <c r="H3746" s="412" t="s">
        <v>310</v>
      </c>
      <c r="I3746" s="414" t="e">
        <f>I9</f>
        <v>#REF!</v>
      </c>
      <c r="J3746" s="414" t="s">
        <v>427</v>
      </c>
      <c r="K3746" s="414" t="e">
        <f t="shared" si="368"/>
        <v>#REF!</v>
      </c>
      <c r="L3746" s="428"/>
      <c r="M3746" s="428"/>
      <c r="N3746" s="428"/>
      <c r="W3746" s="413"/>
    </row>
    <row r="3747" spans="6:23" ht="24" customHeight="1">
      <c r="F3747" s="414">
        <v>14.5</v>
      </c>
      <c r="G3747" s="414" t="s">
        <v>734</v>
      </c>
      <c r="H3747" s="415" t="s">
        <v>2401</v>
      </c>
      <c r="I3747" s="414">
        <f>P2433</f>
        <v>24.93</v>
      </c>
      <c r="J3747" s="414" t="s">
        <v>734</v>
      </c>
      <c r="K3747" s="414">
        <f t="shared" si="368"/>
        <v>361.49</v>
      </c>
      <c r="L3747" s="428"/>
      <c r="M3747" s="428"/>
      <c r="N3747" s="428"/>
      <c r="W3747" s="413"/>
    </row>
    <row r="3748" spans="6:23" ht="24" customHeight="1">
      <c r="F3748" s="414">
        <v>1.6</v>
      </c>
      <c r="G3748" s="414" t="s">
        <v>202</v>
      </c>
      <c r="H3748" s="414" t="s">
        <v>2469</v>
      </c>
      <c r="I3748" s="414">
        <f>AE9</f>
        <v>999</v>
      </c>
      <c r="J3748" s="414" t="s">
        <v>202</v>
      </c>
      <c r="K3748" s="414">
        <f t="shared" si="368"/>
        <v>1598.4</v>
      </c>
      <c r="L3748" s="428"/>
      <c r="M3748" s="428"/>
      <c r="N3748" s="428"/>
      <c r="W3748" s="413"/>
    </row>
    <row r="3749" spans="6:23" ht="24" customHeight="1">
      <c r="F3749" s="414">
        <v>0.5</v>
      </c>
      <c r="G3749" s="414" t="s">
        <v>202</v>
      </c>
      <c r="H3749" s="412" t="s">
        <v>1550</v>
      </c>
      <c r="I3749" s="414">
        <f>AE11</f>
        <v>651</v>
      </c>
      <c r="J3749" s="414" t="s">
        <v>202</v>
      </c>
      <c r="K3749" s="414">
        <f t="shared" si="368"/>
        <v>325.5</v>
      </c>
      <c r="L3749" s="428"/>
      <c r="M3749" s="428"/>
      <c r="N3749" s="428"/>
      <c r="W3749" s="413"/>
    </row>
    <row r="3750" spans="6:23" ht="24" customHeight="1">
      <c r="F3750" s="414">
        <v>1.1000000000000001</v>
      </c>
      <c r="G3750" s="414" t="s">
        <v>202</v>
      </c>
      <c r="H3750" s="412" t="s">
        <v>245</v>
      </c>
      <c r="I3750" s="414">
        <f>AE12</f>
        <v>534</v>
      </c>
      <c r="J3750" s="414" t="s">
        <v>202</v>
      </c>
      <c r="K3750" s="414">
        <f t="shared" si="368"/>
        <v>587.4</v>
      </c>
      <c r="L3750" s="428"/>
      <c r="M3750" s="428"/>
      <c r="N3750" s="428"/>
      <c r="W3750" s="413"/>
    </row>
    <row r="3751" spans="6:23" ht="24" customHeight="1">
      <c r="H3751" s="412" t="s">
        <v>1996</v>
      </c>
      <c r="I3751" s="423" t="s">
        <v>528</v>
      </c>
      <c r="J3751" s="414"/>
      <c r="K3751" s="414">
        <v>52.63</v>
      </c>
      <c r="L3751" s="428"/>
      <c r="M3751" s="428"/>
      <c r="N3751" s="428"/>
      <c r="W3751" s="413"/>
    </row>
    <row r="3752" spans="6:23" ht="24" customHeight="1">
      <c r="H3752" s="412" t="s">
        <v>1187</v>
      </c>
      <c r="I3752" s="428"/>
      <c r="J3752" s="428"/>
      <c r="K3752" s="414" t="e">
        <f>SUM(K3745:K3751)</f>
        <v>#REF!</v>
      </c>
      <c r="L3752" s="428"/>
      <c r="M3752" s="428"/>
      <c r="N3752" s="428"/>
      <c r="W3752" s="413"/>
    </row>
    <row r="3753" spans="6:23" ht="24" customHeight="1">
      <c r="F3753" s="428"/>
      <c r="G3753" s="428"/>
      <c r="H3753" s="412" t="s">
        <v>2018</v>
      </c>
      <c r="I3753" s="428"/>
      <c r="J3753" s="428"/>
      <c r="K3753" s="417" t="e">
        <f>K3752/10</f>
        <v>#REF!</v>
      </c>
      <c r="L3753" s="428"/>
      <c r="M3753" s="428"/>
      <c r="N3753" s="428"/>
      <c r="W3753" s="413"/>
    </row>
    <row r="3754" spans="6:23" ht="24" customHeight="1">
      <c r="F3754" s="428"/>
      <c r="G3754" s="428"/>
      <c r="H3754" s="428"/>
      <c r="I3754" s="428"/>
      <c r="J3754" s="428"/>
      <c r="K3754" s="428"/>
      <c r="L3754" s="428"/>
      <c r="M3754" s="428"/>
      <c r="N3754" s="428"/>
      <c r="W3754" s="413"/>
    </row>
    <row r="3755" spans="6:23" ht="24" hidden="1" customHeight="1">
      <c r="F3755" s="425"/>
      <c r="G3755" s="414" t="s">
        <v>1833</v>
      </c>
      <c r="I3755" s="417"/>
      <c r="J3755" s="415"/>
      <c r="W3755" s="413"/>
    </row>
    <row r="3756" spans="6:23" ht="24" hidden="1" customHeight="1">
      <c r="H3756" s="412"/>
      <c r="W3756" s="413"/>
    </row>
    <row r="3757" spans="6:23" ht="24" customHeight="1">
      <c r="H3757" s="415" t="s">
        <v>2470</v>
      </c>
      <c r="W3757" s="413"/>
    </row>
    <row r="3758" spans="6:23" ht="24" customHeight="1">
      <c r="H3758" s="418" t="s">
        <v>1288</v>
      </c>
      <c r="W3758" s="413"/>
    </row>
    <row r="3759" spans="6:23" ht="24" customHeight="1">
      <c r="F3759" s="414">
        <v>21.55</v>
      </c>
      <c r="G3759" s="414" t="s">
        <v>1341</v>
      </c>
      <c r="H3759" s="412" t="s">
        <v>2471</v>
      </c>
      <c r="I3759" s="414">
        <f>I3781</f>
        <v>325</v>
      </c>
      <c r="J3759" s="414" t="s">
        <v>1341</v>
      </c>
      <c r="K3759" s="414">
        <f>I3759*F3759</f>
        <v>7003.75</v>
      </c>
      <c r="W3759" s="413"/>
    </row>
    <row r="3760" spans="6:23" ht="24" customHeight="1">
      <c r="H3760" s="412" t="s">
        <v>2472</v>
      </c>
      <c r="J3760" s="414"/>
      <c r="K3760" s="414">
        <f>K3759*10/100</f>
        <v>700.38</v>
      </c>
      <c r="W3760" s="413"/>
    </row>
    <row r="3761" spans="6:23" ht="24" customHeight="1">
      <c r="F3761" s="414">
        <v>3.7</v>
      </c>
      <c r="G3761" s="414" t="s">
        <v>1341</v>
      </c>
      <c r="H3761" s="412" t="s">
        <v>2473</v>
      </c>
      <c r="I3761" s="414">
        <f>Y32</f>
        <v>58000</v>
      </c>
      <c r="J3761" s="414" t="s">
        <v>427</v>
      </c>
      <c r="K3761" s="414">
        <f>I3761*F3761/10000</f>
        <v>21.46</v>
      </c>
      <c r="W3761" s="413"/>
    </row>
    <row r="3762" spans="6:23" ht="24" customHeight="1">
      <c r="F3762" s="428"/>
      <c r="G3762" s="428"/>
      <c r="H3762" s="412" t="s">
        <v>2474</v>
      </c>
      <c r="K3762" s="414">
        <f>K3761*5/100</f>
        <v>1.07</v>
      </c>
      <c r="W3762" s="413"/>
    </row>
    <row r="3763" spans="6:23" ht="24" customHeight="1">
      <c r="F3763" s="414">
        <v>18</v>
      </c>
      <c r="G3763" s="414" t="s">
        <v>1524</v>
      </c>
      <c r="H3763" s="412" t="s">
        <v>2475</v>
      </c>
      <c r="I3763" s="414">
        <v>15</v>
      </c>
      <c r="J3763" s="414" t="s">
        <v>1166</v>
      </c>
      <c r="K3763" s="414">
        <f>I3763*F3763</f>
        <v>270</v>
      </c>
      <c r="W3763" s="413"/>
    </row>
    <row r="3764" spans="6:23" ht="24" customHeight="1">
      <c r="H3764" s="412" t="s">
        <v>2476</v>
      </c>
      <c r="K3764" s="414">
        <f>K3763*10/100</f>
        <v>27</v>
      </c>
      <c r="W3764" s="413"/>
    </row>
    <row r="3765" spans="6:23" ht="24" customHeight="1">
      <c r="F3765" s="414">
        <v>28</v>
      </c>
      <c r="G3765" s="414" t="s">
        <v>1524</v>
      </c>
      <c r="H3765" s="412" t="s">
        <v>2477</v>
      </c>
      <c r="I3765" s="414">
        <v>1</v>
      </c>
      <c r="J3765" s="414" t="s">
        <v>1524</v>
      </c>
      <c r="K3765" s="414">
        <f>I3765*F3765</f>
        <v>28</v>
      </c>
      <c r="W3765" s="413"/>
    </row>
    <row r="3766" spans="6:23" ht="24" customHeight="1">
      <c r="F3766" s="414">
        <v>28</v>
      </c>
      <c r="G3766" s="414" t="s">
        <v>1524</v>
      </c>
      <c r="H3766" s="412" t="s">
        <v>2478</v>
      </c>
      <c r="I3766" s="414">
        <v>2</v>
      </c>
      <c r="J3766" s="414" t="s">
        <v>1524</v>
      </c>
      <c r="K3766" s="414">
        <f>I3766*F3766</f>
        <v>56</v>
      </c>
      <c r="W3766" s="413"/>
    </row>
    <row r="3767" spans="6:23" ht="33" customHeight="1">
      <c r="F3767" s="414">
        <v>4</v>
      </c>
      <c r="G3767" s="414" t="s">
        <v>1524</v>
      </c>
      <c r="H3767" s="412" t="s">
        <v>2479</v>
      </c>
      <c r="I3767" s="414">
        <f>AE17</f>
        <v>881</v>
      </c>
      <c r="J3767" s="414" t="s">
        <v>1524</v>
      </c>
      <c r="K3767" s="414">
        <f>I3767*F3767</f>
        <v>3524</v>
      </c>
      <c r="W3767" s="413"/>
    </row>
    <row r="3768" spans="6:23" ht="36" customHeight="1">
      <c r="F3768" s="414">
        <v>2</v>
      </c>
      <c r="G3768" s="414" t="s">
        <v>1524</v>
      </c>
      <c r="H3768" s="412" t="s">
        <v>2480</v>
      </c>
      <c r="I3768" s="414">
        <f>AE19</f>
        <v>976</v>
      </c>
      <c r="J3768" s="414" t="s">
        <v>1524</v>
      </c>
      <c r="K3768" s="414">
        <f>I3768*F3768</f>
        <v>1952</v>
      </c>
      <c r="W3768" s="413"/>
    </row>
    <row r="3769" spans="6:23" ht="24" customHeight="1">
      <c r="F3769" s="414">
        <v>6</v>
      </c>
      <c r="G3769" s="414" t="s">
        <v>1524</v>
      </c>
      <c r="H3769" s="412" t="s">
        <v>2481</v>
      </c>
      <c r="I3769" s="414">
        <f>AE11</f>
        <v>651</v>
      </c>
      <c r="J3769" s="414" t="s">
        <v>1524</v>
      </c>
      <c r="K3769" s="414">
        <f>I3769*F3769</f>
        <v>3906</v>
      </c>
      <c r="W3769" s="413"/>
    </row>
    <row r="3770" spans="6:23" ht="24" customHeight="1">
      <c r="G3770" s="414" t="s">
        <v>358</v>
      </c>
      <c r="H3770" s="412" t="s">
        <v>1996</v>
      </c>
      <c r="I3770" s="412" t="s">
        <v>790</v>
      </c>
      <c r="J3770" s="412" t="s">
        <v>358</v>
      </c>
      <c r="K3770" s="414">
        <v>5.38</v>
      </c>
      <c r="W3770" s="413"/>
    </row>
    <row r="3771" spans="6:23" ht="24" customHeight="1">
      <c r="H3771" s="412"/>
      <c r="J3771" s="414"/>
      <c r="W3771" s="413"/>
    </row>
    <row r="3772" spans="6:23" ht="24" customHeight="1">
      <c r="H3772" s="412" t="s">
        <v>2482</v>
      </c>
      <c r="K3772" s="414">
        <f>SUM(K3759:K3771)</f>
        <v>17495.04</v>
      </c>
      <c r="W3772" s="413"/>
    </row>
    <row r="3773" spans="6:23" ht="24" customHeight="1">
      <c r="K3773" s="418" t="s">
        <v>1288</v>
      </c>
      <c r="W3773" s="413"/>
    </row>
    <row r="3774" spans="6:23" ht="24" customHeight="1">
      <c r="H3774" s="419" t="s">
        <v>2483</v>
      </c>
      <c r="I3774" s="417"/>
      <c r="J3774" s="419" t="s">
        <v>577</v>
      </c>
      <c r="K3774" s="417">
        <f>K3772/18</f>
        <v>971.95</v>
      </c>
      <c r="W3774" s="413"/>
    </row>
    <row r="3775" spans="6:23" ht="24" customHeight="1">
      <c r="H3775" s="419"/>
      <c r="I3775" s="417"/>
      <c r="J3775" s="419"/>
      <c r="K3775" s="418" t="s">
        <v>1288</v>
      </c>
      <c r="W3775" s="413"/>
    </row>
    <row r="3776" spans="6:23" ht="24" customHeight="1">
      <c r="H3776" s="419"/>
      <c r="I3776" s="417"/>
      <c r="J3776" s="419"/>
      <c r="K3776" s="417"/>
      <c r="W3776" s="413"/>
    </row>
    <row r="3777" spans="6:23" ht="24" customHeight="1">
      <c r="F3777" s="428"/>
      <c r="G3777" s="428"/>
      <c r="H3777" s="504" t="s">
        <v>2625</v>
      </c>
      <c r="I3777" s="428"/>
      <c r="J3777" s="428"/>
      <c r="K3777" s="428"/>
      <c r="L3777" s="428"/>
      <c r="W3777" s="413"/>
    </row>
    <row r="3778" spans="6:23" ht="24" customHeight="1">
      <c r="G3778" s="417" t="s">
        <v>2442</v>
      </c>
      <c r="H3778" s="417"/>
      <c r="I3778" s="417"/>
      <c r="J3778" s="417"/>
      <c r="K3778" s="420"/>
      <c r="L3778" s="420"/>
      <c r="W3778" s="413"/>
    </row>
    <row r="3779" spans="6:23" ht="24" hidden="1" customHeight="1">
      <c r="G3779" s="440"/>
      <c r="I3779" s="420"/>
      <c r="J3779" s="414"/>
      <c r="W3779" s="413"/>
    </row>
    <row r="3780" spans="6:23" ht="24" customHeight="1">
      <c r="G3780" s="440"/>
      <c r="I3780" s="412"/>
      <c r="J3780" s="414"/>
      <c r="W3780" s="413"/>
    </row>
    <row r="3781" spans="6:23" ht="24" customHeight="1">
      <c r="F3781" s="440">
        <v>38.86</v>
      </c>
      <c r="G3781" s="414" t="s">
        <v>734</v>
      </c>
      <c r="H3781" s="412" t="s">
        <v>3049</v>
      </c>
      <c r="I3781" s="414">
        <v>325</v>
      </c>
      <c r="J3781" s="414" t="s">
        <v>734</v>
      </c>
      <c r="K3781" s="414">
        <f t="shared" ref="K3781:K3788" si="369">I3781*F3781</f>
        <v>12629.5</v>
      </c>
      <c r="W3781" s="413"/>
    </row>
    <row r="3782" spans="6:23" ht="24" customHeight="1">
      <c r="F3782" s="440">
        <v>2.4300000000000002</v>
      </c>
      <c r="G3782" s="414" t="s">
        <v>184</v>
      </c>
      <c r="H3782" s="412" t="s">
        <v>2443</v>
      </c>
      <c r="I3782" s="414">
        <v>362.5</v>
      </c>
      <c r="J3782" s="414" t="s">
        <v>184</v>
      </c>
      <c r="K3782" s="414">
        <f t="shared" si="369"/>
        <v>880.88</v>
      </c>
      <c r="W3782" s="413"/>
    </row>
    <row r="3783" spans="6:23" ht="24" customHeight="1">
      <c r="F3783" s="440">
        <v>4.8499999999999996</v>
      </c>
      <c r="G3783" s="414" t="s">
        <v>184</v>
      </c>
      <c r="H3783" s="412" t="s">
        <v>2444</v>
      </c>
      <c r="I3783" s="414">
        <v>695</v>
      </c>
      <c r="J3783" s="414" t="s">
        <v>619</v>
      </c>
      <c r="K3783" s="414">
        <f t="shared" si="369"/>
        <v>3370.75</v>
      </c>
      <c r="W3783" s="413"/>
    </row>
    <row r="3784" spans="6:23" ht="24" customHeight="1">
      <c r="F3784" s="494">
        <v>34.65</v>
      </c>
      <c r="G3784" s="414" t="s">
        <v>669</v>
      </c>
      <c r="H3784" s="412" t="s">
        <v>3210</v>
      </c>
      <c r="I3784" s="414">
        <v>38.25</v>
      </c>
      <c r="J3784" s="414" t="s">
        <v>669</v>
      </c>
      <c r="K3784" s="414">
        <f t="shared" si="369"/>
        <v>1325.36</v>
      </c>
      <c r="W3784" s="413"/>
    </row>
    <row r="3785" spans="6:23" ht="24" customHeight="1">
      <c r="F3785" s="414">
        <v>144</v>
      </c>
      <c r="G3785" s="414" t="s">
        <v>1524</v>
      </c>
      <c r="H3785" s="414" t="s">
        <v>3211</v>
      </c>
      <c r="I3785" s="414">
        <v>2.41</v>
      </c>
      <c r="J3785" s="412" t="s">
        <v>1130</v>
      </c>
      <c r="K3785" s="414">
        <f t="shared" si="369"/>
        <v>347.04</v>
      </c>
      <c r="W3785" s="413"/>
    </row>
    <row r="3786" spans="6:23" ht="24" customHeight="1">
      <c r="F3786" s="414">
        <v>12</v>
      </c>
      <c r="G3786" s="414" t="s">
        <v>1524</v>
      </c>
      <c r="H3786" s="414" t="s">
        <v>3212</v>
      </c>
      <c r="I3786" s="414">
        <v>4.88</v>
      </c>
      <c r="J3786" s="412" t="s">
        <v>1130</v>
      </c>
      <c r="K3786" s="414">
        <f t="shared" si="369"/>
        <v>58.56</v>
      </c>
      <c r="W3786" s="413"/>
    </row>
    <row r="3787" spans="6:23" ht="24" customHeight="1">
      <c r="F3787" s="414">
        <v>12</v>
      </c>
      <c r="G3787" s="414" t="s">
        <v>1524</v>
      </c>
      <c r="H3787" s="414" t="s">
        <v>3213</v>
      </c>
      <c r="I3787" s="414">
        <v>1.08</v>
      </c>
      <c r="J3787" s="412" t="s">
        <v>1130</v>
      </c>
      <c r="K3787" s="414">
        <f t="shared" si="369"/>
        <v>12.96</v>
      </c>
      <c r="W3787" s="413"/>
    </row>
    <row r="3788" spans="6:23" ht="24" customHeight="1">
      <c r="F3788" s="440">
        <v>2</v>
      </c>
      <c r="G3788" s="414" t="s">
        <v>181</v>
      </c>
      <c r="H3788" s="412" t="s">
        <v>3214</v>
      </c>
      <c r="I3788" s="414">
        <v>11.9</v>
      </c>
      <c r="J3788" s="414" t="s">
        <v>181</v>
      </c>
      <c r="K3788" s="414">
        <f t="shared" si="369"/>
        <v>23.8</v>
      </c>
      <c r="W3788" s="413"/>
    </row>
    <row r="3789" spans="6:23" ht="24" customHeight="1">
      <c r="F3789" s="440">
        <v>6.6150000000000002</v>
      </c>
      <c r="G3789" s="414" t="s">
        <v>1861</v>
      </c>
      <c r="H3789" s="412" t="s">
        <v>2363</v>
      </c>
      <c r="I3789" s="414">
        <f>K3799</f>
        <v>1998</v>
      </c>
      <c r="J3789" s="414" t="s">
        <v>1861</v>
      </c>
      <c r="K3789" s="414">
        <f>1059.95*6.615</f>
        <v>7011.57</v>
      </c>
      <c r="W3789" s="413"/>
    </row>
    <row r="3790" spans="6:23" ht="24" customHeight="1">
      <c r="F3790" s="440"/>
      <c r="H3790" s="412"/>
      <c r="J3790" s="413"/>
      <c r="W3790" s="413"/>
    </row>
    <row r="3791" spans="6:23" ht="24" customHeight="1">
      <c r="F3791" s="440"/>
      <c r="H3791" s="412" t="s">
        <v>2447</v>
      </c>
      <c r="J3791" s="414"/>
      <c r="K3791" s="414">
        <f>SUM(K3781:K3790)</f>
        <v>25660.42</v>
      </c>
      <c r="W3791" s="413"/>
    </row>
    <row r="3792" spans="6:23" ht="24" customHeight="1">
      <c r="F3792" s="440"/>
      <c r="H3792" s="412" t="s">
        <v>447</v>
      </c>
      <c r="J3792" s="420"/>
      <c r="K3792" s="417">
        <f>K3791/6.615</f>
        <v>3879.13</v>
      </c>
      <c r="L3792" s="417" t="s">
        <v>1134</v>
      </c>
      <c r="W3792" s="413"/>
    </row>
    <row r="3793" spans="6:23" ht="24" customHeight="1">
      <c r="H3793" s="423"/>
      <c r="J3793" s="414"/>
      <c r="W3793" s="413"/>
    </row>
    <row r="3794" spans="6:23" ht="24" customHeight="1">
      <c r="F3794" s="414">
        <v>1</v>
      </c>
      <c r="G3794" s="414" t="s">
        <v>701</v>
      </c>
      <c r="H3794" s="412" t="s">
        <v>4337</v>
      </c>
      <c r="I3794" s="414">
        <f>AE17</f>
        <v>881</v>
      </c>
      <c r="J3794" s="412" t="s">
        <v>701</v>
      </c>
      <c r="K3794" s="414">
        <f>I3794*F3794</f>
        <v>881</v>
      </c>
      <c r="W3794" s="413"/>
    </row>
    <row r="3795" spans="6:23" ht="24" customHeight="1">
      <c r="F3795" s="414">
        <v>1</v>
      </c>
      <c r="G3795" s="414" t="s">
        <v>701</v>
      </c>
      <c r="H3795" s="412" t="s">
        <v>4338</v>
      </c>
      <c r="I3795" s="414">
        <f>AE11</f>
        <v>651</v>
      </c>
      <c r="J3795" s="412" t="s">
        <v>701</v>
      </c>
      <c r="K3795" s="414">
        <f>I3795*F3795</f>
        <v>651</v>
      </c>
      <c r="W3795" s="413"/>
    </row>
    <row r="3796" spans="6:23" ht="24" customHeight="1">
      <c r="F3796" s="414">
        <v>0.5</v>
      </c>
      <c r="G3796" s="414" t="s">
        <v>701</v>
      </c>
      <c r="H3796" s="412" t="s">
        <v>4339</v>
      </c>
      <c r="I3796" s="414">
        <f>AE20</f>
        <v>932</v>
      </c>
      <c r="J3796" s="412" t="s">
        <v>701</v>
      </c>
      <c r="K3796" s="414">
        <f>I3796*F3796</f>
        <v>466</v>
      </c>
      <c r="W3796" s="413"/>
    </row>
    <row r="3797" spans="6:23" ht="24" customHeight="1">
      <c r="G3797" s="414" t="s">
        <v>358</v>
      </c>
      <c r="H3797" s="412"/>
      <c r="J3797" s="412" t="s">
        <v>358</v>
      </c>
      <c r="W3797" s="413"/>
    </row>
    <row r="3798" spans="6:23" ht="24" customHeight="1">
      <c r="J3798" s="414"/>
      <c r="K3798" s="418" t="s">
        <v>1288</v>
      </c>
      <c r="L3798" s="428"/>
      <c r="W3798" s="413"/>
    </row>
    <row r="3799" spans="6:23" ht="24" customHeight="1">
      <c r="I3799" s="412" t="s">
        <v>2372</v>
      </c>
      <c r="J3799" s="414"/>
      <c r="K3799" s="417">
        <f>SUM(K3794:K3798)</f>
        <v>1998</v>
      </c>
      <c r="L3799" s="428"/>
      <c r="W3799" s="413"/>
    </row>
    <row r="3800" spans="6:23" ht="24" customHeight="1">
      <c r="J3800" s="414"/>
      <c r="K3800" s="418" t="s">
        <v>1288</v>
      </c>
      <c r="L3800" s="428"/>
      <c r="W3800" s="413"/>
    </row>
    <row r="3801" spans="6:23" ht="24" customHeight="1">
      <c r="J3801" s="414"/>
      <c r="K3801" s="416"/>
      <c r="W3801" s="413"/>
    </row>
    <row r="3802" spans="6:23" ht="24" customHeight="1">
      <c r="F3802" s="427"/>
      <c r="G3802" s="414" t="s">
        <v>1833</v>
      </c>
      <c r="H3802" s="412" t="s">
        <v>4326</v>
      </c>
      <c r="W3802" s="413"/>
    </row>
    <row r="3803" spans="6:23" ht="24" customHeight="1">
      <c r="H3803" s="412"/>
      <c r="W3803" s="413"/>
    </row>
    <row r="3804" spans="6:23" ht="24" customHeight="1">
      <c r="H3804" s="418" t="s">
        <v>1288</v>
      </c>
      <c r="W3804" s="413"/>
    </row>
    <row r="3805" spans="6:23" ht="24" customHeight="1">
      <c r="F3805" s="414">
        <v>1.86</v>
      </c>
      <c r="G3805" s="414" t="s">
        <v>488</v>
      </c>
      <c r="H3805" s="412" t="s">
        <v>2177</v>
      </c>
      <c r="I3805" s="414">
        <v>699.4</v>
      </c>
      <c r="J3805" s="412" t="s">
        <v>488</v>
      </c>
      <c r="K3805" s="414">
        <f>(F3805*I3805)</f>
        <v>1300.8800000000001</v>
      </c>
      <c r="W3805" s="413"/>
    </row>
    <row r="3806" spans="6:23" ht="24" customHeight="1">
      <c r="F3806" s="414">
        <v>0.4</v>
      </c>
      <c r="G3806" s="414" t="s">
        <v>1341</v>
      </c>
      <c r="H3806" s="412" t="s">
        <v>1691</v>
      </c>
      <c r="I3806" s="414">
        <f>I3462</f>
        <v>36.1</v>
      </c>
      <c r="J3806" s="412" t="s">
        <v>1341</v>
      </c>
      <c r="K3806" s="414">
        <f>(F3806*I3806)</f>
        <v>14.44</v>
      </c>
      <c r="W3806" s="413"/>
    </row>
    <row r="3807" spans="6:23" ht="24" customHeight="1">
      <c r="F3807" s="414">
        <v>0.02</v>
      </c>
      <c r="G3807" s="414" t="s">
        <v>702</v>
      </c>
      <c r="H3807" s="412" t="s">
        <v>331</v>
      </c>
      <c r="I3807" s="414" t="e">
        <f>K23</f>
        <v>#REF!</v>
      </c>
      <c r="J3807" s="412" t="s">
        <v>702</v>
      </c>
      <c r="K3807" s="414" t="e">
        <f>(F3807*I3807)</f>
        <v>#REF!</v>
      </c>
      <c r="W3807" s="413"/>
    </row>
    <row r="3808" spans="6:23" ht="24" customHeight="1">
      <c r="F3808" s="414">
        <v>1</v>
      </c>
      <c r="G3808" s="414" t="s">
        <v>619</v>
      </c>
      <c r="H3808" s="412" t="s">
        <v>1637</v>
      </c>
      <c r="I3808" s="414">
        <f>I3748</f>
        <v>999</v>
      </c>
      <c r="J3808" s="412" t="s">
        <v>619</v>
      </c>
      <c r="K3808" s="414">
        <f>(F3808*I3808)</f>
        <v>999</v>
      </c>
      <c r="W3808" s="413"/>
    </row>
    <row r="3809" spans="6:23" ht="24" customHeight="1">
      <c r="F3809" s="414">
        <v>1</v>
      </c>
      <c r="G3809" s="414" t="s">
        <v>619</v>
      </c>
      <c r="H3809" s="412" t="s">
        <v>1377</v>
      </c>
      <c r="I3809" s="414">
        <f>I3795</f>
        <v>651</v>
      </c>
      <c r="J3809" s="412" t="s">
        <v>619</v>
      </c>
      <c r="K3809" s="414">
        <f>(F3809*I3809)</f>
        <v>651</v>
      </c>
      <c r="W3809" s="413"/>
    </row>
    <row r="3810" spans="6:23" ht="24" customHeight="1">
      <c r="G3810" s="414" t="s">
        <v>358</v>
      </c>
      <c r="H3810" s="412" t="s">
        <v>359</v>
      </c>
      <c r="J3810" s="412" t="s">
        <v>358</v>
      </c>
      <c r="W3810" s="413"/>
    </row>
    <row r="3811" spans="6:23" ht="24" customHeight="1">
      <c r="K3811" s="418" t="s">
        <v>1288</v>
      </c>
      <c r="W3811" s="413"/>
    </row>
    <row r="3812" spans="6:23" ht="24" customHeight="1">
      <c r="H3812" s="412" t="s">
        <v>1378</v>
      </c>
      <c r="K3812" s="414" t="e">
        <f>SUM(K3805:K3810)</f>
        <v>#REF!</v>
      </c>
      <c r="W3812" s="413"/>
    </row>
    <row r="3813" spans="6:23" ht="24" customHeight="1">
      <c r="K3813" s="418" t="s">
        <v>1288</v>
      </c>
      <c r="W3813" s="413"/>
    </row>
    <row r="3814" spans="6:23" ht="24" customHeight="1">
      <c r="H3814" s="420" t="s">
        <v>447</v>
      </c>
      <c r="K3814" s="417" t="e">
        <f>(K3812/1.86)</f>
        <v>#REF!</v>
      </c>
      <c r="W3814" s="413"/>
    </row>
    <row r="3815" spans="6:23" ht="24" customHeight="1">
      <c r="K3815" s="418" t="s">
        <v>1676</v>
      </c>
      <c r="W3815" s="413"/>
    </row>
    <row r="3816" spans="6:23" ht="24" customHeight="1">
      <c r="W3816" s="413"/>
    </row>
    <row r="3817" spans="6:23" ht="24" customHeight="1">
      <c r="F3817" s="427"/>
      <c r="G3817" s="414" t="s">
        <v>1833</v>
      </c>
      <c r="H3817" s="412" t="s">
        <v>4325</v>
      </c>
      <c r="W3817" s="413"/>
    </row>
    <row r="3818" spans="6:23" ht="24" hidden="1" customHeight="1">
      <c r="H3818" s="412"/>
      <c r="W3818" s="413"/>
    </row>
    <row r="3819" spans="6:23" ht="24" hidden="1" customHeight="1">
      <c r="H3819" s="412"/>
      <c r="W3819" s="413"/>
    </row>
    <row r="3820" spans="6:23" ht="24" customHeight="1">
      <c r="H3820" s="418" t="s">
        <v>1288</v>
      </c>
      <c r="I3820" s="418" t="s">
        <v>1288</v>
      </c>
      <c r="W3820" s="413"/>
    </row>
    <row r="3821" spans="6:23" ht="37.9" customHeight="1">
      <c r="F3821" s="414">
        <v>10</v>
      </c>
      <c r="G3821" s="414" t="s">
        <v>488</v>
      </c>
      <c r="H3821" s="426" t="s">
        <v>2176</v>
      </c>
      <c r="I3821" s="414">
        <v>538.21</v>
      </c>
      <c r="J3821" s="412" t="s">
        <v>488</v>
      </c>
      <c r="K3821" s="414">
        <f>(F3821*I3821)</f>
        <v>5382.1</v>
      </c>
      <c r="W3821" s="413"/>
    </row>
    <row r="3822" spans="6:23" ht="24" customHeight="1">
      <c r="F3822" s="414">
        <v>0.21</v>
      </c>
      <c r="G3822" s="414" t="s">
        <v>702</v>
      </c>
      <c r="H3822" s="412" t="s">
        <v>1527</v>
      </c>
      <c r="I3822" s="414" t="e">
        <f>I3455</f>
        <v>#REF!</v>
      </c>
      <c r="J3822" s="412" t="s">
        <v>702</v>
      </c>
      <c r="K3822" s="414" t="e">
        <f>(F3822*I3822)</f>
        <v>#REF!</v>
      </c>
      <c r="W3822" s="413"/>
    </row>
    <row r="3823" spans="6:23" ht="24" customHeight="1">
      <c r="H3823" s="412" t="s">
        <v>1528</v>
      </c>
      <c r="K3823" s="412" t="s">
        <v>790</v>
      </c>
      <c r="W3823" s="413"/>
    </row>
    <row r="3824" spans="6:23" ht="24" customHeight="1">
      <c r="F3824" s="414">
        <v>1.1000000000000001</v>
      </c>
      <c r="G3824" s="414" t="s">
        <v>619</v>
      </c>
      <c r="H3824" s="412" t="s">
        <v>1637</v>
      </c>
      <c r="I3824" s="414">
        <f>I3457</f>
        <v>999</v>
      </c>
      <c r="J3824" s="412" t="s">
        <v>619</v>
      </c>
      <c r="K3824" s="414">
        <f>(F3824*I3824)</f>
        <v>1098.9000000000001</v>
      </c>
      <c r="W3824" s="413"/>
    </row>
    <row r="3825" spans="6:23" ht="24" customHeight="1">
      <c r="F3825" s="414">
        <v>1.1000000000000001</v>
      </c>
      <c r="G3825" s="414" t="s">
        <v>619</v>
      </c>
      <c r="H3825" s="412" t="s">
        <v>1392</v>
      </c>
      <c r="I3825" s="414">
        <f t="shared" ref="I3825:I3832" si="370">I3458</f>
        <v>932</v>
      </c>
      <c r="J3825" s="412" t="s">
        <v>619</v>
      </c>
      <c r="K3825" s="414">
        <f>(F3825*I3825)</f>
        <v>1025.2</v>
      </c>
      <c r="W3825" s="413"/>
    </row>
    <row r="3826" spans="6:23" ht="24" customHeight="1">
      <c r="F3826" s="414">
        <v>2.2000000000000002</v>
      </c>
      <c r="G3826" s="414" t="s">
        <v>619</v>
      </c>
      <c r="H3826" s="412" t="s">
        <v>1550</v>
      </c>
      <c r="I3826" s="414">
        <f t="shared" si="370"/>
        <v>651</v>
      </c>
      <c r="J3826" s="412" t="s">
        <v>619</v>
      </c>
      <c r="K3826" s="414">
        <f>(F3826*I3826)</f>
        <v>1432.2</v>
      </c>
      <c r="W3826" s="413"/>
    </row>
    <row r="3827" spans="6:23" ht="24" customHeight="1">
      <c r="F3827" s="414">
        <v>2.2000000000000002</v>
      </c>
      <c r="G3827" s="414" t="s">
        <v>619</v>
      </c>
      <c r="H3827" s="412" t="s">
        <v>245</v>
      </c>
      <c r="I3827" s="414">
        <f t="shared" si="370"/>
        <v>534</v>
      </c>
      <c r="J3827" s="412" t="s">
        <v>619</v>
      </c>
      <c r="K3827" s="414">
        <f>(F3827*I3827)</f>
        <v>1174.8</v>
      </c>
      <c r="W3827" s="413"/>
    </row>
    <row r="3828" spans="6:23" ht="24" customHeight="1">
      <c r="F3828" s="416">
        <v>20</v>
      </c>
      <c r="G3828" s="414" t="s">
        <v>1341</v>
      </c>
      <c r="H3828" s="412" t="s">
        <v>695</v>
      </c>
      <c r="I3828" s="414" t="e">
        <f t="shared" si="370"/>
        <v>#REF!</v>
      </c>
      <c r="J3828" s="412" t="s">
        <v>694</v>
      </c>
      <c r="K3828" s="414" t="e">
        <f>(F3828*I3828)/1000</f>
        <v>#REF!</v>
      </c>
      <c r="W3828" s="413"/>
    </row>
    <row r="3829" spans="6:23" ht="24" customHeight="1">
      <c r="F3829" s="416">
        <v>2</v>
      </c>
      <c r="G3829" s="414" t="s">
        <v>1341</v>
      </c>
      <c r="H3829" s="412" t="s">
        <v>1691</v>
      </c>
      <c r="I3829" s="414">
        <f t="shared" si="370"/>
        <v>36.1</v>
      </c>
      <c r="J3829" s="412" t="s">
        <v>1341</v>
      </c>
      <c r="K3829" s="414">
        <f>(F3829*I3829)</f>
        <v>72.2</v>
      </c>
      <c r="W3829" s="413"/>
    </row>
    <row r="3830" spans="6:23" ht="24" customHeight="1">
      <c r="F3830" s="414">
        <v>1.6</v>
      </c>
      <c r="G3830" s="414" t="s">
        <v>619</v>
      </c>
      <c r="H3830" s="412" t="s">
        <v>1392</v>
      </c>
      <c r="I3830" s="414">
        <f t="shared" si="370"/>
        <v>932</v>
      </c>
      <c r="J3830" s="412" t="s">
        <v>619</v>
      </c>
      <c r="K3830" s="414">
        <f>(F3830*I3830)</f>
        <v>1491.2</v>
      </c>
      <c r="W3830" s="413"/>
    </row>
    <row r="3831" spans="6:23" ht="24" customHeight="1">
      <c r="F3831" s="414">
        <v>0.5</v>
      </c>
      <c r="G3831" s="414" t="s">
        <v>619</v>
      </c>
      <c r="H3831" s="412" t="s">
        <v>1550</v>
      </c>
      <c r="I3831" s="414">
        <f t="shared" si="370"/>
        <v>651</v>
      </c>
      <c r="J3831" s="412" t="s">
        <v>619</v>
      </c>
      <c r="K3831" s="414">
        <f>(F3831*I3831)</f>
        <v>325.5</v>
      </c>
      <c r="W3831" s="413"/>
    </row>
    <row r="3832" spans="6:23" ht="24" customHeight="1">
      <c r="F3832" s="414">
        <v>1.1000000000000001</v>
      </c>
      <c r="G3832" s="414" t="s">
        <v>619</v>
      </c>
      <c r="H3832" s="412" t="s">
        <v>245</v>
      </c>
      <c r="I3832" s="414">
        <f t="shared" si="370"/>
        <v>534</v>
      </c>
      <c r="J3832" s="412" t="s">
        <v>619</v>
      </c>
      <c r="K3832" s="414">
        <f>(F3832*I3832)</f>
        <v>587.4</v>
      </c>
      <c r="W3832" s="413"/>
    </row>
    <row r="3833" spans="6:23" ht="24" customHeight="1">
      <c r="G3833" s="414" t="s">
        <v>358</v>
      </c>
      <c r="H3833" s="412" t="s">
        <v>359</v>
      </c>
      <c r="J3833" s="412" t="s">
        <v>358</v>
      </c>
      <c r="K3833" s="414">
        <v>0</v>
      </c>
      <c r="W3833" s="413"/>
    </row>
    <row r="3834" spans="6:23" ht="24" customHeight="1">
      <c r="K3834" s="418" t="s">
        <v>1288</v>
      </c>
      <c r="W3834" s="413"/>
    </row>
    <row r="3835" spans="6:23" ht="24" customHeight="1">
      <c r="H3835" s="412" t="s">
        <v>351</v>
      </c>
      <c r="K3835" s="414" t="e">
        <f>SUM(K3821:K3833)</f>
        <v>#REF!</v>
      </c>
      <c r="W3835" s="413"/>
    </row>
    <row r="3836" spans="6:23" ht="24" customHeight="1">
      <c r="K3836" s="418" t="s">
        <v>1288</v>
      </c>
      <c r="W3836" s="413"/>
    </row>
    <row r="3837" spans="6:23" ht="24" customHeight="1">
      <c r="F3837" s="416"/>
      <c r="H3837" s="420" t="s">
        <v>447</v>
      </c>
      <c r="K3837" s="417" t="e">
        <f>(K3835/10)</f>
        <v>#REF!</v>
      </c>
      <c r="W3837" s="413"/>
    </row>
    <row r="3838" spans="6:23" ht="24" customHeight="1">
      <c r="F3838" s="416"/>
      <c r="K3838" s="418" t="s">
        <v>1676</v>
      </c>
      <c r="W3838" s="413"/>
    </row>
    <row r="3839" spans="6:23" ht="24" customHeight="1">
      <c r="W3839" s="413"/>
    </row>
    <row r="3840" spans="6:23" ht="24" customHeight="1">
      <c r="G3840" s="417" t="s">
        <v>2495</v>
      </c>
      <c r="I3840" s="412">
        <f>1.2*0.8</f>
        <v>0.96</v>
      </c>
      <c r="J3840" s="414"/>
      <c r="K3840" s="416"/>
      <c r="W3840" s="413"/>
    </row>
    <row r="3841" spans="5:23" ht="24" customHeight="1">
      <c r="I3841" s="412"/>
      <c r="J3841" s="414"/>
      <c r="K3841" s="416"/>
      <c r="W3841" s="413"/>
    </row>
    <row r="3842" spans="5:23" ht="24" customHeight="1">
      <c r="E3842" s="412" t="s">
        <v>2496</v>
      </c>
      <c r="F3842" s="412"/>
      <c r="G3842" s="412"/>
      <c r="H3842" s="416">
        <f>4*3.9</f>
        <v>15.6</v>
      </c>
      <c r="I3842" s="412" t="s">
        <v>283</v>
      </c>
      <c r="K3842" s="416"/>
      <c r="W3842" s="413"/>
    </row>
    <row r="3843" spans="5:23" ht="24" customHeight="1">
      <c r="E3843" s="414" t="s">
        <v>2497</v>
      </c>
      <c r="H3843" s="414">
        <f>11*0.8*3.14</f>
        <v>27.63</v>
      </c>
      <c r="I3843" s="412" t="s">
        <v>283</v>
      </c>
      <c r="K3843" s="416"/>
      <c r="W3843" s="413"/>
    </row>
    <row r="3844" spans="5:23" ht="24" customHeight="1">
      <c r="E3844" s="414" t="s">
        <v>2498</v>
      </c>
      <c r="H3844" s="414">
        <f>2*1.2*1.2</f>
        <v>2.88</v>
      </c>
      <c r="I3844" s="412" t="s">
        <v>283</v>
      </c>
      <c r="K3844" s="416"/>
      <c r="W3844" s="413"/>
    </row>
    <row r="3845" spans="5:23" ht="24" customHeight="1">
      <c r="E3845" s="414" t="s">
        <v>2499</v>
      </c>
      <c r="H3845" s="414">
        <f>3*0.8*1.2</f>
        <v>2.88</v>
      </c>
      <c r="I3845" s="412" t="s">
        <v>283</v>
      </c>
      <c r="K3845" s="416"/>
      <c r="W3845" s="413"/>
    </row>
    <row r="3846" spans="5:23" ht="24" customHeight="1">
      <c r="E3846" s="414" t="s">
        <v>2500</v>
      </c>
      <c r="H3846" s="414">
        <v>5</v>
      </c>
      <c r="I3846" s="412"/>
      <c r="K3846" s="416"/>
      <c r="W3846" s="413"/>
    </row>
    <row r="3847" spans="5:23" ht="24" customHeight="1">
      <c r="H3847" s="429" t="s">
        <v>711</v>
      </c>
      <c r="I3847" s="412"/>
      <c r="K3847" s="416"/>
      <c r="W3847" s="413"/>
    </row>
    <row r="3848" spans="5:23" ht="24" customHeight="1">
      <c r="H3848" s="440">
        <f>SUM(H3842:H3846)</f>
        <v>53.99</v>
      </c>
      <c r="I3848" s="412" t="s">
        <v>283</v>
      </c>
      <c r="J3848" s="412">
        <f>H3848-51.7</f>
        <v>2.29</v>
      </c>
      <c r="K3848" s="416"/>
      <c r="W3848" s="413"/>
    </row>
    <row r="3849" spans="5:23" ht="24" customHeight="1">
      <c r="H3849" s="429" t="s">
        <v>711</v>
      </c>
      <c r="I3849" s="412"/>
      <c r="J3849" s="414"/>
      <c r="K3849" s="416"/>
      <c r="W3849" s="413"/>
    </row>
    <row r="3850" spans="5:23" ht="24" hidden="1" customHeight="1">
      <c r="I3850" s="412"/>
      <c r="J3850" s="414"/>
      <c r="K3850" s="416"/>
      <c r="W3850" s="413"/>
    </row>
    <row r="3851" spans="5:23" ht="24" customHeight="1">
      <c r="I3851" s="412"/>
      <c r="J3851" s="414"/>
      <c r="K3851" s="416"/>
      <c r="W3851" s="413"/>
    </row>
    <row r="3852" spans="5:23" ht="24" customHeight="1">
      <c r="E3852" s="416">
        <f>H3848</f>
        <v>53.99</v>
      </c>
      <c r="F3852" s="414" t="s">
        <v>1341</v>
      </c>
      <c r="G3852" s="414" t="s">
        <v>412</v>
      </c>
      <c r="H3852" s="414">
        <f>I2607</f>
        <v>70.150000000000006</v>
      </c>
      <c r="I3852" s="412" t="s">
        <v>1341</v>
      </c>
      <c r="J3852" s="414">
        <f>H3852*E3852</f>
        <v>3787.4</v>
      </c>
      <c r="K3852" s="416"/>
      <c r="W3852" s="413"/>
    </row>
    <row r="3853" spans="5:23" ht="24" customHeight="1">
      <c r="E3853" s="416">
        <v>0.96</v>
      </c>
      <c r="F3853" s="414" t="s">
        <v>1861</v>
      </c>
      <c r="G3853" s="414" t="s">
        <v>1729</v>
      </c>
      <c r="H3853" s="414">
        <f>I2608</f>
        <v>379.9</v>
      </c>
      <c r="I3853" s="412" t="s">
        <v>1861</v>
      </c>
      <c r="J3853" s="414">
        <f>H3853*E3853</f>
        <v>364.7</v>
      </c>
      <c r="K3853" s="416"/>
      <c r="W3853" s="413"/>
    </row>
    <row r="3854" spans="5:23" ht="24" customHeight="1">
      <c r="E3854" s="416">
        <v>0.96</v>
      </c>
      <c r="F3854" s="414" t="s">
        <v>1861</v>
      </c>
      <c r="G3854" s="414" t="s">
        <v>413</v>
      </c>
      <c r="H3854" s="414">
        <f>I2609</f>
        <v>40.65</v>
      </c>
      <c r="I3854" s="412" t="s">
        <v>1861</v>
      </c>
      <c r="J3854" s="414">
        <f>H3854*E3854</f>
        <v>39.020000000000003</v>
      </c>
      <c r="K3854" s="416"/>
      <c r="W3854" s="413"/>
    </row>
    <row r="3855" spans="5:23" ht="24" customHeight="1">
      <c r="G3855" s="414" t="s">
        <v>463</v>
      </c>
      <c r="H3855" s="414">
        <f>I2610</f>
        <v>266.81</v>
      </c>
      <c r="I3855" s="412" t="s">
        <v>358</v>
      </c>
      <c r="J3855" s="414">
        <f>H3855</f>
        <v>266.81</v>
      </c>
      <c r="K3855" s="416"/>
      <c r="W3855" s="413"/>
    </row>
    <row r="3856" spans="5:23" ht="24" customHeight="1">
      <c r="I3856" s="412"/>
      <c r="J3856" s="429" t="s">
        <v>119</v>
      </c>
      <c r="K3856" s="416"/>
      <c r="W3856" s="413"/>
    </row>
    <row r="3857" spans="5:23" ht="24" customHeight="1">
      <c r="G3857" s="417" t="s">
        <v>415</v>
      </c>
      <c r="I3857" s="412"/>
      <c r="J3857" s="417">
        <f>SUM(J3852:J3856)</f>
        <v>4457.93</v>
      </c>
      <c r="K3857" s="416"/>
      <c r="W3857" s="413"/>
    </row>
    <row r="3858" spans="5:23" ht="24" customHeight="1">
      <c r="I3858" s="412"/>
      <c r="J3858" s="429" t="s">
        <v>119</v>
      </c>
      <c r="K3858" s="416"/>
      <c r="W3858" s="413"/>
    </row>
    <row r="3859" spans="5:23" ht="24" customHeight="1">
      <c r="G3859" s="419" t="s">
        <v>1957</v>
      </c>
      <c r="I3859" s="412"/>
      <c r="J3859" s="417">
        <f>J3857/E3853</f>
        <v>4643.68</v>
      </c>
      <c r="K3859" s="416"/>
      <c r="W3859" s="413"/>
    </row>
    <row r="3860" spans="5:23" ht="24" customHeight="1">
      <c r="J3860" s="414"/>
      <c r="K3860" s="416"/>
      <c r="W3860" s="413"/>
    </row>
    <row r="3861" spans="5:23" ht="24" customHeight="1">
      <c r="G3861" s="417" t="s">
        <v>2501</v>
      </c>
      <c r="I3861" s="412">
        <f>1*0.8</f>
        <v>0.8</v>
      </c>
      <c r="J3861" s="414"/>
      <c r="K3861" s="416"/>
      <c r="W3861" s="413"/>
    </row>
    <row r="3862" spans="5:23" ht="24" customHeight="1">
      <c r="I3862" s="412"/>
      <c r="J3862" s="414"/>
      <c r="K3862" s="416"/>
      <c r="W3862" s="413"/>
    </row>
    <row r="3863" spans="5:23" ht="24" customHeight="1">
      <c r="E3863" s="412" t="s">
        <v>2502</v>
      </c>
      <c r="F3863" s="412"/>
      <c r="G3863" s="412"/>
      <c r="H3863" s="416">
        <f>3.6*3.9</f>
        <v>14.04</v>
      </c>
      <c r="I3863" s="412" t="s">
        <v>283</v>
      </c>
      <c r="K3863" s="416"/>
      <c r="W3863" s="413"/>
    </row>
    <row r="3864" spans="5:23" ht="24" customHeight="1">
      <c r="E3864" s="414" t="s">
        <v>2503</v>
      </c>
      <c r="H3864" s="414">
        <f>9*0.8*3.14</f>
        <v>22.61</v>
      </c>
      <c r="I3864" s="412" t="s">
        <v>283</v>
      </c>
      <c r="K3864" s="416"/>
      <c r="W3864" s="413"/>
    </row>
    <row r="3865" spans="5:23" ht="24" customHeight="1">
      <c r="E3865" s="414" t="s">
        <v>2504</v>
      </c>
      <c r="H3865" s="414">
        <f>2*1*1.2</f>
        <v>2.4</v>
      </c>
      <c r="I3865" s="412" t="s">
        <v>283</v>
      </c>
      <c r="K3865" s="416"/>
      <c r="W3865" s="413"/>
    </row>
    <row r="3866" spans="5:23" ht="24" customHeight="1">
      <c r="E3866" s="414" t="s">
        <v>2499</v>
      </c>
      <c r="H3866" s="414">
        <f>3*0.8*1.2</f>
        <v>2.88</v>
      </c>
      <c r="I3866" s="412" t="s">
        <v>283</v>
      </c>
      <c r="K3866" s="416"/>
      <c r="W3866" s="413"/>
    </row>
    <row r="3867" spans="5:23" ht="24" customHeight="1">
      <c r="E3867" s="414" t="s">
        <v>2500</v>
      </c>
      <c r="H3867" s="414">
        <v>5</v>
      </c>
      <c r="I3867" s="412"/>
      <c r="K3867" s="416"/>
      <c r="W3867" s="413"/>
    </row>
    <row r="3868" spans="5:23" ht="24" customHeight="1">
      <c r="H3868" s="429" t="s">
        <v>711</v>
      </c>
      <c r="I3868" s="412"/>
      <c r="K3868" s="416"/>
      <c r="W3868" s="413"/>
    </row>
    <row r="3869" spans="5:23" ht="24" customHeight="1">
      <c r="H3869" s="440">
        <f>SUM(H3863:H3867)</f>
        <v>46.93</v>
      </c>
      <c r="I3869" s="412" t="s">
        <v>283</v>
      </c>
      <c r="K3869" s="416"/>
      <c r="W3869" s="413"/>
    </row>
    <row r="3870" spans="5:23" ht="24" customHeight="1">
      <c r="H3870" s="429" t="s">
        <v>711</v>
      </c>
      <c r="I3870" s="412"/>
      <c r="J3870" s="414"/>
      <c r="K3870" s="416"/>
      <c r="W3870" s="413"/>
    </row>
    <row r="3871" spans="5:23" ht="24" hidden="1" customHeight="1">
      <c r="I3871" s="412"/>
      <c r="J3871" s="414"/>
      <c r="K3871" s="416"/>
      <c r="W3871" s="413"/>
    </row>
    <row r="3872" spans="5:23" ht="24" customHeight="1">
      <c r="I3872" s="412"/>
      <c r="J3872" s="414"/>
      <c r="K3872" s="416"/>
      <c r="W3872" s="413"/>
    </row>
    <row r="3873" spans="5:23" ht="24" customHeight="1">
      <c r="E3873" s="416">
        <f>H3869</f>
        <v>46.93</v>
      </c>
      <c r="F3873" s="414" t="s">
        <v>1341</v>
      </c>
      <c r="G3873" s="414" t="s">
        <v>412</v>
      </c>
      <c r="H3873" s="414">
        <f>H3852</f>
        <v>70.150000000000006</v>
      </c>
      <c r="I3873" s="412" t="s">
        <v>1341</v>
      </c>
      <c r="J3873" s="414">
        <f>H3873*E3873</f>
        <v>3292.14</v>
      </c>
      <c r="K3873" s="416"/>
      <c r="W3873" s="413"/>
    </row>
    <row r="3874" spans="5:23" ht="24" customHeight="1">
      <c r="E3874" s="414">
        <v>0.8</v>
      </c>
      <c r="F3874" s="414" t="s">
        <v>1861</v>
      </c>
      <c r="G3874" s="414" t="s">
        <v>1729</v>
      </c>
      <c r="H3874" s="414">
        <f>H3853</f>
        <v>379.9</v>
      </c>
      <c r="I3874" s="412" t="s">
        <v>1861</v>
      </c>
      <c r="J3874" s="414">
        <f>H3874*E3874</f>
        <v>303.92</v>
      </c>
      <c r="K3874" s="416"/>
      <c r="W3874" s="413"/>
    </row>
    <row r="3875" spans="5:23" ht="24" customHeight="1">
      <c r="E3875" s="414">
        <v>0.8</v>
      </c>
      <c r="F3875" s="414" t="s">
        <v>1861</v>
      </c>
      <c r="G3875" s="414" t="s">
        <v>413</v>
      </c>
      <c r="H3875" s="414">
        <f>H3854</f>
        <v>40.65</v>
      </c>
      <c r="I3875" s="412" t="s">
        <v>1861</v>
      </c>
      <c r="J3875" s="414">
        <f>H3875*E3875</f>
        <v>32.520000000000003</v>
      </c>
      <c r="K3875" s="416"/>
      <c r="W3875" s="413"/>
    </row>
    <row r="3876" spans="5:23" ht="24" customHeight="1">
      <c r="G3876" s="414" t="s">
        <v>463</v>
      </c>
      <c r="H3876" s="414">
        <f>H3855</f>
        <v>266.81</v>
      </c>
      <c r="I3876" s="412" t="s">
        <v>358</v>
      </c>
      <c r="J3876" s="414">
        <v>47.1</v>
      </c>
      <c r="K3876" s="416"/>
      <c r="W3876" s="413"/>
    </row>
    <row r="3877" spans="5:23" ht="24" customHeight="1">
      <c r="I3877" s="412"/>
      <c r="J3877" s="429" t="s">
        <v>119</v>
      </c>
      <c r="K3877" s="416"/>
      <c r="W3877" s="413"/>
    </row>
    <row r="3878" spans="5:23" ht="24" customHeight="1">
      <c r="G3878" s="417" t="s">
        <v>415</v>
      </c>
      <c r="I3878" s="412"/>
      <c r="J3878" s="417">
        <f>SUM(J3873:J3877)</f>
        <v>3675.68</v>
      </c>
      <c r="K3878" s="416"/>
      <c r="W3878" s="413"/>
    </row>
    <row r="3879" spans="5:23" ht="24" customHeight="1">
      <c r="I3879" s="412"/>
      <c r="J3879" s="429" t="s">
        <v>119</v>
      </c>
      <c r="K3879" s="416"/>
      <c r="W3879" s="413"/>
    </row>
    <row r="3880" spans="5:23" ht="24" customHeight="1">
      <c r="G3880" s="419" t="s">
        <v>1957</v>
      </c>
      <c r="I3880" s="412"/>
      <c r="J3880" s="417">
        <f>J3878/E3874</f>
        <v>4594.6000000000004</v>
      </c>
      <c r="K3880" s="416"/>
      <c r="W3880" s="413"/>
    </row>
    <row r="3881" spans="5:23" ht="24" customHeight="1">
      <c r="E3881" s="414" t="s">
        <v>410</v>
      </c>
      <c r="H3881" s="414">
        <v>3.24</v>
      </c>
      <c r="I3881" s="412" t="s">
        <v>283</v>
      </c>
      <c r="J3881" s="414"/>
      <c r="K3881" s="416"/>
      <c r="W3881" s="413"/>
    </row>
    <row r="3882" spans="5:23" ht="24" customHeight="1">
      <c r="E3882" s="414" t="s">
        <v>411</v>
      </c>
      <c r="H3882" s="414">
        <v>2.16</v>
      </c>
      <c r="I3882" s="412" t="s">
        <v>283</v>
      </c>
      <c r="J3882" s="414"/>
      <c r="K3882" s="416"/>
      <c r="W3882" s="413"/>
    </row>
    <row r="3883" spans="5:23" ht="24" customHeight="1">
      <c r="I3883" s="412"/>
      <c r="J3883" s="414"/>
      <c r="K3883" s="416"/>
      <c r="W3883" s="413"/>
    </row>
    <row r="3884" spans="5:23" ht="24" customHeight="1">
      <c r="H3884" s="429" t="s">
        <v>119</v>
      </c>
      <c r="I3884" s="412"/>
      <c r="J3884" s="414"/>
      <c r="K3884" s="416"/>
      <c r="W3884" s="413"/>
    </row>
    <row r="3885" spans="5:23" ht="24" customHeight="1">
      <c r="H3885" s="414">
        <f>SUM(H3879:H3883)</f>
        <v>5.4</v>
      </c>
      <c r="I3885" s="412"/>
      <c r="J3885" s="414"/>
      <c r="K3885" s="416"/>
      <c r="W3885" s="413"/>
    </row>
    <row r="3886" spans="5:23" ht="24" customHeight="1">
      <c r="H3886" s="414" t="s">
        <v>1374</v>
      </c>
      <c r="I3886" s="412"/>
      <c r="J3886" s="414"/>
      <c r="K3886" s="416"/>
      <c r="W3886" s="413"/>
    </row>
    <row r="3887" spans="5:23" ht="24" hidden="1" customHeight="1">
      <c r="I3887" s="412"/>
      <c r="J3887" s="414"/>
      <c r="K3887" s="416"/>
      <c r="W3887" s="413"/>
    </row>
    <row r="3888" spans="5:23" ht="24" customHeight="1">
      <c r="I3888" s="412"/>
      <c r="J3888" s="414"/>
      <c r="K3888" s="416"/>
      <c r="W3888" s="413"/>
    </row>
    <row r="3889" spans="5:23" ht="24" customHeight="1">
      <c r="E3889" s="414">
        <v>42.81</v>
      </c>
      <c r="F3889" s="414" t="s">
        <v>1341</v>
      </c>
      <c r="G3889" s="414" t="s">
        <v>412</v>
      </c>
      <c r="H3889" s="414">
        <f>H3873</f>
        <v>70.150000000000006</v>
      </c>
      <c r="I3889" s="412" t="s">
        <v>1341</v>
      </c>
      <c r="J3889" s="414">
        <f>H3889*E3889</f>
        <v>3003.12</v>
      </c>
      <c r="K3889" s="416"/>
      <c r="W3889" s="413"/>
    </row>
    <row r="3890" spans="5:23" ht="24" customHeight="1">
      <c r="E3890" s="414">
        <v>0.77</v>
      </c>
      <c r="F3890" s="414" t="s">
        <v>1861</v>
      </c>
      <c r="G3890" s="414" t="s">
        <v>1898</v>
      </c>
      <c r="H3890" s="414">
        <f>H3874</f>
        <v>379.9</v>
      </c>
      <c r="I3890" s="412" t="s">
        <v>1861</v>
      </c>
      <c r="J3890" s="414">
        <f>H3890*E3890</f>
        <v>292.52</v>
      </c>
      <c r="K3890" s="416"/>
      <c r="W3890" s="413"/>
    </row>
    <row r="3891" spans="5:23" ht="24" customHeight="1">
      <c r="E3891" s="414">
        <v>0.77</v>
      </c>
      <c r="F3891" s="414" t="s">
        <v>1861</v>
      </c>
      <c r="G3891" s="414" t="s">
        <v>1586</v>
      </c>
      <c r="H3891" s="414">
        <f>H3875</f>
        <v>40.65</v>
      </c>
      <c r="I3891" s="412" t="s">
        <v>1861</v>
      </c>
      <c r="J3891" s="414">
        <f>H3891*E3891</f>
        <v>31.3</v>
      </c>
      <c r="K3891" s="416"/>
      <c r="W3891" s="413"/>
    </row>
    <row r="3892" spans="5:23" ht="24" customHeight="1">
      <c r="G3892" s="414" t="s">
        <v>414</v>
      </c>
      <c r="H3892" s="414">
        <f>H3876</f>
        <v>266.81</v>
      </c>
      <c r="I3892" s="412" t="s">
        <v>358</v>
      </c>
      <c r="J3892" s="414">
        <f>H3892</f>
        <v>266.81</v>
      </c>
      <c r="K3892" s="416"/>
      <c r="W3892" s="413"/>
    </row>
    <row r="3893" spans="5:23" ht="24" customHeight="1">
      <c r="I3893" s="412"/>
      <c r="J3893" s="429" t="s">
        <v>119</v>
      </c>
      <c r="K3893" s="416"/>
      <c r="W3893" s="413"/>
    </row>
    <row r="3894" spans="5:23" ht="24" customHeight="1">
      <c r="G3894" s="417" t="s">
        <v>415</v>
      </c>
      <c r="I3894" s="412"/>
      <c r="J3894" s="417">
        <f>SUM(J3889:J3892)</f>
        <v>3593.75</v>
      </c>
      <c r="K3894" s="416"/>
      <c r="W3894" s="413"/>
    </row>
    <row r="3895" spans="5:23" ht="24" customHeight="1">
      <c r="I3895" s="412"/>
      <c r="J3895" s="429" t="s">
        <v>119</v>
      </c>
      <c r="K3895" s="416"/>
      <c r="W3895" s="413"/>
    </row>
    <row r="3896" spans="5:23" ht="24" customHeight="1">
      <c r="G3896" s="414">
        <f>1.285*0.6</f>
        <v>0.77</v>
      </c>
      <c r="I3896" s="412"/>
      <c r="J3896" s="414">
        <f>J3894/G3896</f>
        <v>4667.21</v>
      </c>
      <c r="K3896" s="416"/>
      <c r="W3896" s="413"/>
    </row>
    <row r="3897" spans="5:23" ht="24" customHeight="1">
      <c r="E3897" s="414">
        <f>C3890</f>
        <v>0</v>
      </c>
      <c r="G3897" s="412">
        <f>E3897*D3856</f>
        <v>0</v>
      </c>
      <c r="J3897" s="414"/>
      <c r="K3897" s="416"/>
      <c r="W3897" s="413"/>
    </row>
    <row r="3898" spans="5:23" ht="24" customHeight="1">
      <c r="G3898" s="412">
        <v>0.8</v>
      </c>
      <c r="J3898" s="414"/>
      <c r="K3898" s="416"/>
      <c r="W3898" s="413"/>
    </row>
    <row r="3899" spans="5:23" ht="24" customHeight="1">
      <c r="G3899" s="412">
        <f>SUM(G3895:G3898)</f>
        <v>1.57</v>
      </c>
      <c r="J3899" s="414"/>
      <c r="K3899" s="416"/>
      <c r="W3899" s="413"/>
    </row>
    <row r="3900" spans="5:23" ht="24" customHeight="1">
      <c r="G3900" s="412">
        <f>G3899/0.77</f>
        <v>2.04</v>
      </c>
      <c r="J3900" s="414"/>
      <c r="K3900" s="416"/>
      <c r="W3900" s="413"/>
    </row>
    <row r="3901" spans="5:23" ht="24" customHeight="1">
      <c r="H3901" s="417" t="s">
        <v>2610</v>
      </c>
      <c r="J3901" s="414"/>
      <c r="K3901" s="416"/>
      <c r="W3901" s="413"/>
    </row>
    <row r="3902" spans="5:23" ht="24" customHeight="1">
      <c r="F3902" s="413" t="s">
        <v>1075</v>
      </c>
      <c r="G3902" s="414" t="s">
        <v>1833</v>
      </c>
      <c r="H3902" s="412" t="s">
        <v>1656</v>
      </c>
      <c r="W3902" s="413"/>
    </row>
    <row r="3903" spans="5:23" ht="24" customHeight="1">
      <c r="H3903" s="412" t="s">
        <v>1657</v>
      </c>
      <c r="W3903" s="413"/>
    </row>
    <row r="3904" spans="5:23" ht="24" customHeight="1">
      <c r="H3904" s="412" t="s">
        <v>1658</v>
      </c>
      <c r="W3904" s="413"/>
    </row>
    <row r="3905" spans="6:23" ht="24" customHeight="1">
      <c r="H3905" s="412" t="s">
        <v>721</v>
      </c>
      <c r="W3905" s="413"/>
    </row>
    <row r="3906" spans="6:23" ht="24" customHeight="1">
      <c r="H3906" s="412" t="s">
        <v>722</v>
      </c>
      <c r="W3906" s="413"/>
    </row>
    <row r="3907" spans="6:23" ht="24" customHeight="1">
      <c r="H3907" s="412" t="s">
        <v>1399</v>
      </c>
      <c r="W3907" s="413"/>
    </row>
    <row r="3908" spans="6:23" ht="24" customHeight="1">
      <c r="H3908" s="412" t="s">
        <v>71</v>
      </c>
      <c r="W3908" s="413"/>
    </row>
    <row r="3909" spans="6:23" ht="24" customHeight="1">
      <c r="H3909" s="412" t="s">
        <v>72</v>
      </c>
      <c r="W3909" s="413"/>
    </row>
    <row r="3910" spans="6:23" ht="24" customHeight="1">
      <c r="H3910" s="412" t="s">
        <v>73</v>
      </c>
      <c r="W3910" s="413"/>
    </row>
    <row r="3911" spans="6:23" ht="24" customHeight="1">
      <c r="H3911" s="412" t="s">
        <v>74</v>
      </c>
      <c r="W3911" s="413"/>
    </row>
    <row r="3912" spans="6:23" ht="24" customHeight="1">
      <c r="H3912" s="412" t="s">
        <v>1674</v>
      </c>
      <c r="W3912" s="413"/>
    </row>
    <row r="3913" spans="6:23" ht="24" customHeight="1">
      <c r="H3913" s="412" t="s">
        <v>836</v>
      </c>
      <c r="W3913" s="413"/>
    </row>
    <row r="3914" spans="6:23" ht="24" customHeight="1">
      <c r="H3914" s="412" t="s">
        <v>1450</v>
      </c>
      <c r="W3914" s="413"/>
    </row>
    <row r="3915" spans="6:23" ht="24" customHeight="1">
      <c r="H3915" s="412" t="s">
        <v>1451</v>
      </c>
      <c r="W3915" s="413"/>
    </row>
    <row r="3916" spans="6:23" ht="24" hidden="1" customHeight="1">
      <c r="W3916" s="413"/>
    </row>
    <row r="3917" spans="6:23" ht="24" customHeight="1">
      <c r="W3917" s="413"/>
    </row>
    <row r="3918" spans="6:23" ht="24" customHeight="1">
      <c r="G3918" s="414" t="s">
        <v>242</v>
      </c>
      <c r="H3918" s="413" t="s">
        <v>1448</v>
      </c>
      <c r="W3918" s="413"/>
    </row>
    <row r="3919" spans="6:23" ht="24" customHeight="1">
      <c r="H3919" s="413" t="s">
        <v>1453</v>
      </c>
      <c r="W3919" s="413"/>
    </row>
    <row r="3920" spans="6:23" ht="24" customHeight="1">
      <c r="F3920" s="439">
        <v>3.8100000000000002E-2</v>
      </c>
      <c r="G3920" s="414" t="s">
        <v>702</v>
      </c>
      <c r="H3920" s="412" t="s">
        <v>1685</v>
      </c>
      <c r="I3920" s="414" t="e">
        <f>K821</f>
        <v>#REF!</v>
      </c>
      <c r="J3920" s="412" t="s">
        <v>702</v>
      </c>
      <c r="K3920" s="414" t="e">
        <f>F3920*I3920</f>
        <v>#REF!</v>
      </c>
      <c r="W3920" s="413"/>
    </row>
    <row r="3921" spans="6:23" ht="24" customHeight="1">
      <c r="F3921" s="429">
        <v>5.01</v>
      </c>
      <c r="G3921" s="414" t="s">
        <v>1341</v>
      </c>
      <c r="H3921" s="412" t="s">
        <v>1686</v>
      </c>
      <c r="I3921" s="414" t="e">
        <f>K1608</f>
        <v>#REF!</v>
      </c>
      <c r="J3921" s="412" t="s">
        <v>694</v>
      </c>
      <c r="K3921" s="414" t="e">
        <f>F3921*I3921/1000</f>
        <v>#REF!</v>
      </c>
      <c r="W3921" s="413"/>
    </row>
    <row r="3922" spans="6:23" ht="24" customHeight="1">
      <c r="F3922" s="414">
        <v>3</v>
      </c>
      <c r="G3922" s="414" t="s">
        <v>701</v>
      </c>
      <c r="H3922" s="412" t="s">
        <v>964</v>
      </c>
      <c r="I3922" s="414">
        <v>14.8</v>
      </c>
      <c r="J3922" s="412" t="s">
        <v>701</v>
      </c>
      <c r="K3922" s="414">
        <f t="shared" ref="K3922:K3929" si="371">F3922*I3922</f>
        <v>44.4</v>
      </c>
      <c r="W3922" s="413"/>
    </row>
    <row r="3923" spans="6:23" ht="24" customHeight="1">
      <c r="F3923" s="414">
        <v>12</v>
      </c>
      <c r="G3923" s="414" t="s">
        <v>701</v>
      </c>
      <c r="H3923" s="412" t="s">
        <v>965</v>
      </c>
      <c r="I3923" s="414">
        <v>2</v>
      </c>
      <c r="J3923" s="412" t="s">
        <v>701</v>
      </c>
      <c r="K3923" s="414">
        <f t="shared" si="371"/>
        <v>24</v>
      </c>
      <c r="W3923" s="413"/>
    </row>
    <row r="3924" spans="6:23" ht="24" customHeight="1">
      <c r="F3924" s="414">
        <v>2</v>
      </c>
      <c r="G3924" s="414" t="s">
        <v>701</v>
      </c>
      <c r="H3924" s="412" t="s">
        <v>966</v>
      </c>
      <c r="I3924" s="414">
        <v>4.9000000000000004</v>
      </c>
      <c r="J3924" s="412" t="s">
        <v>701</v>
      </c>
      <c r="K3924" s="414">
        <f t="shared" si="371"/>
        <v>9.8000000000000007</v>
      </c>
      <c r="W3924" s="413"/>
    </row>
    <row r="3925" spans="6:23" ht="24" customHeight="1">
      <c r="F3925" s="414">
        <v>6</v>
      </c>
      <c r="G3925" s="414" t="s">
        <v>701</v>
      </c>
      <c r="H3925" s="412" t="s">
        <v>1808</v>
      </c>
      <c r="I3925" s="414">
        <v>4.45</v>
      </c>
      <c r="J3925" s="412" t="s">
        <v>701</v>
      </c>
      <c r="K3925" s="414">
        <f t="shared" si="371"/>
        <v>26.7</v>
      </c>
      <c r="W3925" s="413"/>
    </row>
    <row r="3926" spans="6:23" ht="24" customHeight="1">
      <c r="F3926" s="414">
        <v>1</v>
      </c>
      <c r="G3926" s="414" t="s">
        <v>701</v>
      </c>
      <c r="H3926" s="412" t="s">
        <v>967</v>
      </c>
      <c r="I3926" s="414">
        <f>I865</f>
        <v>999</v>
      </c>
      <c r="J3926" s="412" t="s">
        <v>701</v>
      </c>
      <c r="K3926" s="414">
        <f t="shared" si="371"/>
        <v>999</v>
      </c>
      <c r="W3926" s="413"/>
    </row>
    <row r="3927" spans="6:23" ht="24" customHeight="1">
      <c r="F3927" s="414">
        <v>1</v>
      </c>
      <c r="G3927" s="414" t="s">
        <v>701</v>
      </c>
      <c r="H3927" s="412" t="s">
        <v>968</v>
      </c>
      <c r="I3927" s="414">
        <f>I866</f>
        <v>651</v>
      </c>
      <c r="J3927" s="412" t="s">
        <v>701</v>
      </c>
      <c r="K3927" s="414">
        <f t="shared" si="371"/>
        <v>651</v>
      </c>
      <c r="W3927" s="413"/>
    </row>
    <row r="3928" spans="6:23" ht="24" customHeight="1">
      <c r="F3928" s="414">
        <v>1</v>
      </c>
      <c r="G3928" s="414" t="s">
        <v>701</v>
      </c>
      <c r="H3928" s="412" t="s">
        <v>969</v>
      </c>
      <c r="I3928" s="414">
        <v>25</v>
      </c>
      <c r="J3928" s="412" t="s">
        <v>701</v>
      </c>
      <c r="K3928" s="414">
        <f t="shared" si="371"/>
        <v>25</v>
      </c>
      <c r="W3928" s="413"/>
    </row>
    <row r="3929" spans="6:23" ht="24" customHeight="1">
      <c r="F3929" s="414">
        <v>0.5</v>
      </c>
      <c r="G3929" s="414" t="s">
        <v>701</v>
      </c>
      <c r="H3929" s="412" t="s">
        <v>970</v>
      </c>
      <c r="I3929" s="414">
        <f>I868</f>
        <v>534</v>
      </c>
      <c r="J3929" s="412" t="s">
        <v>701</v>
      </c>
      <c r="K3929" s="414">
        <f t="shared" si="371"/>
        <v>267</v>
      </c>
      <c r="W3929" s="413"/>
    </row>
    <row r="3930" spans="6:23" ht="24" customHeight="1">
      <c r="G3930" s="414" t="s">
        <v>358</v>
      </c>
      <c r="H3930" s="412" t="s">
        <v>1742</v>
      </c>
      <c r="J3930" s="412" t="s">
        <v>358</v>
      </c>
      <c r="K3930" s="414">
        <v>1.1299999999999999</v>
      </c>
      <c r="W3930" s="413"/>
    </row>
    <row r="3931" spans="6:23" ht="24" customHeight="1">
      <c r="K3931" s="418" t="s">
        <v>1288</v>
      </c>
      <c r="W3931" s="413"/>
    </row>
    <row r="3932" spans="6:23" ht="24" customHeight="1">
      <c r="H3932" s="420" t="s">
        <v>222</v>
      </c>
      <c r="K3932" s="417" t="e">
        <f>SUM(K3920:K3930)</f>
        <v>#REF!</v>
      </c>
      <c r="W3932" s="413"/>
    </row>
    <row r="3933" spans="6:23" ht="24" customHeight="1">
      <c r="K3933" s="418" t="s">
        <v>1288</v>
      </c>
      <c r="W3933" s="413"/>
    </row>
    <row r="3934" spans="6:23" ht="24" hidden="1" customHeight="1">
      <c r="W3934" s="413"/>
    </row>
    <row r="3935" spans="6:23" ht="24" customHeight="1">
      <c r="W3935" s="413"/>
    </row>
    <row r="3936" spans="6:23" ht="24" customHeight="1">
      <c r="G3936" s="414" t="s">
        <v>1552</v>
      </c>
      <c r="H3936" s="413" t="s">
        <v>1452</v>
      </c>
      <c r="W3936" s="413"/>
    </row>
    <row r="3937" spans="6:23" ht="24" customHeight="1">
      <c r="H3937" s="413" t="s">
        <v>1453</v>
      </c>
      <c r="W3937" s="413"/>
    </row>
    <row r="3938" spans="6:23" ht="24" customHeight="1">
      <c r="F3938" s="439">
        <v>3.6799999999999999E-2</v>
      </c>
      <c r="G3938" s="414" t="s">
        <v>702</v>
      </c>
      <c r="H3938" s="426" t="s">
        <v>4368</v>
      </c>
      <c r="I3938" s="414" t="e">
        <f t="shared" ref="I3938:I3945" si="372">I3920</f>
        <v>#REF!</v>
      </c>
      <c r="J3938" s="412" t="s">
        <v>702</v>
      </c>
      <c r="K3938" s="414" t="e">
        <f>F3938*I3938</f>
        <v>#REF!</v>
      </c>
      <c r="W3938" s="413"/>
    </row>
    <row r="3939" spans="6:23" ht="46.5" customHeight="1">
      <c r="F3939" s="414">
        <v>4.87</v>
      </c>
      <c r="G3939" s="414" t="s">
        <v>1341</v>
      </c>
      <c r="H3939" s="412" t="s">
        <v>1686</v>
      </c>
      <c r="I3939" s="414" t="e">
        <f t="shared" si="372"/>
        <v>#REF!</v>
      </c>
      <c r="J3939" s="412" t="s">
        <v>694</v>
      </c>
      <c r="K3939" s="414" t="e">
        <f>F3939*I3939/1000</f>
        <v>#REF!</v>
      </c>
      <c r="W3939" s="413"/>
    </row>
    <row r="3940" spans="6:23" ht="24" customHeight="1">
      <c r="F3940" s="414">
        <v>3</v>
      </c>
      <c r="G3940" s="414" t="s">
        <v>701</v>
      </c>
      <c r="H3940" s="412" t="s">
        <v>964</v>
      </c>
      <c r="I3940" s="414">
        <f t="shared" si="372"/>
        <v>14.8</v>
      </c>
      <c r="J3940" s="412" t="s">
        <v>701</v>
      </c>
      <c r="K3940" s="414">
        <f t="shared" ref="K3940:K3947" si="373">F3940*I3940</f>
        <v>44.4</v>
      </c>
      <c r="W3940" s="413"/>
    </row>
    <row r="3941" spans="6:23" ht="24" customHeight="1">
      <c r="F3941" s="414">
        <v>12</v>
      </c>
      <c r="G3941" s="414" t="s">
        <v>701</v>
      </c>
      <c r="H3941" s="412" t="s">
        <v>965</v>
      </c>
      <c r="I3941" s="414">
        <f t="shared" si="372"/>
        <v>2</v>
      </c>
      <c r="J3941" s="412" t="s">
        <v>701</v>
      </c>
      <c r="K3941" s="414">
        <f t="shared" si="373"/>
        <v>24</v>
      </c>
      <c r="W3941" s="413"/>
    </row>
    <row r="3942" spans="6:23" ht="24" customHeight="1">
      <c r="F3942" s="414">
        <v>2</v>
      </c>
      <c r="G3942" s="414" t="s">
        <v>701</v>
      </c>
      <c r="H3942" s="412" t="s">
        <v>966</v>
      </c>
      <c r="I3942" s="414">
        <f t="shared" si="372"/>
        <v>4.9000000000000004</v>
      </c>
      <c r="J3942" s="412" t="s">
        <v>701</v>
      </c>
      <c r="K3942" s="414">
        <f t="shared" si="373"/>
        <v>9.8000000000000007</v>
      </c>
      <c r="W3942" s="413"/>
    </row>
    <row r="3943" spans="6:23" ht="24" customHeight="1">
      <c r="F3943" s="414">
        <v>6</v>
      </c>
      <c r="G3943" s="414" t="s">
        <v>701</v>
      </c>
      <c r="H3943" s="412" t="s">
        <v>1808</v>
      </c>
      <c r="I3943" s="414">
        <f t="shared" si="372"/>
        <v>4.45</v>
      </c>
      <c r="J3943" s="412" t="s">
        <v>701</v>
      </c>
      <c r="K3943" s="414">
        <f t="shared" si="373"/>
        <v>26.7</v>
      </c>
      <c r="W3943" s="413"/>
    </row>
    <row r="3944" spans="6:23" ht="24" customHeight="1">
      <c r="F3944" s="414">
        <v>1</v>
      </c>
      <c r="G3944" s="414" t="s">
        <v>701</v>
      </c>
      <c r="H3944" s="412" t="s">
        <v>967</v>
      </c>
      <c r="I3944" s="414">
        <f t="shared" si="372"/>
        <v>999</v>
      </c>
      <c r="J3944" s="412" t="s">
        <v>701</v>
      </c>
      <c r="K3944" s="414">
        <f t="shared" si="373"/>
        <v>999</v>
      </c>
      <c r="W3944" s="413"/>
    </row>
    <row r="3945" spans="6:23" ht="24" customHeight="1">
      <c r="F3945" s="414">
        <v>1</v>
      </c>
      <c r="G3945" s="414" t="s">
        <v>701</v>
      </c>
      <c r="H3945" s="412" t="s">
        <v>968</v>
      </c>
      <c r="I3945" s="414">
        <f t="shared" si="372"/>
        <v>651</v>
      </c>
      <c r="J3945" s="412" t="s">
        <v>701</v>
      </c>
      <c r="K3945" s="414">
        <f t="shared" si="373"/>
        <v>651</v>
      </c>
      <c r="W3945" s="413"/>
    </row>
    <row r="3946" spans="6:23" ht="24" customHeight="1">
      <c r="F3946" s="414">
        <v>1</v>
      </c>
      <c r="G3946" s="414" t="s">
        <v>701</v>
      </c>
      <c r="H3946" s="412" t="s">
        <v>969</v>
      </c>
      <c r="I3946" s="414">
        <v>25</v>
      </c>
      <c r="J3946" s="412" t="s">
        <v>701</v>
      </c>
      <c r="K3946" s="414">
        <f t="shared" si="373"/>
        <v>25</v>
      </c>
      <c r="W3946" s="413"/>
    </row>
    <row r="3947" spans="6:23" ht="24" customHeight="1">
      <c r="F3947" s="414">
        <v>0.5</v>
      </c>
      <c r="G3947" s="414" t="s">
        <v>701</v>
      </c>
      <c r="H3947" s="412" t="s">
        <v>970</v>
      </c>
      <c r="I3947" s="414">
        <f>I3929</f>
        <v>534</v>
      </c>
      <c r="J3947" s="412" t="s">
        <v>701</v>
      </c>
      <c r="K3947" s="414">
        <f t="shared" si="373"/>
        <v>267</v>
      </c>
      <c r="W3947" s="413"/>
    </row>
    <row r="3948" spans="6:23" ht="24" customHeight="1">
      <c r="G3948" s="414" t="s">
        <v>358</v>
      </c>
      <c r="H3948" s="412" t="s">
        <v>1742</v>
      </c>
      <c r="J3948" s="412" t="s">
        <v>358</v>
      </c>
      <c r="K3948" s="414">
        <f>1.9+0.08</f>
        <v>1.98</v>
      </c>
      <c r="W3948" s="413"/>
    </row>
    <row r="3949" spans="6:23" ht="24" customHeight="1">
      <c r="K3949" s="418" t="s">
        <v>1288</v>
      </c>
      <c r="W3949" s="413"/>
    </row>
    <row r="3950" spans="6:23" ht="24" customHeight="1">
      <c r="H3950" s="420" t="s">
        <v>222</v>
      </c>
      <c r="K3950" s="417" t="e">
        <f>SUM(K3938:K3948)</f>
        <v>#REF!</v>
      </c>
      <c r="L3950" s="414" t="e">
        <f>K3950-1729</f>
        <v>#REF!</v>
      </c>
      <c r="W3950" s="413"/>
    </row>
    <row r="3951" spans="6:23" ht="24" customHeight="1">
      <c r="K3951" s="418" t="s">
        <v>1288</v>
      </c>
      <c r="W3951" s="413"/>
    </row>
    <row r="3952" spans="6:23" ht="24" customHeight="1">
      <c r="F3952" s="413"/>
      <c r="G3952" s="414" t="s">
        <v>419</v>
      </c>
      <c r="H3952" s="413" t="s">
        <v>455</v>
      </c>
      <c r="W3952" s="413"/>
    </row>
    <row r="3953" spans="6:23" ht="24" customHeight="1">
      <c r="H3953" s="413" t="s">
        <v>1453</v>
      </c>
      <c r="W3953" s="413"/>
    </row>
    <row r="3954" spans="6:23" ht="24" customHeight="1">
      <c r="F3954" s="439">
        <v>3.5299999999999998E-2</v>
      </c>
      <c r="G3954" s="414" t="s">
        <v>702</v>
      </c>
      <c r="H3954" s="412" t="s">
        <v>1685</v>
      </c>
      <c r="I3954" s="414" t="e">
        <f t="shared" ref="I3954:I3959" si="374">I3938</f>
        <v>#REF!</v>
      </c>
      <c r="J3954" s="412" t="s">
        <v>702</v>
      </c>
      <c r="K3954" s="414" t="e">
        <f>F3954*I3954</f>
        <v>#REF!</v>
      </c>
      <c r="W3954" s="413"/>
    </row>
    <row r="3955" spans="6:23" ht="24" customHeight="1">
      <c r="F3955" s="414">
        <v>4.59</v>
      </c>
      <c r="G3955" s="414" t="s">
        <v>1341</v>
      </c>
      <c r="H3955" s="412" t="s">
        <v>1686</v>
      </c>
      <c r="I3955" s="414" t="e">
        <f t="shared" si="374"/>
        <v>#REF!</v>
      </c>
      <c r="J3955" s="412" t="s">
        <v>694</v>
      </c>
      <c r="K3955" s="414" t="e">
        <f>F3955*I3955/1000</f>
        <v>#REF!</v>
      </c>
      <c r="W3955" s="413"/>
    </row>
    <row r="3956" spans="6:23" ht="24" customHeight="1">
      <c r="F3956" s="414">
        <v>3</v>
      </c>
      <c r="G3956" s="414" t="s">
        <v>701</v>
      </c>
      <c r="H3956" s="412" t="s">
        <v>964</v>
      </c>
      <c r="I3956" s="414">
        <f t="shared" si="374"/>
        <v>14.8</v>
      </c>
      <c r="J3956" s="412" t="s">
        <v>701</v>
      </c>
      <c r="K3956" s="414">
        <f t="shared" ref="K3956:K3963" si="375">F3956*I3956</f>
        <v>44.4</v>
      </c>
      <c r="W3956" s="413"/>
    </row>
    <row r="3957" spans="6:23" ht="24" customHeight="1">
      <c r="F3957" s="414">
        <v>12</v>
      </c>
      <c r="G3957" s="414" t="s">
        <v>701</v>
      </c>
      <c r="H3957" s="412" t="s">
        <v>965</v>
      </c>
      <c r="I3957" s="414">
        <f t="shared" si="374"/>
        <v>2</v>
      </c>
      <c r="J3957" s="412" t="s">
        <v>701</v>
      </c>
      <c r="K3957" s="414">
        <f t="shared" si="375"/>
        <v>24</v>
      </c>
      <c r="W3957" s="413"/>
    </row>
    <row r="3958" spans="6:23" ht="24" customHeight="1">
      <c r="F3958" s="414">
        <v>2</v>
      </c>
      <c r="G3958" s="414" t="s">
        <v>701</v>
      </c>
      <c r="H3958" s="414" t="str">
        <f>H3942</f>
        <v>TOWER BOLT RECEIVER</v>
      </c>
      <c r="I3958" s="414">
        <f t="shared" si="374"/>
        <v>4.9000000000000004</v>
      </c>
      <c r="J3958" s="412" t="s">
        <v>701</v>
      </c>
      <c r="K3958" s="414">
        <f t="shared" si="375"/>
        <v>9.8000000000000007</v>
      </c>
      <c r="W3958" s="413"/>
    </row>
    <row r="3959" spans="6:23" ht="24" customHeight="1">
      <c r="F3959" s="414">
        <v>6</v>
      </c>
      <c r="G3959" s="414" t="s">
        <v>701</v>
      </c>
      <c r="H3959" s="412" t="s">
        <v>1808</v>
      </c>
      <c r="I3959" s="414">
        <f t="shared" si="374"/>
        <v>4.45</v>
      </c>
      <c r="J3959" s="412" t="s">
        <v>701</v>
      </c>
      <c r="K3959" s="414">
        <f t="shared" si="375"/>
        <v>26.7</v>
      </c>
      <c r="W3959" s="413"/>
    </row>
    <row r="3960" spans="6:23" ht="24" customHeight="1">
      <c r="F3960" s="414">
        <v>1</v>
      </c>
      <c r="G3960" s="414" t="s">
        <v>701</v>
      </c>
      <c r="H3960" s="412" t="s">
        <v>967</v>
      </c>
      <c r="I3960" s="414">
        <f>I3944</f>
        <v>999</v>
      </c>
      <c r="J3960" s="412" t="s">
        <v>701</v>
      </c>
      <c r="K3960" s="414">
        <f t="shared" si="375"/>
        <v>999</v>
      </c>
      <c r="W3960" s="413"/>
    </row>
    <row r="3961" spans="6:23" ht="24" customHeight="1">
      <c r="F3961" s="414">
        <v>1</v>
      </c>
      <c r="G3961" s="414" t="s">
        <v>701</v>
      </c>
      <c r="H3961" s="412" t="s">
        <v>968</v>
      </c>
      <c r="I3961" s="414">
        <f>I3945</f>
        <v>651</v>
      </c>
      <c r="J3961" s="412" t="s">
        <v>701</v>
      </c>
      <c r="K3961" s="414">
        <f t="shared" si="375"/>
        <v>651</v>
      </c>
      <c r="W3961" s="413"/>
    </row>
    <row r="3962" spans="6:23" ht="24" customHeight="1">
      <c r="F3962" s="414">
        <v>1</v>
      </c>
      <c r="G3962" s="414" t="s">
        <v>701</v>
      </c>
      <c r="H3962" s="414" t="str">
        <f>H3946</f>
        <v>MOULDING CHARGES</v>
      </c>
      <c r="I3962" s="414">
        <f>I3946</f>
        <v>25</v>
      </c>
      <c r="J3962" s="412" t="s">
        <v>701</v>
      </c>
      <c r="K3962" s="414">
        <f t="shared" si="375"/>
        <v>25</v>
      </c>
      <c r="W3962" s="413"/>
    </row>
    <row r="3963" spans="6:23" ht="24" customHeight="1">
      <c r="F3963" s="414">
        <v>0.5</v>
      </c>
      <c r="G3963" s="414" t="s">
        <v>701</v>
      </c>
      <c r="H3963" s="412" t="s">
        <v>970</v>
      </c>
      <c r="I3963" s="414">
        <f>I3947</f>
        <v>534</v>
      </c>
      <c r="J3963" s="412" t="s">
        <v>701</v>
      </c>
      <c r="K3963" s="414">
        <f t="shared" si="375"/>
        <v>267</v>
      </c>
      <c r="W3963" s="413"/>
    </row>
    <row r="3964" spans="6:23" ht="24" customHeight="1">
      <c r="G3964" s="414" t="s">
        <v>358</v>
      </c>
      <c r="H3964" s="412" t="s">
        <v>1742</v>
      </c>
      <c r="I3964" s="414">
        <f>I3948</f>
        <v>0</v>
      </c>
      <c r="J3964" s="412" t="s">
        <v>358</v>
      </c>
      <c r="K3964" s="414">
        <v>1.39</v>
      </c>
      <c r="W3964" s="413"/>
    </row>
    <row r="3965" spans="6:23" ht="24" customHeight="1">
      <c r="K3965" s="418" t="s">
        <v>1288</v>
      </c>
      <c r="W3965" s="413"/>
    </row>
    <row r="3966" spans="6:23" ht="24" customHeight="1">
      <c r="H3966" s="420" t="s">
        <v>222</v>
      </c>
      <c r="K3966" s="417" t="e">
        <f>SUM(K3954:K3964)</f>
        <v>#REF!</v>
      </c>
      <c r="W3966" s="413"/>
    </row>
    <row r="3967" spans="6:23" ht="24" customHeight="1">
      <c r="K3967" s="418" t="s">
        <v>1288</v>
      </c>
      <c r="W3967" s="413"/>
    </row>
    <row r="3968" spans="6:23" ht="24" customHeight="1">
      <c r="W3968" s="413"/>
    </row>
    <row r="3969" spans="6:23" ht="24" customHeight="1">
      <c r="H3969" s="413" t="s">
        <v>1421</v>
      </c>
      <c r="J3969" s="414"/>
      <c r="K3969" s="418"/>
      <c r="W3969" s="413"/>
    </row>
    <row r="3970" spans="6:23" ht="24" customHeight="1">
      <c r="J3970" s="414"/>
      <c r="K3970" s="418"/>
      <c r="W3970" s="413"/>
    </row>
    <row r="3971" spans="6:23" ht="24" customHeight="1">
      <c r="F3971" s="439">
        <v>6.5000000000000002E-2</v>
      </c>
      <c r="G3971" s="414" t="s">
        <v>702</v>
      </c>
      <c r="H3971" s="412" t="s">
        <v>1685</v>
      </c>
      <c r="I3971" s="414" t="e">
        <f>I3954</f>
        <v>#REF!</v>
      </c>
      <c r="J3971" s="412" t="s">
        <v>702</v>
      </c>
      <c r="K3971" s="414" t="e">
        <f>I3971*F3971</f>
        <v>#REF!</v>
      </c>
      <c r="W3971" s="413"/>
    </row>
    <row r="3972" spans="6:23" ht="24" customHeight="1">
      <c r="F3972" s="446">
        <v>8.4499999999999993</v>
      </c>
      <c r="G3972" s="414" t="s">
        <v>1341</v>
      </c>
      <c r="H3972" s="412" t="s">
        <v>1686</v>
      </c>
      <c r="I3972" s="414" t="e">
        <f t="shared" ref="I3972:I3981" si="376">I3955</f>
        <v>#REF!</v>
      </c>
      <c r="J3972" s="412" t="s">
        <v>694</v>
      </c>
      <c r="K3972" s="414" t="e">
        <f>I3972*F3972/1000</f>
        <v>#REF!</v>
      </c>
      <c r="W3972" s="413"/>
    </row>
    <row r="3973" spans="6:23" ht="24" customHeight="1">
      <c r="F3973" s="414">
        <v>3</v>
      </c>
      <c r="G3973" s="414" t="s">
        <v>701</v>
      </c>
      <c r="H3973" s="412" t="s">
        <v>964</v>
      </c>
      <c r="I3973" s="414">
        <f t="shared" si="376"/>
        <v>14.8</v>
      </c>
      <c r="J3973" s="412" t="s">
        <v>701</v>
      </c>
      <c r="K3973" s="414">
        <f t="shared" ref="K3973:K3980" si="377">I3973*F3973</f>
        <v>44.4</v>
      </c>
      <c r="W3973" s="413"/>
    </row>
    <row r="3974" spans="6:23" ht="24" customHeight="1">
      <c r="F3974" s="414">
        <v>12</v>
      </c>
      <c r="G3974" s="414" t="s">
        <v>701</v>
      </c>
      <c r="H3974" s="412" t="s">
        <v>965</v>
      </c>
      <c r="I3974" s="414">
        <f t="shared" si="376"/>
        <v>2</v>
      </c>
      <c r="J3974" s="412" t="s">
        <v>701</v>
      </c>
      <c r="K3974" s="414">
        <f t="shared" si="377"/>
        <v>24</v>
      </c>
      <c r="W3974" s="413"/>
    </row>
    <row r="3975" spans="6:23" ht="24" customHeight="1">
      <c r="F3975" s="414">
        <v>2</v>
      </c>
      <c r="G3975" s="414" t="s">
        <v>701</v>
      </c>
      <c r="H3975" s="412" t="s">
        <v>966</v>
      </c>
      <c r="I3975" s="414">
        <f t="shared" si="376"/>
        <v>4.9000000000000004</v>
      </c>
      <c r="J3975" s="412" t="s">
        <v>701</v>
      </c>
      <c r="K3975" s="414">
        <f t="shared" si="377"/>
        <v>9.8000000000000007</v>
      </c>
      <c r="W3975" s="413"/>
    </row>
    <row r="3976" spans="6:23" ht="24" customHeight="1">
      <c r="F3976" s="414">
        <v>6</v>
      </c>
      <c r="G3976" s="414" t="s">
        <v>701</v>
      </c>
      <c r="H3976" s="412" t="s">
        <v>1808</v>
      </c>
      <c r="I3976" s="414">
        <f t="shared" si="376"/>
        <v>4.45</v>
      </c>
      <c r="J3976" s="412" t="s">
        <v>701</v>
      </c>
      <c r="K3976" s="414">
        <f t="shared" si="377"/>
        <v>26.7</v>
      </c>
      <c r="W3976" s="413"/>
    </row>
    <row r="3977" spans="6:23" ht="24" customHeight="1">
      <c r="F3977" s="414">
        <v>1</v>
      </c>
      <c r="G3977" s="414" t="s">
        <v>701</v>
      </c>
      <c r="H3977" s="412" t="s">
        <v>967</v>
      </c>
      <c r="I3977" s="414">
        <f t="shared" si="376"/>
        <v>999</v>
      </c>
      <c r="J3977" s="412" t="s">
        <v>701</v>
      </c>
      <c r="K3977" s="414">
        <f t="shared" si="377"/>
        <v>999</v>
      </c>
      <c r="W3977" s="413"/>
    </row>
    <row r="3978" spans="6:23" ht="24" customHeight="1">
      <c r="F3978" s="414">
        <v>1</v>
      </c>
      <c r="G3978" s="414" t="s">
        <v>701</v>
      </c>
      <c r="H3978" s="412" t="s">
        <v>968</v>
      </c>
      <c r="I3978" s="414">
        <f t="shared" si="376"/>
        <v>651</v>
      </c>
      <c r="J3978" s="412" t="s">
        <v>701</v>
      </c>
      <c r="K3978" s="414">
        <f t="shared" si="377"/>
        <v>651</v>
      </c>
      <c r="W3978" s="413"/>
    </row>
    <row r="3979" spans="6:23" ht="24" customHeight="1">
      <c r="F3979" s="414">
        <v>1</v>
      </c>
      <c r="G3979" s="414" t="s">
        <v>701</v>
      </c>
      <c r="H3979" s="412" t="s">
        <v>969</v>
      </c>
      <c r="I3979" s="414">
        <f t="shared" si="376"/>
        <v>25</v>
      </c>
      <c r="J3979" s="412" t="s">
        <v>701</v>
      </c>
      <c r="K3979" s="414">
        <f t="shared" si="377"/>
        <v>25</v>
      </c>
      <c r="W3979" s="413"/>
    </row>
    <row r="3980" spans="6:23" ht="24" customHeight="1">
      <c r="F3980" s="414">
        <v>0.5</v>
      </c>
      <c r="G3980" s="414" t="s">
        <v>701</v>
      </c>
      <c r="H3980" s="412" t="s">
        <v>970</v>
      </c>
      <c r="I3980" s="414">
        <f t="shared" si="376"/>
        <v>534</v>
      </c>
      <c r="J3980" s="412" t="s">
        <v>701</v>
      </c>
      <c r="K3980" s="414">
        <f t="shared" si="377"/>
        <v>267</v>
      </c>
      <c r="W3980" s="413"/>
    </row>
    <row r="3981" spans="6:23" ht="24" customHeight="1">
      <c r="G3981" s="414" t="s">
        <v>358</v>
      </c>
      <c r="H3981" s="412" t="s">
        <v>1742</v>
      </c>
      <c r="I3981" s="414">
        <f t="shared" si="376"/>
        <v>0</v>
      </c>
      <c r="J3981" s="412" t="s">
        <v>358</v>
      </c>
      <c r="K3981" s="414">
        <v>2.1</v>
      </c>
      <c r="W3981" s="413"/>
    </row>
    <row r="3982" spans="6:23" ht="24" customHeight="1">
      <c r="K3982" s="418" t="s">
        <v>1288</v>
      </c>
      <c r="W3982" s="413"/>
    </row>
    <row r="3983" spans="6:23" ht="24" customHeight="1">
      <c r="H3983" s="420" t="s">
        <v>222</v>
      </c>
      <c r="K3983" s="417" t="e">
        <f>SUM(K3971:K3981)</f>
        <v>#REF!</v>
      </c>
      <c r="W3983" s="413"/>
    </row>
    <row r="3984" spans="6:23" ht="24" customHeight="1">
      <c r="K3984" s="418" t="s">
        <v>1288</v>
      </c>
      <c r="W3984" s="413"/>
    </row>
    <row r="3985" spans="6:23" ht="24" customHeight="1">
      <c r="F3985" s="1231" t="s">
        <v>2611</v>
      </c>
      <c r="G3985" s="1231"/>
      <c r="H3985" s="1231"/>
      <c r="I3985" s="420"/>
      <c r="J3985" s="420"/>
      <c r="W3985" s="413"/>
    </row>
    <row r="3986" spans="6:23" ht="24" customHeight="1">
      <c r="F3986" s="416"/>
      <c r="H3986" s="417" t="s">
        <v>2612</v>
      </c>
      <c r="W3986" s="413"/>
    </row>
    <row r="3987" spans="6:23" ht="24" customHeight="1">
      <c r="F3987" s="416">
        <v>4.88</v>
      </c>
      <c r="G3987" s="414" t="s">
        <v>734</v>
      </c>
      <c r="H3987" s="412" t="s">
        <v>1505</v>
      </c>
      <c r="I3987" s="414">
        <f>AB1350</f>
        <v>325</v>
      </c>
      <c r="J3987" s="414" t="s">
        <v>734</v>
      </c>
      <c r="K3987" s="414">
        <f t="shared" ref="K3987:K3996" si="378">I3987*F3987</f>
        <v>1586</v>
      </c>
      <c r="W3987" s="413"/>
    </row>
    <row r="3988" spans="6:23" ht="24" customHeight="1">
      <c r="F3988" s="416">
        <v>7.76</v>
      </c>
      <c r="G3988" s="414" t="s">
        <v>734</v>
      </c>
      <c r="H3988" s="412" t="s">
        <v>1505</v>
      </c>
      <c r="I3988" s="414">
        <f>I3987</f>
        <v>325</v>
      </c>
      <c r="J3988" s="414" t="s">
        <v>734</v>
      </c>
      <c r="K3988" s="414">
        <f t="shared" si="378"/>
        <v>2522</v>
      </c>
      <c r="W3988" s="413"/>
    </row>
    <row r="3989" spans="6:23" ht="24" customHeight="1">
      <c r="F3989" s="416">
        <v>3.03</v>
      </c>
      <c r="G3989" s="414" t="s">
        <v>734</v>
      </c>
      <c r="H3989" s="412" t="s">
        <v>1505</v>
      </c>
      <c r="I3989" s="414">
        <f>I3988</f>
        <v>325</v>
      </c>
      <c r="J3989" s="414" t="s">
        <v>734</v>
      </c>
      <c r="K3989" s="414">
        <f t="shared" si="378"/>
        <v>984.75</v>
      </c>
      <c r="W3989" s="413"/>
    </row>
    <row r="3990" spans="6:23" ht="24" customHeight="1">
      <c r="F3990" s="416">
        <v>1.45</v>
      </c>
      <c r="G3990" s="414" t="s">
        <v>734</v>
      </c>
      <c r="H3990" s="412" t="s">
        <v>1505</v>
      </c>
      <c r="I3990" s="414">
        <f>I3989</f>
        <v>325</v>
      </c>
      <c r="J3990" s="414" t="s">
        <v>734</v>
      </c>
      <c r="K3990" s="414">
        <f t="shared" si="378"/>
        <v>471.25</v>
      </c>
      <c r="W3990" s="413"/>
    </row>
    <row r="3991" spans="6:23" ht="24" customHeight="1">
      <c r="F3991" s="416">
        <v>2.4300000000000002</v>
      </c>
      <c r="G3991" s="414" t="s">
        <v>184</v>
      </c>
      <c r="H3991" s="412" t="s">
        <v>1506</v>
      </c>
      <c r="I3991" s="414">
        <f>AB1354</f>
        <v>306.89999999999998</v>
      </c>
      <c r="J3991" s="414" t="s">
        <v>184</v>
      </c>
      <c r="K3991" s="414">
        <f t="shared" si="378"/>
        <v>745.77</v>
      </c>
      <c r="W3991" s="413"/>
    </row>
    <row r="3992" spans="6:23" ht="24" customHeight="1">
      <c r="F3992" s="416">
        <v>11.7</v>
      </c>
      <c r="G3992" s="414" t="s">
        <v>669</v>
      </c>
      <c r="H3992" s="412" t="s">
        <v>1507</v>
      </c>
      <c r="I3992" s="414">
        <f>AB1355</f>
        <v>29.05</v>
      </c>
      <c r="J3992" s="414" t="s">
        <v>669</v>
      </c>
      <c r="K3992" s="414">
        <f t="shared" si="378"/>
        <v>339.89</v>
      </c>
      <c r="W3992" s="413"/>
    </row>
    <row r="3993" spans="6:23" ht="24" customHeight="1">
      <c r="F3993" s="416">
        <v>3</v>
      </c>
      <c r="G3993" s="414" t="s">
        <v>619</v>
      </c>
      <c r="H3993" s="412" t="s">
        <v>2613</v>
      </c>
      <c r="I3993" s="414">
        <v>350</v>
      </c>
      <c r="J3993" s="414" t="s">
        <v>619</v>
      </c>
      <c r="K3993" s="414">
        <f t="shared" si="378"/>
        <v>1050</v>
      </c>
      <c r="W3993" s="413"/>
    </row>
    <row r="3994" spans="6:23" ht="24" customHeight="1">
      <c r="F3994" s="416">
        <v>3</v>
      </c>
      <c r="G3994" s="414" t="s">
        <v>619</v>
      </c>
      <c r="H3994" s="412" t="s">
        <v>1509</v>
      </c>
      <c r="I3994" s="414">
        <f>V1359</f>
        <v>57.65</v>
      </c>
      <c r="J3994" s="414" t="s">
        <v>619</v>
      </c>
      <c r="K3994" s="414">
        <f t="shared" si="378"/>
        <v>172.95</v>
      </c>
      <c r="W3994" s="413"/>
    </row>
    <row r="3995" spans="6:23" ht="24" customHeight="1">
      <c r="F3995" s="416">
        <v>4</v>
      </c>
      <c r="G3995" s="414" t="s">
        <v>619</v>
      </c>
      <c r="H3995" s="412" t="s">
        <v>1512</v>
      </c>
      <c r="I3995" s="414">
        <f>AB1360</f>
        <v>15</v>
      </c>
      <c r="J3995" s="414" t="s">
        <v>619</v>
      </c>
      <c r="K3995" s="414">
        <f t="shared" si="378"/>
        <v>60</v>
      </c>
      <c r="W3995" s="413"/>
    </row>
    <row r="3996" spans="6:23" ht="24" customHeight="1">
      <c r="F3996" s="416">
        <v>2.4300000000000002</v>
      </c>
      <c r="G3996" s="414" t="s">
        <v>1861</v>
      </c>
      <c r="H3996" s="412" t="s">
        <v>1513</v>
      </c>
      <c r="I3996" s="414">
        <f>AB1361</f>
        <v>1998</v>
      </c>
      <c r="J3996" s="414" t="s">
        <v>619</v>
      </c>
      <c r="K3996" s="414">
        <f t="shared" si="378"/>
        <v>4855.1400000000003</v>
      </c>
      <c r="W3996" s="413"/>
    </row>
    <row r="3997" spans="6:23" ht="24" customHeight="1">
      <c r="F3997" s="416"/>
      <c r="H3997" s="412" t="s">
        <v>1514</v>
      </c>
      <c r="J3997" s="414"/>
      <c r="W3997" s="413"/>
    </row>
    <row r="3998" spans="6:23" ht="24" customHeight="1">
      <c r="F3998" s="416"/>
      <c r="H3998" s="419" t="s">
        <v>2141</v>
      </c>
      <c r="J3998" s="414"/>
      <c r="K3998" s="414">
        <f>SUM(K3987:K3997)</f>
        <v>12787.75</v>
      </c>
      <c r="W3998" s="413"/>
    </row>
    <row r="3999" spans="6:23" ht="24" customHeight="1">
      <c r="F3999" s="416"/>
      <c r="H3999" s="419" t="s">
        <v>2614</v>
      </c>
      <c r="J3999" s="414" t="s">
        <v>1861</v>
      </c>
      <c r="K3999" s="414">
        <f>K3998/F3996</f>
        <v>5262.45</v>
      </c>
      <c r="W3999" s="413"/>
    </row>
    <row r="4000" spans="6:23" ht="24" customHeight="1">
      <c r="F4000" s="416"/>
      <c r="J4000" s="414"/>
      <c r="K4000" s="417"/>
      <c r="W4000" s="413"/>
    </row>
    <row r="4001" spans="6:23" ht="24" hidden="1" customHeight="1">
      <c r="F4001" s="416"/>
      <c r="J4001" s="414"/>
      <c r="W4001" s="413"/>
    </row>
    <row r="4002" spans="6:23" ht="24" customHeight="1">
      <c r="H4002" s="1231" t="s">
        <v>2615</v>
      </c>
      <c r="I4002" s="1231"/>
      <c r="J4002" s="1231"/>
      <c r="K4002" s="1231"/>
      <c r="W4002" s="413"/>
    </row>
    <row r="4003" spans="6:23" ht="24" customHeight="1">
      <c r="F4003" s="440"/>
      <c r="H4003" s="412"/>
      <c r="J4003" s="414"/>
      <c r="W4003" s="413"/>
    </row>
    <row r="4004" spans="6:23" ht="24" hidden="1" customHeight="1">
      <c r="F4004" s="440"/>
      <c r="H4004" s="412"/>
      <c r="J4004" s="414"/>
      <c r="W4004" s="413"/>
    </row>
    <row r="4005" spans="6:23" ht="24" hidden="1" customHeight="1">
      <c r="F4005" s="440"/>
      <c r="H4005" s="412"/>
      <c r="J4005" s="414"/>
      <c r="W4005" s="413"/>
    </row>
    <row r="4006" spans="6:23" ht="24" customHeight="1">
      <c r="F4006" s="440">
        <v>12.08</v>
      </c>
      <c r="G4006" s="414" t="s">
        <v>734</v>
      </c>
      <c r="H4006" s="412" t="s">
        <v>1505</v>
      </c>
      <c r="I4006" s="414">
        <f>I3987</f>
        <v>325</v>
      </c>
      <c r="J4006" s="414" t="s">
        <v>734</v>
      </c>
      <c r="K4006" s="414">
        <f>I4006*F4006</f>
        <v>3926</v>
      </c>
      <c r="W4006" s="413"/>
    </row>
    <row r="4007" spans="6:23" ht="24" customHeight="1">
      <c r="F4007" s="440">
        <v>1.823</v>
      </c>
      <c r="G4007" s="414" t="s">
        <v>184</v>
      </c>
      <c r="H4007" s="412" t="s">
        <v>1506</v>
      </c>
      <c r="I4007" s="414">
        <f>I3991</f>
        <v>306.89999999999998</v>
      </c>
      <c r="J4007" s="414" t="s">
        <v>184</v>
      </c>
      <c r="K4007" s="414">
        <f t="shared" ref="K4007:K4012" si="379">I4007*F4007</f>
        <v>559.48</v>
      </c>
      <c r="W4007" s="413"/>
    </row>
    <row r="4008" spans="6:23" ht="24" customHeight="1">
      <c r="F4008" s="440">
        <v>8.1</v>
      </c>
      <c r="G4008" s="414" t="s">
        <v>669</v>
      </c>
      <c r="H4008" s="412" t="s">
        <v>1507</v>
      </c>
      <c r="I4008" s="414">
        <f>I3992</f>
        <v>29.05</v>
      </c>
      <c r="J4008" s="414" t="s">
        <v>669</v>
      </c>
      <c r="K4008" s="414">
        <f t="shared" si="379"/>
        <v>235.31</v>
      </c>
      <c r="W4008" s="413"/>
    </row>
    <row r="4009" spans="6:23" ht="24" customHeight="1">
      <c r="F4009" s="440">
        <v>2</v>
      </c>
      <c r="G4009" s="414" t="s">
        <v>2367</v>
      </c>
      <c r="H4009" s="412" t="s">
        <v>2616</v>
      </c>
      <c r="I4009" s="414">
        <f>I3993</f>
        <v>350</v>
      </c>
      <c r="J4009" s="414" t="s">
        <v>619</v>
      </c>
      <c r="K4009" s="414">
        <f t="shared" si="379"/>
        <v>700</v>
      </c>
      <c r="W4009" s="413"/>
    </row>
    <row r="4010" spans="6:23" ht="24" customHeight="1">
      <c r="F4010" s="440">
        <v>2</v>
      </c>
      <c r="G4010" s="414" t="s">
        <v>619</v>
      </c>
      <c r="H4010" s="412" t="s">
        <v>1509</v>
      </c>
      <c r="I4010" s="414">
        <f>I3994</f>
        <v>57.65</v>
      </c>
      <c r="J4010" s="414" t="s">
        <v>619</v>
      </c>
      <c r="K4010" s="414">
        <f t="shared" si="379"/>
        <v>115.3</v>
      </c>
      <c r="W4010" s="413"/>
    </row>
    <row r="4011" spans="6:23" ht="24" customHeight="1">
      <c r="F4011" s="440">
        <v>4</v>
      </c>
      <c r="G4011" s="414" t="s">
        <v>619</v>
      </c>
      <c r="H4011" s="412" t="s">
        <v>1512</v>
      </c>
      <c r="I4011" s="414">
        <v>15</v>
      </c>
      <c r="J4011" s="414" t="s">
        <v>619</v>
      </c>
      <c r="K4011" s="414">
        <f t="shared" si="379"/>
        <v>60</v>
      </c>
      <c r="W4011" s="413"/>
    </row>
    <row r="4012" spans="6:23" ht="24" customHeight="1">
      <c r="F4012" s="440">
        <v>1.823</v>
      </c>
      <c r="G4012" s="414" t="s">
        <v>1861</v>
      </c>
      <c r="H4012" s="412" t="s">
        <v>1513</v>
      </c>
      <c r="I4012" s="414">
        <f>I3996</f>
        <v>1998</v>
      </c>
      <c r="J4012" s="414" t="s">
        <v>1861</v>
      </c>
      <c r="K4012" s="414">
        <f t="shared" si="379"/>
        <v>3642.35</v>
      </c>
      <c r="W4012" s="413"/>
    </row>
    <row r="4013" spans="6:23" ht="24" customHeight="1">
      <c r="H4013" s="412"/>
      <c r="J4013" s="413"/>
      <c r="W4013" s="413"/>
    </row>
    <row r="4014" spans="6:23" ht="24" customHeight="1">
      <c r="H4014" s="423" t="s">
        <v>2617</v>
      </c>
      <c r="J4014" s="414"/>
      <c r="K4014" s="414">
        <f>SUM(K4006:K4013)</f>
        <v>9238.44</v>
      </c>
      <c r="W4014" s="413"/>
    </row>
    <row r="4015" spans="6:23" ht="24" customHeight="1">
      <c r="H4015" s="423" t="s">
        <v>2618</v>
      </c>
      <c r="J4015" s="414"/>
      <c r="K4015" s="417">
        <f>K4014/F4012</f>
        <v>5067.71</v>
      </c>
      <c r="W4015" s="413"/>
    </row>
    <row r="4016" spans="6:23" ht="24" customHeight="1">
      <c r="H4016" s="423"/>
      <c r="J4016" s="414"/>
      <c r="W4016" s="413"/>
    </row>
    <row r="4017" spans="6:23" ht="24" customHeight="1">
      <c r="F4017" s="416"/>
      <c r="H4017" s="417" t="s">
        <v>2619</v>
      </c>
      <c r="W4017" s="413"/>
    </row>
    <row r="4018" spans="6:23" ht="24" customHeight="1">
      <c r="F4018" s="416">
        <v>3.72</v>
      </c>
      <c r="G4018" s="414" t="s">
        <v>734</v>
      </c>
      <c r="H4018" s="412" t="s">
        <v>1505</v>
      </c>
      <c r="I4018" s="414">
        <f>I3987</f>
        <v>325</v>
      </c>
      <c r="J4018" s="414" t="s">
        <v>734</v>
      </c>
      <c r="K4018" s="414">
        <f>I4018*F4018</f>
        <v>1209</v>
      </c>
      <c r="W4018" s="413"/>
    </row>
    <row r="4019" spans="6:23" ht="24" customHeight="1">
      <c r="F4019" s="416">
        <v>4.57</v>
      </c>
      <c r="G4019" s="414" t="s">
        <v>734</v>
      </c>
      <c r="H4019" s="412" t="s">
        <v>1505</v>
      </c>
      <c r="I4019" s="414">
        <f>I4018</f>
        <v>325</v>
      </c>
      <c r="J4019" s="414" t="s">
        <v>734</v>
      </c>
      <c r="K4019" s="414">
        <f t="shared" ref="K4019:K4025" si="380">I4019*F4019</f>
        <v>1485.25</v>
      </c>
      <c r="W4019" s="413"/>
    </row>
    <row r="4020" spans="6:23" ht="24" customHeight="1">
      <c r="F4020" s="416">
        <v>1.18</v>
      </c>
      <c r="G4020" s="414" t="s">
        <v>734</v>
      </c>
      <c r="H4020" s="412" t="s">
        <v>1505</v>
      </c>
      <c r="I4020" s="414">
        <f>I4019</f>
        <v>325</v>
      </c>
      <c r="J4020" s="414" t="s">
        <v>734</v>
      </c>
      <c r="K4020" s="414">
        <f t="shared" si="380"/>
        <v>383.5</v>
      </c>
      <c r="W4020" s="413"/>
    </row>
    <row r="4021" spans="6:23" ht="24" customHeight="1">
      <c r="F4021" s="416">
        <v>0.86</v>
      </c>
      <c r="G4021" s="414" t="s">
        <v>734</v>
      </c>
      <c r="H4021" s="412" t="s">
        <v>1505</v>
      </c>
      <c r="I4021" s="414">
        <f>I4020</f>
        <v>325</v>
      </c>
      <c r="J4021" s="414" t="s">
        <v>734</v>
      </c>
      <c r="K4021" s="414">
        <f t="shared" si="380"/>
        <v>279.5</v>
      </c>
      <c r="W4021" s="413"/>
    </row>
    <row r="4022" spans="6:23" ht="24" customHeight="1">
      <c r="F4022" s="416">
        <v>1.42</v>
      </c>
      <c r="G4022" s="414" t="s">
        <v>184</v>
      </c>
      <c r="H4022" s="412" t="s">
        <v>1506</v>
      </c>
      <c r="I4022" s="414">
        <f t="shared" ref="I4022:I4027" si="381">I4007</f>
        <v>306.89999999999998</v>
      </c>
      <c r="J4022" s="414" t="s">
        <v>184</v>
      </c>
      <c r="K4022" s="414">
        <f t="shared" si="380"/>
        <v>435.8</v>
      </c>
      <c r="W4022" s="413"/>
    </row>
    <row r="4023" spans="6:23" ht="24" customHeight="1">
      <c r="F4023" s="416">
        <v>6.9</v>
      </c>
      <c r="G4023" s="414" t="s">
        <v>669</v>
      </c>
      <c r="H4023" s="412" t="s">
        <v>1507</v>
      </c>
      <c r="I4023" s="414">
        <f t="shared" si="381"/>
        <v>29.05</v>
      </c>
      <c r="J4023" s="414" t="s">
        <v>669</v>
      </c>
      <c r="K4023" s="414">
        <f t="shared" si="380"/>
        <v>200.45</v>
      </c>
      <c r="W4023" s="413"/>
    </row>
    <row r="4024" spans="6:23" ht="24" customHeight="1">
      <c r="F4024" s="416">
        <v>2</v>
      </c>
      <c r="G4024" s="414" t="s">
        <v>619</v>
      </c>
      <c r="H4024" s="412" t="s">
        <v>2616</v>
      </c>
      <c r="I4024" s="414">
        <f t="shared" si="381"/>
        <v>350</v>
      </c>
      <c r="J4024" s="414" t="s">
        <v>619</v>
      </c>
      <c r="K4024" s="414">
        <f t="shared" si="380"/>
        <v>700</v>
      </c>
      <c r="W4024" s="413"/>
    </row>
    <row r="4025" spans="6:23" ht="24" customHeight="1">
      <c r="F4025" s="416">
        <v>2</v>
      </c>
      <c r="G4025" s="414" t="s">
        <v>619</v>
      </c>
      <c r="H4025" s="412" t="s">
        <v>1509</v>
      </c>
      <c r="I4025" s="414">
        <f t="shared" si="381"/>
        <v>57.65</v>
      </c>
      <c r="J4025" s="414" t="s">
        <v>619</v>
      </c>
      <c r="K4025" s="414">
        <f t="shared" si="380"/>
        <v>115.3</v>
      </c>
      <c r="W4025" s="413"/>
    </row>
    <row r="4026" spans="6:23" ht="24" customHeight="1">
      <c r="F4026" s="416">
        <v>4</v>
      </c>
      <c r="G4026" s="414" t="s">
        <v>619</v>
      </c>
      <c r="H4026" s="412" t="s">
        <v>1512</v>
      </c>
      <c r="I4026" s="414">
        <f t="shared" si="381"/>
        <v>15</v>
      </c>
      <c r="J4026" s="414" t="s">
        <v>619</v>
      </c>
      <c r="K4026" s="414">
        <f>I4026*F4026</f>
        <v>60</v>
      </c>
      <c r="W4026" s="413"/>
    </row>
    <row r="4027" spans="6:23" ht="24" customHeight="1">
      <c r="F4027" s="416">
        <v>1.42</v>
      </c>
      <c r="G4027" s="414" t="s">
        <v>1861</v>
      </c>
      <c r="H4027" s="412" t="s">
        <v>1513</v>
      </c>
      <c r="I4027" s="414">
        <f t="shared" si="381"/>
        <v>1998</v>
      </c>
      <c r="J4027" s="414" t="s">
        <v>1861</v>
      </c>
      <c r="K4027" s="414">
        <f>I4027*F4027</f>
        <v>2837.16</v>
      </c>
      <c r="W4027" s="413"/>
    </row>
    <row r="4028" spans="6:23" ht="24" customHeight="1">
      <c r="F4028" s="416"/>
      <c r="H4028" s="412" t="s">
        <v>1514</v>
      </c>
      <c r="J4028" s="413"/>
      <c r="W4028" s="413"/>
    </row>
    <row r="4029" spans="6:23" ht="24" customHeight="1">
      <c r="F4029" s="416"/>
      <c r="H4029" s="419" t="s">
        <v>2141</v>
      </c>
      <c r="J4029" s="414"/>
      <c r="K4029" s="414">
        <f>SUM(K4018:K4028)</f>
        <v>7705.96</v>
      </c>
      <c r="W4029" s="413"/>
    </row>
    <row r="4030" spans="6:23" ht="24" customHeight="1">
      <c r="F4030" s="416"/>
      <c r="H4030" s="423" t="s">
        <v>2618</v>
      </c>
      <c r="J4030" s="414"/>
      <c r="K4030" s="417">
        <f>K4029/F4027</f>
        <v>5426.73</v>
      </c>
      <c r="W4030" s="413"/>
    </row>
    <row r="4031" spans="6:23" ht="24" customHeight="1">
      <c r="F4031" s="416"/>
      <c r="J4031" s="414"/>
      <c r="K4031" s="417"/>
      <c r="W4031" s="413"/>
    </row>
    <row r="4032" spans="6:23" ht="24" customHeight="1">
      <c r="F4032" s="416"/>
      <c r="H4032" s="417" t="s">
        <v>2620</v>
      </c>
      <c r="W4032" s="413"/>
    </row>
    <row r="4033" spans="6:23" ht="24" customHeight="1">
      <c r="F4033" s="440">
        <v>11.61</v>
      </c>
      <c r="G4033" s="414" t="s">
        <v>734</v>
      </c>
      <c r="H4033" s="412" t="s">
        <v>1505</v>
      </c>
      <c r="I4033" s="414">
        <f>I4018</f>
        <v>325</v>
      </c>
      <c r="J4033" s="414" t="s">
        <v>734</v>
      </c>
      <c r="K4033" s="414">
        <f>I4033*F4033</f>
        <v>3773.25</v>
      </c>
      <c r="W4033" s="413"/>
    </row>
    <row r="4034" spans="6:23" ht="24" customHeight="1">
      <c r="F4034" s="440">
        <v>7.8</v>
      </c>
      <c r="G4034" s="414" t="s">
        <v>669</v>
      </c>
      <c r="H4034" s="412" t="s">
        <v>2358</v>
      </c>
      <c r="I4034" s="414">
        <f>I4023</f>
        <v>29.05</v>
      </c>
      <c r="J4034" s="414" t="s">
        <v>669</v>
      </c>
      <c r="K4034" s="414">
        <f t="shared" ref="K4034:K4039" si="382">I4034*F4034</f>
        <v>226.59</v>
      </c>
      <c r="W4034" s="413"/>
    </row>
    <row r="4035" spans="6:23" ht="24" customHeight="1">
      <c r="F4035" s="440">
        <v>1.62</v>
      </c>
      <c r="G4035" s="414" t="s">
        <v>184</v>
      </c>
      <c r="H4035" s="412" t="s">
        <v>2359</v>
      </c>
      <c r="I4035" s="414">
        <f>I4022</f>
        <v>306.89999999999998</v>
      </c>
      <c r="J4035" s="414" t="s">
        <v>184</v>
      </c>
      <c r="K4035" s="414">
        <f t="shared" si="382"/>
        <v>497.18</v>
      </c>
      <c r="W4035" s="413"/>
    </row>
    <row r="4036" spans="6:23" ht="24" customHeight="1">
      <c r="F4036" s="440">
        <v>2</v>
      </c>
      <c r="G4036" s="414" t="s">
        <v>619</v>
      </c>
      <c r="H4036" s="412" t="s">
        <v>2360</v>
      </c>
      <c r="I4036" s="414">
        <f>I4025</f>
        <v>57.65</v>
      </c>
      <c r="J4036" s="414" t="s">
        <v>619</v>
      </c>
      <c r="K4036" s="414">
        <f t="shared" si="382"/>
        <v>115.3</v>
      </c>
      <c r="W4036" s="413"/>
    </row>
    <row r="4037" spans="6:23" ht="24" customHeight="1">
      <c r="F4037" s="440">
        <v>2</v>
      </c>
      <c r="G4037" s="414" t="s">
        <v>619</v>
      </c>
      <c r="H4037" s="412" t="s">
        <v>2621</v>
      </c>
      <c r="I4037" s="414">
        <f>I4024</f>
        <v>350</v>
      </c>
      <c r="J4037" s="414" t="s">
        <v>619</v>
      </c>
      <c r="K4037" s="414">
        <f t="shared" si="382"/>
        <v>700</v>
      </c>
      <c r="W4037" s="413"/>
    </row>
    <row r="4038" spans="6:23" ht="24" customHeight="1">
      <c r="F4038" s="440">
        <v>4</v>
      </c>
      <c r="G4038" s="414" t="s">
        <v>619</v>
      </c>
      <c r="H4038" s="412" t="s">
        <v>2362</v>
      </c>
      <c r="I4038" s="414">
        <f>I4026</f>
        <v>15</v>
      </c>
      <c r="J4038" s="414" t="s">
        <v>619</v>
      </c>
      <c r="K4038" s="414">
        <f t="shared" si="382"/>
        <v>60</v>
      </c>
      <c r="W4038" s="413"/>
    </row>
    <row r="4039" spans="6:23" ht="24" customHeight="1">
      <c r="F4039" s="440">
        <v>1.62</v>
      </c>
      <c r="G4039" s="414" t="s">
        <v>1861</v>
      </c>
      <c r="H4039" s="412" t="s">
        <v>2363</v>
      </c>
      <c r="I4039" s="414">
        <f>I4027</f>
        <v>1998</v>
      </c>
      <c r="J4039" s="414" t="s">
        <v>1861</v>
      </c>
      <c r="K4039" s="414">
        <f t="shared" si="382"/>
        <v>3236.76</v>
      </c>
      <c r="W4039" s="413"/>
    </row>
    <row r="4040" spans="6:23" ht="24" customHeight="1">
      <c r="H4040" s="412" t="s">
        <v>1850</v>
      </c>
      <c r="J4040" s="413"/>
      <c r="W4040" s="413"/>
    </row>
    <row r="4041" spans="6:23" ht="24" customHeight="1">
      <c r="H4041" s="419" t="s">
        <v>2141</v>
      </c>
      <c r="J4041" s="414"/>
      <c r="K4041" s="414">
        <f>SUM(K4033:K4040)</f>
        <v>8609.08</v>
      </c>
      <c r="W4041" s="413"/>
    </row>
    <row r="4042" spans="6:23" ht="24" customHeight="1">
      <c r="F4042" s="416"/>
      <c r="H4042" s="423" t="s">
        <v>2618</v>
      </c>
      <c r="J4042" s="414"/>
      <c r="K4042" s="417">
        <f>K4041/F4039</f>
        <v>5314.25</v>
      </c>
      <c r="W4042" s="413"/>
    </row>
    <row r="4043" spans="6:23" ht="24" customHeight="1">
      <c r="F4043" s="416"/>
      <c r="J4043" s="414"/>
      <c r="W4043" s="413"/>
    </row>
    <row r="4044" spans="6:23" ht="24" hidden="1" customHeight="1">
      <c r="W4044" s="413"/>
    </row>
    <row r="4045" spans="6:23" ht="24" customHeight="1">
      <c r="H4045" s="412" t="s">
        <v>4369</v>
      </c>
      <c r="J4045" s="413"/>
      <c r="L4045" s="416"/>
      <c r="M4045" s="416"/>
      <c r="W4045" s="413"/>
    </row>
    <row r="4046" spans="6:23" ht="24" customHeight="1">
      <c r="H4046" s="415" t="s">
        <v>2644</v>
      </c>
      <c r="J4046" s="413"/>
      <c r="L4046" s="416"/>
      <c r="M4046" s="416"/>
      <c r="W4046" s="413"/>
    </row>
    <row r="4047" spans="6:23" ht="24" customHeight="1">
      <c r="H4047" s="418" t="s">
        <v>1288</v>
      </c>
      <c r="J4047" s="413"/>
      <c r="L4047" s="416"/>
      <c r="M4047" s="416"/>
      <c r="W4047" s="413"/>
    </row>
    <row r="4048" spans="6:23" ht="24" customHeight="1">
      <c r="H4048" s="415" t="s">
        <v>2645</v>
      </c>
      <c r="J4048" s="414"/>
      <c r="L4048" s="416"/>
      <c r="M4048" s="416"/>
      <c r="W4048" s="413"/>
    </row>
    <row r="4049" spans="6:23" ht="24" customHeight="1">
      <c r="H4049" s="449" t="s">
        <v>2646</v>
      </c>
      <c r="I4049" s="428"/>
      <c r="J4049" s="483">
        <f>3*2*1.9*0.075*0.0375</f>
        <v>3.2099999999999997E-2</v>
      </c>
      <c r="K4049" s="414" t="s">
        <v>1749</v>
      </c>
      <c r="L4049" s="416"/>
      <c r="M4049" s="416"/>
      <c r="W4049" s="413"/>
    </row>
    <row r="4050" spans="6:23" ht="24" customHeight="1">
      <c r="H4050" s="412" t="s">
        <v>2647</v>
      </c>
      <c r="I4050" s="428"/>
      <c r="J4050" s="483">
        <f>3*2*0.5*0.075*0.0375</f>
        <v>8.3999999999999995E-3</v>
      </c>
      <c r="K4050" s="414" t="s">
        <v>1749</v>
      </c>
      <c r="L4050" s="416"/>
      <c r="M4050" s="416"/>
      <c r="W4050" s="413"/>
    </row>
    <row r="4051" spans="6:23" ht="24" customHeight="1">
      <c r="H4051" s="412"/>
      <c r="I4051" s="423"/>
      <c r="J4051" s="418" t="s">
        <v>1288</v>
      </c>
      <c r="K4051" s="439"/>
      <c r="L4051" s="416"/>
      <c r="M4051" s="416"/>
      <c r="W4051" s="413"/>
    </row>
    <row r="4052" spans="6:23" ht="24" customHeight="1">
      <c r="J4052" s="482">
        <f>SUM(J4049:J4051)</f>
        <v>4.0500000000000001E-2</v>
      </c>
      <c r="K4052" s="414" t="s">
        <v>1749</v>
      </c>
      <c r="L4052" s="416"/>
      <c r="M4052" s="416"/>
      <c r="W4052" s="413"/>
    </row>
    <row r="4053" spans="6:23" ht="24" customHeight="1">
      <c r="J4053" s="418" t="s">
        <v>1288</v>
      </c>
      <c r="L4053" s="416"/>
      <c r="M4053" s="416"/>
      <c r="W4053" s="413"/>
    </row>
    <row r="4054" spans="6:23" ht="24" customHeight="1">
      <c r="H4054" s="412" t="s">
        <v>356</v>
      </c>
      <c r="I4054" s="428"/>
      <c r="J4054" s="428"/>
      <c r="K4054" s="428"/>
      <c r="L4054" s="416"/>
      <c r="M4054" s="416"/>
      <c r="W4054" s="413"/>
    </row>
    <row r="4055" spans="6:23" ht="24" customHeight="1">
      <c r="H4055" s="412" t="s">
        <v>2648</v>
      </c>
      <c r="I4055" s="492"/>
      <c r="J4055" s="454">
        <f>3*1.9*0.5</f>
        <v>2.85</v>
      </c>
      <c r="K4055" s="414" t="s">
        <v>488</v>
      </c>
      <c r="L4055" s="416"/>
      <c r="M4055" s="416"/>
      <c r="W4055" s="413"/>
    </row>
    <row r="4056" spans="6:23" ht="24" customHeight="1">
      <c r="H4056" s="412"/>
      <c r="I4056" s="492"/>
      <c r="J4056" s="454"/>
      <c r="K4056" s="439"/>
      <c r="L4056" s="416"/>
      <c r="M4056" s="416"/>
      <c r="W4056" s="413"/>
    </row>
    <row r="4057" spans="6:23" ht="24" customHeight="1">
      <c r="H4057" s="412" t="s">
        <v>2649</v>
      </c>
      <c r="I4057" s="492"/>
      <c r="J4057" s="454"/>
      <c r="K4057" s="439"/>
      <c r="L4057" s="416"/>
      <c r="M4057" s="416"/>
      <c r="W4057" s="413"/>
    </row>
    <row r="4058" spans="6:23" ht="24" customHeight="1">
      <c r="H4058" s="412" t="s">
        <v>2650</v>
      </c>
      <c r="I4058" s="492"/>
      <c r="J4058" s="483">
        <f>3*1.775*0.375</f>
        <v>1.9968999999999999</v>
      </c>
      <c r="K4058" s="439" t="str">
        <f>K4055</f>
        <v>SQM</v>
      </c>
      <c r="L4058" s="416"/>
      <c r="M4058" s="416"/>
      <c r="W4058" s="413"/>
    </row>
    <row r="4059" spans="6:23" ht="24" customHeight="1">
      <c r="H4059" s="412" t="s">
        <v>2651</v>
      </c>
      <c r="J4059" s="483"/>
      <c r="K4059" s="449"/>
      <c r="L4059" s="416"/>
      <c r="M4059" s="416"/>
      <c r="W4059" s="413"/>
    </row>
    <row r="4060" spans="6:23" ht="24" customHeight="1">
      <c r="F4060" s="440"/>
      <c r="H4060" s="412" t="s">
        <v>2652</v>
      </c>
      <c r="I4060" s="492"/>
      <c r="J4060" s="483">
        <f>1.775+0.375</f>
        <v>2.15</v>
      </c>
      <c r="K4060" s="439"/>
      <c r="M4060" s="416"/>
      <c r="W4060" s="413"/>
    </row>
    <row r="4061" spans="6:23" ht="24" customHeight="1">
      <c r="F4061" s="440"/>
      <c r="I4061" s="505"/>
      <c r="J4061" s="420">
        <f>J4060*6</f>
        <v>12.9</v>
      </c>
      <c r="K4061" s="414" t="s">
        <v>669</v>
      </c>
      <c r="M4061" s="416"/>
      <c r="W4061" s="413"/>
    </row>
    <row r="4062" spans="6:23" ht="24" customHeight="1">
      <c r="F4062" s="440"/>
      <c r="H4062" s="417" t="s">
        <v>2653</v>
      </c>
      <c r="I4062" s="505"/>
      <c r="J4062" s="413"/>
      <c r="M4062" s="416"/>
      <c r="W4062" s="413"/>
    </row>
    <row r="4063" spans="6:23" ht="24" customHeight="1">
      <c r="F4063" s="440"/>
      <c r="H4063" s="415" t="s">
        <v>2654</v>
      </c>
      <c r="I4063" s="428"/>
      <c r="J4063" s="414"/>
      <c r="K4063" s="413"/>
      <c r="M4063" s="416"/>
      <c r="W4063" s="413"/>
    </row>
    <row r="4064" spans="6:23" ht="24" customHeight="1">
      <c r="F4064" s="439">
        <f>J4052</f>
        <v>4.0500000000000001E-2</v>
      </c>
      <c r="G4064" s="412" t="s">
        <v>702</v>
      </c>
      <c r="H4064" s="412" t="s">
        <v>2655</v>
      </c>
      <c r="I4064" s="414" t="e">
        <f>V3114</f>
        <v>#REF!</v>
      </c>
      <c r="J4064" s="413" t="s">
        <v>702</v>
      </c>
      <c r="K4064" s="414" t="e">
        <f>(F4064*I4064)</f>
        <v>#REF!</v>
      </c>
      <c r="M4064" s="416"/>
      <c r="W4064" s="413"/>
    </row>
    <row r="4065" spans="6:23" ht="24" customHeight="1">
      <c r="F4065" s="439">
        <f>J4055</f>
        <v>2.85</v>
      </c>
      <c r="G4065" s="414" t="s">
        <v>488</v>
      </c>
      <c r="H4065" s="412" t="s">
        <v>356</v>
      </c>
      <c r="I4065" s="414">
        <f>V3116</f>
        <v>1436</v>
      </c>
      <c r="J4065" s="414" t="s">
        <v>488</v>
      </c>
      <c r="K4065" s="414">
        <f>(F4065*I4065)</f>
        <v>4092.6</v>
      </c>
      <c r="M4065" s="416"/>
      <c r="W4065" s="413"/>
    </row>
    <row r="4066" spans="6:23" ht="24" customHeight="1">
      <c r="F4066" s="439">
        <f>J4058</f>
        <v>1.9968999999999999</v>
      </c>
      <c r="G4066" s="414" t="s">
        <v>488</v>
      </c>
      <c r="H4066" s="412" t="s">
        <v>2649</v>
      </c>
      <c r="I4066" s="414">
        <f>V3115</f>
        <v>306.89999999999998</v>
      </c>
      <c r="J4066" s="414" t="s">
        <v>488</v>
      </c>
      <c r="K4066" s="414">
        <f t="shared" ref="K4066:K4072" si="383">(F4066*I4066)</f>
        <v>612.85</v>
      </c>
      <c r="M4066" s="416"/>
      <c r="W4066" s="413"/>
    </row>
    <row r="4067" spans="6:23" ht="24" customHeight="1">
      <c r="F4067" s="414">
        <f>J4061</f>
        <v>12.9</v>
      </c>
      <c r="G4067" s="414" t="s">
        <v>669</v>
      </c>
      <c r="H4067" s="415" t="s">
        <v>2656</v>
      </c>
      <c r="I4067" s="414">
        <f t="shared" ref="I4067:I4072" si="384">V3117</f>
        <v>15.45</v>
      </c>
      <c r="J4067" s="414" t="s">
        <v>669</v>
      </c>
      <c r="K4067" s="414">
        <f t="shared" si="383"/>
        <v>199.31</v>
      </c>
      <c r="M4067" s="416"/>
      <c r="W4067" s="413"/>
    </row>
    <row r="4068" spans="6:23" ht="24" customHeight="1">
      <c r="F4068" s="414">
        <v>9</v>
      </c>
      <c r="G4068" s="414" t="s">
        <v>701</v>
      </c>
      <c r="H4068" s="412" t="s">
        <v>1234</v>
      </c>
      <c r="I4068" s="414">
        <f t="shared" si="384"/>
        <v>89.6</v>
      </c>
      <c r="J4068" s="412" t="s">
        <v>701</v>
      </c>
      <c r="K4068" s="414">
        <f t="shared" si="383"/>
        <v>806.4</v>
      </c>
      <c r="M4068" s="416"/>
      <c r="W4068" s="413"/>
    </row>
    <row r="4069" spans="6:23" ht="24" customHeight="1">
      <c r="F4069" s="414">
        <v>6</v>
      </c>
      <c r="G4069" s="414" t="s">
        <v>701</v>
      </c>
      <c r="H4069" s="412" t="s">
        <v>2152</v>
      </c>
      <c r="I4069" s="414">
        <f t="shared" si="384"/>
        <v>82.25</v>
      </c>
      <c r="J4069" s="412" t="s">
        <v>701</v>
      </c>
      <c r="K4069" s="414">
        <f t="shared" si="383"/>
        <v>493.5</v>
      </c>
      <c r="M4069" s="416"/>
      <c r="W4069" s="413"/>
    </row>
    <row r="4070" spans="6:23" ht="24" customHeight="1">
      <c r="F4070" s="414">
        <v>3</v>
      </c>
      <c r="G4070" s="414" t="s">
        <v>701</v>
      </c>
      <c r="H4070" s="412" t="s">
        <v>2153</v>
      </c>
      <c r="I4070" s="414">
        <f t="shared" si="384"/>
        <v>57.65</v>
      </c>
      <c r="J4070" s="412" t="s">
        <v>701</v>
      </c>
      <c r="K4070" s="414">
        <f t="shared" si="383"/>
        <v>172.95</v>
      </c>
      <c r="M4070" s="416"/>
      <c r="W4070" s="413"/>
    </row>
    <row r="4071" spans="6:23" ht="24" customHeight="1">
      <c r="F4071" s="414">
        <v>3</v>
      </c>
      <c r="G4071" s="414" t="s">
        <v>701</v>
      </c>
      <c r="H4071" s="412" t="s">
        <v>1612</v>
      </c>
      <c r="I4071" s="414">
        <f t="shared" si="384"/>
        <v>7.3</v>
      </c>
      <c r="J4071" s="412" t="s">
        <v>701</v>
      </c>
      <c r="K4071" s="414">
        <f t="shared" si="383"/>
        <v>21.9</v>
      </c>
      <c r="M4071" s="416"/>
      <c r="W4071" s="413"/>
    </row>
    <row r="4072" spans="6:23" ht="24" customHeight="1">
      <c r="F4072" s="414">
        <v>120</v>
      </c>
      <c r="G4072" s="414" t="s">
        <v>701</v>
      </c>
      <c r="H4072" s="412" t="s">
        <v>2657</v>
      </c>
      <c r="I4072" s="414">
        <f t="shared" si="384"/>
        <v>2.41</v>
      </c>
      <c r="J4072" s="412" t="s">
        <v>701</v>
      </c>
      <c r="K4072" s="414">
        <f t="shared" si="383"/>
        <v>289.2</v>
      </c>
      <c r="M4072" s="416"/>
      <c r="W4072" s="413"/>
    </row>
    <row r="4073" spans="6:23" ht="24" customHeight="1">
      <c r="H4073" s="412"/>
      <c r="I4073" s="428"/>
      <c r="J4073" s="414"/>
      <c r="K4073" s="418" t="s">
        <v>1288</v>
      </c>
      <c r="M4073" s="416"/>
      <c r="W4073" s="413"/>
    </row>
    <row r="4074" spans="6:23" ht="24" customHeight="1">
      <c r="H4074" s="412" t="s">
        <v>2658</v>
      </c>
      <c r="I4074" s="428"/>
      <c r="J4074" s="413"/>
      <c r="K4074" s="423" t="e">
        <f>SUM(K4064:K4073)</f>
        <v>#REF!</v>
      </c>
      <c r="L4074" s="444"/>
      <c r="M4074" s="416"/>
      <c r="W4074" s="413"/>
    </row>
    <row r="4075" spans="6:23" ht="24" customHeight="1">
      <c r="H4075" s="428"/>
      <c r="J4075" s="413"/>
      <c r="K4075" s="418" t="s">
        <v>1288</v>
      </c>
      <c r="L4075" s="428"/>
      <c r="M4075" s="416"/>
      <c r="W4075" s="413"/>
    </row>
    <row r="4076" spans="6:23" ht="24" customHeight="1">
      <c r="H4076" s="423" t="s">
        <v>2454</v>
      </c>
      <c r="J4076" s="413"/>
      <c r="K4076" s="485" t="e">
        <f>K4074/F4065</f>
        <v>#REF!</v>
      </c>
      <c r="L4076" s="414">
        <f>SUM(L4060:L4075)</f>
        <v>0</v>
      </c>
      <c r="M4076" s="416"/>
      <c r="W4076" s="413"/>
    </row>
    <row r="4077" spans="6:23" ht="33.950000000000003" customHeight="1">
      <c r="J4077" s="413"/>
      <c r="K4077" s="428"/>
      <c r="L4077" s="428"/>
      <c r="M4077" s="416"/>
      <c r="W4077" s="413"/>
    </row>
    <row r="4078" spans="6:23" ht="33.950000000000003" customHeight="1">
      <c r="H4078" s="415"/>
      <c r="J4078" s="1231"/>
      <c r="K4078" s="1231"/>
      <c r="L4078" s="1231"/>
      <c r="M4078" s="1231"/>
      <c r="W4078" s="413"/>
    </row>
    <row r="4079" spans="6:23" ht="24" customHeight="1">
      <c r="J4079" s="414"/>
      <c r="L4079" s="416"/>
      <c r="M4079" s="416"/>
      <c r="W4079" s="413"/>
    </row>
    <row r="4080" spans="6:23" ht="24" customHeight="1">
      <c r="W4080" s="413"/>
    </row>
    <row r="4081" spans="23:23" ht="24" customHeight="1">
      <c r="W4081" s="413"/>
    </row>
    <row r="4082" spans="23:23" ht="24" customHeight="1">
      <c r="W4082" s="413"/>
    </row>
    <row r="4083" spans="23:23" ht="24" customHeight="1">
      <c r="W4083" s="413"/>
    </row>
    <row r="4084" spans="23:23" ht="24" customHeight="1">
      <c r="W4084" s="413"/>
    </row>
    <row r="4085" spans="23:23" ht="24" customHeight="1">
      <c r="W4085" s="413"/>
    </row>
    <row r="4086" spans="23:23" ht="24" customHeight="1">
      <c r="W4086" s="413"/>
    </row>
    <row r="4087" spans="23:23" ht="24" customHeight="1">
      <c r="W4087" s="413"/>
    </row>
    <row r="4088" spans="23:23" ht="24" customHeight="1">
      <c r="W4088" s="413"/>
    </row>
    <row r="4089" spans="23:23" ht="24" customHeight="1">
      <c r="W4089" s="413"/>
    </row>
    <row r="4090" spans="23:23" ht="24" customHeight="1">
      <c r="W4090" s="413"/>
    </row>
    <row r="4091" spans="23:23" ht="24" customHeight="1">
      <c r="W4091" s="413"/>
    </row>
    <row r="4092" spans="23:23" ht="24" customHeight="1">
      <c r="W4092" s="413"/>
    </row>
    <row r="4093" spans="23:23" ht="24" customHeight="1">
      <c r="W4093" s="413"/>
    </row>
    <row r="4094" spans="23:23" ht="24" customHeight="1">
      <c r="W4094" s="413"/>
    </row>
    <row r="4095" spans="23:23" ht="24" customHeight="1">
      <c r="W4095" s="413"/>
    </row>
    <row r="4096" spans="23:23" ht="24" customHeight="1">
      <c r="W4096" s="413"/>
    </row>
    <row r="4097" spans="23:23" ht="24" customHeight="1">
      <c r="W4097" s="413"/>
    </row>
    <row r="4098" spans="23:23" ht="24" customHeight="1">
      <c r="W4098" s="413"/>
    </row>
    <row r="4099" spans="23:23" ht="24" customHeight="1">
      <c r="W4099" s="413"/>
    </row>
    <row r="4100" spans="23:23" ht="24" customHeight="1">
      <c r="W4100" s="413"/>
    </row>
    <row r="4101" spans="23:23" ht="24" customHeight="1">
      <c r="W4101" s="413"/>
    </row>
    <row r="4102" spans="23:23" ht="24" customHeight="1">
      <c r="W4102" s="413"/>
    </row>
    <row r="4103" spans="23:23" ht="24" customHeight="1">
      <c r="W4103" s="413"/>
    </row>
    <row r="4104" spans="23:23" ht="24" customHeight="1">
      <c r="W4104" s="413"/>
    </row>
    <row r="4105" spans="23:23" ht="24" customHeight="1">
      <c r="W4105" s="413"/>
    </row>
    <row r="4106" spans="23:23" ht="24" customHeight="1">
      <c r="W4106" s="413"/>
    </row>
    <row r="4107" spans="23:23" ht="24" customHeight="1">
      <c r="W4107" s="413"/>
    </row>
    <row r="4108" spans="23:23" ht="24" customHeight="1">
      <c r="W4108" s="413"/>
    </row>
    <row r="4109" spans="23:23" ht="24" customHeight="1">
      <c r="W4109" s="413"/>
    </row>
    <row r="4110" spans="23:23" ht="24" customHeight="1">
      <c r="W4110" s="413"/>
    </row>
    <row r="4111" spans="23:23" ht="24" customHeight="1">
      <c r="W4111" s="413"/>
    </row>
    <row r="4112" spans="23:23" ht="24" customHeight="1">
      <c r="W4112" s="413"/>
    </row>
    <row r="4113" spans="23:23" ht="24" customHeight="1">
      <c r="W4113" s="413"/>
    </row>
    <row r="4114" spans="23:23" ht="24" customHeight="1">
      <c r="W4114" s="413"/>
    </row>
    <row r="4115" spans="23:23" ht="24" customHeight="1">
      <c r="W4115" s="413"/>
    </row>
    <row r="4116" spans="23:23" ht="24" customHeight="1">
      <c r="W4116" s="413"/>
    </row>
    <row r="4117" spans="23:23" ht="24" customHeight="1">
      <c r="W4117" s="413"/>
    </row>
    <row r="4118" spans="23:23" ht="24" customHeight="1">
      <c r="W4118" s="413"/>
    </row>
    <row r="4119" spans="23:23" ht="24" customHeight="1">
      <c r="W4119" s="413"/>
    </row>
    <row r="4120" spans="23:23" ht="24" customHeight="1">
      <c r="W4120" s="413"/>
    </row>
    <row r="4121" spans="23:23" ht="24" customHeight="1">
      <c r="W4121" s="413"/>
    </row>
    <row r="4122" spans="23:23" ht="24" customHeight="1">
      <c r="W4122" s="413"/>
    </row>
    <row r="4123" spans="23:23" ht="24" customHeight="1">
      <c r="W4123" s="413"/>
    </row>
    <row r="4124" spans="23:23" ht="24" customHeight="1">
      <c r="W4124" s="413"/>
    </row>
    <row r="4125" spans="23:23" ht="24" customHeight="1">
      <c r="W4125" s="413"/>
    </row>
    <row r="4126" spans="23:23" ht="24" customHeight="1">
      <c r="W4126" s="413"/>
    </row>
    <row r="4127" spans="23:23" ht="24" customHeight="1">
      <c r="W4127" s="413"/>
    </row>
    <row r="4128" spans="23:23" ht="24" customHeight="1">
      <c r="W4128" s="413"/>
    </row>
    <row r="4129" spans="23:23" ht="24" customHeight="1">
      <c r="W4129" s="413"/>
    </row>
    <row r="4130" spans="23:23" ht="24" customHeight="1">
      <c r="W4130" s="413"/>
    </row>
    <row r="4131" spans="23:23" ht="24" customHeight="1">
      <c r="W4131" s="413"/>
    </row>
    <row r="4132" spans="23:23" ht="24" customHeight="1">
      <c r="W4132" s="413"/>
    </row>
    <row r="4133" spans="23:23" ht="24" customHeight="1">
      <c r="W4133" s="413"/>
    </row>
    <row r="4134" spans="23:23" ht="24" customHeight="1">
      <c r="W4134" s="413"/>
    </row>
    <row r="4135" spans="23:23" ht="24" customHeight="1">
      <c r="W4135" s="413"/>
    </row>
    <row r="4136" spans="23:23" ht="24" customHeight="1">
      <c r="W4136" s="413"/>
    </row>
    <row r="4137" spans="23:23" ht="24" customHeight="1">
      <c r="W4137" s="413"/>
    </row>
    <row r="4138" spans="23:23" ht="24" customHeight="1">
      <c r="W4138" s="413"/>
    </row>
    <row r="4139" spans="23:23" ht="24" customHeight="1">
      <c r="W4139" s="413"/>
    </row>
    <row r="4140" spans="23:23" ht="24" customHeight="1">
      <c r="W4140" s="413"/>
    </row>
    <row r="4141" spans="23:23" ht="24" customHeight="1">
      <c r="W4141" s="413"/>
    </row>
    <row r="4142" spans="23:23" ht="24" customHeight="1">
      <c r="W4142" s="413"/>
    </row>
    <row r="4143" spans="23:23" ht="24" customHeight="1">
      <c r="W4143" s="413"/>
    </row>
    <row r="4144" spans="23:23" ht="24" customHeight="1">
      <c r="W4144" s="413"/>
    </row>
    <row r="4145" spans="23:23" ht="24" customHeight="1">
      <c r="W4145" s="413"/>
    </row>
    <row r="4146" spans="23:23" ht="24" customHeight="1">
      <c r="W4146" s="413"/>
    </row>
    <row r="4147" spans="23:23" ht="24" customHeight="1">
      <c r="W4147" s="413"/>
    </row>
    <row r="4148" spans="23:23" ht="24" customHeight="1">
      <c r="W4148" s="413"/>
    </row>
    <row r="4149" spans="23:23" ht="24" customHeight="1">
      <c r="W4149" s="413"/>
    </row>
    <row r="4150" spans="23:23" ht="24" customHeight="1">
      <c r="W4150" s="413"/>
    </row>
    <row r="4151" spans="23:23" ht="24" customHeight="1">
      <c r="W4151" s="413"/>
    </row>
    <row r="4152" spans="23:23" ht="24" customHeight="1">
      <c r="W4152" s="413"/>
    </row>
    <row r="4153" spans="23:23" ht="24" customHeight="1">
      <c r="W4153" s="413"/>
    </row>
    <row r="4154" spans="23:23" ht="24" customHeight="1">
      <c r="W4154" s="413"/>
    </row>
    <row r="4155" spans="23:23" ht="24" customHeight="1">
      <c r="W4155" s="413"/>
    </row>
    <row r="4156" spans="23:23" ht="24" customHeight="1">
      <c r="W4156" s="413"/>
    </row>
    <row r="4157" spans="23:23" ht="24" customHeight="1">
      <c r="W4157" s="413"/>
    </row>
    <row r="4158" spans="23:23" ht="24" customHeight="1">
      <c r="W4158" s="413"/>
    </row>
    <row r="4159" spans="23:23" ht="24" customHeight="1">
      <c r="W4159" s="413"/>
    </row>
    <row r="4160" spans="23:23" ht="24" customHeight="1">
      <c r="W4160" s="413"/>
    </row>
    <row r="4161" spans="23:23" ht="24" customHeight="1">
      <c r="W4161" s="413"/>
    </row>
    <row r="4162" spans="23:23" ht="24" customHeight="1">
      <c r="W4162" s="413"/>
    </row>
    <row r="4163" spans="23:23" ht="24" customHeight="1">
      <c r="W4163" s="413"/>
    </row>
    <row r="4164" spans="23:23" ht="24" customHeight="1">
      <c r="W4164" s="413"/>
    </row>
    <row r="4165" spans="23:23" ht="24" customHeight="1">
      <c r="W4165" s="413"/>
    </row>
    <row r="4166" spans="23:23" ht="24" customHeight="1">
      <c r="W4166" s="413"/>
    </row>
    <row r="4167" spans="23:23" ht="24" customHeight="1">
      <c r="W4167" s="413"/>
    </row>
    <row r="4168" spans="23:23" ht="24" customHeight="1">
      <c r="W4168" s="413"/>
    </row>
    <row r="4169" spans="23:23" ht="24" customHeight="1">
      <c r="W4169" s="413"/>
    </row>
    <row r="4170" spans="23:23" ht="24" customHeight="1">
      <c r="W4170" s="413"/>
    </row>
    <row r="4171" spans="23:23" ht="24" customHeight="1">
      <c r="W4171" s="413"/>
    </row>
    <row r="4172" spans="23:23" ht="24" customHeight="1">
      <c r="W4172" s="413"/>
    </row>
    <row r="4173" spans="23:23" ht="24" customHeight="1">
      <c r="W4173" s="413"/>
    </row>
    <row r="4174" spans="23:23" ht="24" customHeight="1">
      <c r="W4174" s="413"/>
    </row>
    <row r="4175" spans="23:23" ht="24" customHeight="1">
      <c r="W4175" s="413"/>
    </row>
    <row r="4176" spans="23:23" ht="24" customHeight="1">
      <c r="W4176" s="413"/>
    </row>
    <row r="4177" spans="23:23" ht="24" customHeight="1">
      <c r="W4177" s="413"/>
    </row>
    <row r="4178" spans="23:23" ht="24" customHeight="1">
      <c r="W4178" s="413"/>
    </row>
    <row r="4179" spans="23:23" ht="24" customHeight="1">
      <c r="W4179" s="413"/>
    </row>
    <row r="4180" spans="23:23" ht="24" customHeight="1">
      <c r="W4180" s="413"/>
    </row>
    <row r="4181" spans="23:23" ht="24" customHeight="1">
      <c r="W4181" s="413"/>
    </row>
    <row r="4182" spans="23:23" ht="24" customHeight="1">
      <c r="W4182" s="413"/>
    </row>
    <row r="4183" spans="23:23" ht="24" customHeight="1">
      <c r="W4183" s="413"/>
    </row>
    <row r="4184" spans="23:23" ht="24" customHeight="1">
      <c r="W4184" s="413"/>
    </row>
    <row r="4185" spans="23:23" ht="24" customHeight="1">
      <c r="W4185" s="413"/>
    </row>
    <row r="4186" spans="23:23" ht="24" customHeight="1">
      <c r="W4186" s="413"/>
    </row>
    <row r="4187" spans="23:23" ht="24" customHeight="1">
      <c r="W4187" s="413"/>
    </row>
    <row r="4188" spans="23:23" ht="24" customHeight="1">
      <c r="W4188" s="413"/>
    </row>
    <row r="4189" spans="23:23" ht="24" customHeight="1">
      <c r="W4189" s="413"/>
    </row>
    <row r="4190" spans="23:23" ht="24" customHeight="1">
      <c r="W4190" s="413"/>
    </row>
    <row r="4191" spans="23:23" ht="24" customHeight="1">
      <c r="W4191" s="413"/>
    </row>
    <row r="4192" spans="23:23" ht="24" customHeight="1">
      <c r="W4192" s="413"/>
    </row>
    <row r="4193" spans="23:23" ht="24" customHeight="1">
      <c r="W4193" s="413"/>
    </row>
    <row r="4194" spans="23:23" ht="24" customHeight="1">
      <c r="W4194" s="413"/>
    </row>
    <row r="4195" spans="23:23" ht="24" customHeight="1">
      <c r="W4195" s="413"/>
    </row>
    <row r="4196" spans="23:23" ht="24" customHeight="1">
      <c r="W4196" s="413"/>
    </row>
    <row r="4197" spans="23:23" ht="24" customHeight="1">
      <c r="W4197" s="413"/>
    </row>
    <row r="4198" spans="23:23" ht="24" customHeight="1">
      <c r="W4198" s="413"/>
    </row>
    <row r="4199" spans="23:23" ht="24" customHeight="1">
      <c r="W4199" s="413"/>
    </row>
    <row r="4200" spans="23:23" ht="24" customHeight="1">
      <c r="W4200" s="413"/>
    </row>
    <row r="4201" spans="23:23" ht="24" customHeight="1">
      <c r="W4201" s="413"/>
    </row>
    <row r="4202" spans="23:23" ht="24" customHeight="1">
      <c r="W4202" s="413"/>
    </row>
    <row r="4203" spans="23:23" ht="24" customHeight="1">
      <c r="W4203" s="413"/>
    </row>
    <row r="4204" spans="23:23" ht="24" customHeight="1">
      <c r="W4204" s="413"/>
    </row>
    <row r="4205" spans="23:23" ht="24" customHeight="1">
      <c r="W4205" s="413"/>
    </row>
    <row r="4206" spans="23:23" ht="24" customHeight="1">
      <c r="W4206" s="413"/>
    </row>
    <row r="4207" spans="23:23" ht="24" customHeight="1">
      <c r="W4207" s="413"/>
    </row>
    <row r="4208" spans="23:23" ht="24" customHeight="1">
      <c r="W4208" s="413"/>
    </row>
    <row r="4209" spans="23:23" ht="24" customHeight="1">
      <c r="W4209" s="413"/>
    </row>
    <row r="4210" spans="23:23" ht="24" customHeight="1">
      <c r="W4210" s="413"/>
    </row>
    <row r="4211" spans="23:23" ht="24" customHeight="1">
      <c r="W4211" s="413"/>
    </row>
    <row r="4212" spans="23:23" ht="24" customHeight="1">
      <c r="W4212" s="413"/>
    </row>
    <row r="4213" spans="23:23" ht="24" customHeight="1">
      <c r="W4213" s="413"/>
    </row>
    <row r="4214" spans="23:23" ht="24" customHeight="1">
      <c r="W4214" s="413"/>
    </row>
    <row r="4215" spans="23:23" ht="24" customHeight="1">
      <c r="W4215" s="413"/>
    </row>
    <row r="4216" spans="23:23" ht="24" customHeight="1">
      <c r="W4216" s="413"/>
    </row>
    <row r="4217" spans="23:23" ht="24" customHeight="1">
      <c r="W4217" s="413"/>
    </row>
    <row r="4218" spans="23:23" ht="24" customHeight="1">
      <c r="W4218" s="413"/>
    </row>
    <row r="4219" spans="23:23" ht="24" customHeight="1">
      <c r="W4219" s="413"/>
    </row>
    <row r="4220" spans="23:23" ht="24" customHeight="1">
      <c r="W4220" s="413"/>
    </row>
    <row r="4221" spans="23:23" ht="24" customHeight="1">
      <c r="W4221" s="413"/>
    </row>
    <row r="4222" spans="23:23" ht="24" customHeight="1">
      <c r="W4222" s="413"/>
    </row>
    <row r="4223" spans="23:23" ht="24" customHeight="1">
      <c r="W4223" s="413"/>
    </row>
    <row r="4224" spans="23:23" ht="24" customHeight="1">
      <c r="W4224" s="413"/>
    </row>
    <row r="4225" spans="23:23" ht="24" customHeight="1">
      <c r="W4225" s="413"/>
    </row>
    <row r="4226" spans="23:23" ht="24" customHeight="1">
      <c r="W4226" s="413"/>
    </row>
    <row r="4227" spans="23:23" ht="24" customHeight="1">
      <c r="W4227" s="413"/>
    </row>
    <row r="4228" spans="23:23" ht="24" customHeight="1">
      <c r="W4228" s="413"/>
    </row>
    <row r="4229" spans="23:23" ht="24" customHeight="1">
      <c r="W4229" s="413"/>
    </row>
    <row r="4230" spans="23:23" ht="24" customHeight="1">
      <c r="W4230" s="413"/>
    </row>
    <row r="4231" spans="23:23" ht="24" customHeight="1">
      <c r="W4231" s="413"/>
    </row>
    <row r="4232" spans="23:23" ht="24" customHeight="1">
      <c r="W4232" s="413"/>
    </row>
    <row r="4233" spans="23:23" ht="24" customHeight="1">
      <c r="W4233" s="413"/>
    </row>
    <row r="4234" spans="23:23" ht="24" customHeight="1">
      <c r="W4234" s="413"/>
    </row>
    <row r="4235" spans="23:23" ht="24" customHeight="1">
      <c r="W4235" s="413"/>
    </row>
    <row r="4236" spans="23:23" ht="24" customHeight="1">
      <c r="W4236" s="413"/>
    </row>
    <row r="4237" spans="23:23" ht="24" customHeight="1">
      <c r="W4237" s="413"/>
    </row>
    <row r="4238" spans="23:23" ht="24" customHeight="1">
      <c r="W4238" s="413"/>
    </row>
    <row r="4239" spans="23:23" ht="24" customHeight="1">
      <c r="W4239" s="413"/>
    </row>
    <row r="4240" spans="23:23" ht="24" customHeight="1">
      <c r="W4240" s="413"/>
    </row>
    <row r="4241" spans="23:23" ht="24" customHeight="1">
      <c r="W4241" s="413"/>
    </row>
    <row r="4242" spans="23:23" ht="24" customHeight="1">
      <c r="W4242" s="413"/>
    </row>
    <row r="4243" spans="23:23" ht="24" customHeight="1">
      <c r="W4243" s="413"/>
    </row>
    <row r="4244" spans="23:23" ht="24" customHeight="1">
      <c r="W4244" s="413"/>
    </row>
    <row r="4245" spans="23:23" ht="24" customHeight="1">
      <c r="W4245" s="413"/>
    </row>
    <row r="4246" spans="23:23" ht="24" customHeight="1">
      <c r="W4246" s="413"/>
    </row>
    <row r="4247" spans="23:23" ht="24" customHeight="1">
      <c r="W4247" s="413"/>
    </row>
    <row r="4248" spans="23:23" ht="24" customHeight="1">
      <c r="W4248" s="413"/>
    </row>
    <row r="4249" spans="23:23" ht="24" customHeight="1">
      <c r="W4249" s="413"/>
    </row>
    <row r="4250" spans="23:23" ht="24" customHeight="1">
      <c r="W4250" s="413"/>
    </row>
    <row r="4251" spans="23:23" ht="24" customHeight="1">
      <c r="W4251" s="413"/>
    </row>
    <row r="4252" spans="23:23" ht="24" customHeight="1">
      <c r="W4252" s="413"/>
    </row>
    <row r="4253" spans="23:23" ht="24" customHeight="1">
      <c r="W4253" s="413"/>
    </row>
    <row r="4254" spans="23:23" ht="24" customHeight="1">
      <c r="W4254" s="413"/>
    </row>
    <row r="4255" spans="23:23" ht="24" customHeight="1">
      <c r="W4255" s="413"/>
    </row>
    <row r="4256" spans="23:23" ht="24" customHeight="1">
      <c r="W4256" s="413"/>
    </row>
    <row r="4257" spans="23:23" ht="24" customHeight="1">
      <c r="W4257" s="413"/>
    </row>
    <row r="4258" spans="23:23" ht="24" customHeight="1">
      <c r="W4258" s="413"/>
    </row>
    <row r="4259" spans="23:23" ht="24" customHeight="1">
      <c r="W4259" s="413"/>
    </row>
    <row r="4260" spans="23:23" ht="24" customHeight="1">
      <c r="W4260" s="413"/>
    </row>
    <row r="4261" spans="23:23" ht="24" customHeight="1">
      <c r="W4261" s="413"/>
    </row>
    <row r="4262" spans="23:23" ht="24" customHeight="1">
      <c r="W4262" s="413"/>
    </row>
    <row r="4263" spans="23:23" ht="24" customHeight="1">
      <c r="W4263" s="413"/>
    </row>
    <row r="4264" spans="23:23" ht="24" customHeight="1">
      <c r="W4264" s="413"/>
    </row>
    <row r="4265" spans="23:23" ht="24" customHeight="1">
      <c r="W4265" s="413"/>
    </row>
    <row r="4266" spans="23:23" ht="24" customHeight="1">
      <c r="W4266" s="413"/>
    </row>
    <row r="4267" spans="23:23" ht="24" customHeight="1">
      <c r="W4267" s="413"/>
    </row>
    <row r="4268" spans="23:23" ht="24" customHeight="1">
      <c r="W4268" s="413"/>
    </row>
    <row r="4269" spans="23:23" ht="24" customHeight="1">
      <c r="W4269" s="413"/>
    </row>
    <row r="4270" spans="23:23" ht="24" customHeight="1">
      <c r="W4270" s="413"/>
    </row>
    <row r="4271" spans="23:23" ht="24" customHeight="1">
      <c r="W4271" s="413"/>
    </row>
    <row r="4272" spans="23:23" ht="24" customHeight="1">
      <c r="W4272" s="413"/>
    </row>
    <row r="4273" spans="23:23" ht="24" customHeight="1">
      <c r="W4273" s="413"/>
    </row>
    <row r="4274" spans="23:23" ht="24" customHeight="1">
      <c r="W4274" s="413"/>
    </row>
    <row r="4275" spans="23:23" ht="24" customHeight="1">
      <c r="W4275" s="413"/>
    </row>
    <row r="4276" spans="23:23" ht="24" customHeight="1">
      <c r="W4276" s="413"/>
    </row>
    <row r="4277" spans="23:23" ht="24" customHeight="1">
      <c r="W4277" s="413"/>
    </row>
    <row r="4278" spans="23:23" ht="24" customHeight="1">
      <c r="W4278" s="413"/>
    </row>
    <row r="4279" spans="23:23" ht="24" customHeight="1">
      <c r="W4279" s="413"/>
    </row>
    <row r="4280" spans="23:23" ht="24" customHeight="1">
      <c r="W4280" s="413"/>
    </row>
    <row r="4281" spans="23:23" ht="24" customHeight="1">
      <c r="W4281" s="413"/>
    </row>
    <row r="4282" spans="23:23" ht="24" customHeight="1">
      <c r="W4282" s="413"/>
    </row>
    <row r="4283" spans="23:23" ht="24" customHeight="1">
      <c r="W4283" s="413"/>
    </row>
    <row r="4284" spans="23:23" ht="24" customHeight="1">
      <c r="W4284" s="413"/>
    </row>
    <row r="4285" spans="23:23" ht="24" customHeight="1">
      <c r="W4285" s="413"/>
    </row>
    <row r="4286" spans="23:23" ht="24" customHeight="1">
      <c r="W4286" s="413"/>
    </row>
    <row r="4287" spans="23:23" ht="24" customHeight="1">
      <c r="W4287" s="413"/>
    </row>
    <row r="4288" spans="23:23" ht="24" customHeight="1">
      <c r="W4288" s="413"/>
    </row>
    <row r="4289" spans="23:23" ht="24" customHeight="1">
      <c r="W4289" s="413"/>
    </row>
    <row r="4290" spans="23:23" ht="24" customHeight="1">
      <c r="W4290" s="413"/>
    </row>
    <row r="4291" spans="23:23" ht="24" customHeight="1">
      <c r="W4291" s="413"/>
    </row>
    <row r="4292" spans="23:23" ht="24" customHeight="1">
      <c r="W4292" s="413"/>
    </row>
    <row r="4293" spans="23:23" ht="24" customHeight="1">
      <c r="W4293" s="413"/>
    </row>
    <row r="4294" spans="23:23" ht="24" customHeight="1">
      <c r="W4294" s="413"/>
    </row>
    <row r="4295" spans="23:23" ht="24" customHeight="1">
      <c r="W4295" s="413"/>
    </row>
    <row r="4296" spans="23:23" ht="24" customHeight="1">
      <c r="W4296" s="413"/>
    </row>
    <row r="4297" spans="23:23" ht="24" customHeight="1">
      <c r="W4297" s="413"/>
    </row>
    <row r="4298" spans="23:23" ht="24" customHeight="1">
      <c r="W4298" s="413"/>
    </row>
    <row r="4299" spans="23:23" ht="24" customHeight="1">
      <c r="W4299" s="413"/>
    </row>
    <row r="4300" spans="23:23" ht="24" customHeight="1">
      <c r="W4300" s="413"/>
    </row>
    <row r="4301" spans="23:23" ht="24" customHeight="1">
      <c r="W4301" s="413"/>
    </row>
    <row r="4302" spans="23:23" ht="24" customHeight="1">
      <c r="W4302" s="413"/>
    </row>
    <row r="4303" spans="23:23" ht="24" customHeight="1">
      <c r="W4303" s="413"/>
    </row>
    <row r="4304" spans="23:23" ht="24" customHeight="1">
      <c r="W4304" s="413"/>
    </row>
    <row r="4305" spans="23:23" ht="24" customHeight="1">
      <c r="W4305" s="413"/>
    </row>
    <row r="4306" spans="23:23" ht="24" customHeight="1">
      <c r="W4306" s="413"/>
    </row>
    <row r="4307" spans="23:23" ht="24" customHeight="1">
      <c r="W4307" s="413"/>
    </row>
    <row r="4308" spans="23:23" ht="24" customHeight="1">
      <c r="W4308" s="413"/>
    </row>
    <row r="4309" spans="23:23" ht="24" customHeight="1">
      <c r="W4309" s="413"/>
    </row>
    <row r="4310" spans="23:23" ht="24" customHeight="1">
      <c r="W4310" s="413"/>
    </row>
    <row r="4311" spans="23:23" ht="24" customHeight="1">
      <c r="W4311" s="413"/>
    </row>
    <row r="4312" spans="23:23" ht="24" customHeight="1">
      <c r="W4312" s="413"/>
    </row>
    <row r="4313" spans="23:23" ht="24" customHeight="1">
      <c r="W4313" s="413"/>
    </row>
    <row r="4314" spans="23:23" ht="24" customHeight="1">
      <c r="W4314" s="413"/>
    </row>
    <row r="4315" spans="23:23" ht="24" customHeight="1">
      <c r="W4315" s="413"/>
    </row>
    <row r="4316" spans="23:23" ht="24" customHeight="1">
      <c r="W4316" s="413"/>
    </row>
    <row r="4317" spans="23:23" ht="24" customHeight="1">
      <c r="W4317" s="413"/>
    </row>
    <row r="4318" spans="23:23" ht="24" customHeight="1">
      <c r="W4318" s="413"/>
    </row>
    <row r="4319" spans="23:23" ht="24" customHeight="1">
      <c r="W4319" s="413"/>
    </row>
    <row r="4320" spans="23:23" ht="24" customHeight="1">
      <c r="W4320" s="413"/>
    </row>
    <row r="4321" spans="23:23" ht="24" customHeight="1">
      <c r="W4321" s="413"/>
    </row>
    <row r="4322" spans="23:23" ht="24" customHeight="1">
      <c r="W4322" s="413"/>
    </row>
    <row r="4323" spans="23:23" ht="24" customHeight="1">
      <c r="W4323" s="413"/>
    </row>
    <row r="4324" spans="23:23" ht="24" customHeight="1">
      <c r="W4324" s="413"/>
    </row>
    <row r="4325" spans="23:23" ht="24" customHeight="1">
      <c r="W4325" s="413"/>
    </row>
    <row r="4326" spans="23:23" ht="24" customHeight="1">
      <c r="W4326" s="413"/>
    </row>
    <row r="4327" spans="23:23" ht="24" customHeight="1">
      <c r="W4327" s="413"/>
    </row>
    <row r="4328" spans="23:23" ht="24" customHeight="1">
      <c r="W4328" s="413"/>
    </row>
    <row r="4329" spans="23:23" ht="24" customHeight="1">
      <c r="W4329" s="413"/>
    </row>
    <row r="4330" spans="23:23" ht="24" customHeight="1">
      <c r="W4330" s="413"/>
    </row>
    <row r="4331" spans="23:23" ht="24" customHeight="1">
      <c r="W4331" s="413"/>
    </row>
    <row r="4332" spans="23:23" ht="24" customHeight="1">
      <c r="W4332" s="413"/>
    </row>
    <row r="4333" spans="23:23" ht="24" customHeight="1">
      <c r="W4333" s="413"/>
    </row>
    <row r="4334" spans="23:23" ht="24" customHeight="1">
      <c r="W4334" s="413"/>
    </row>
    <row r="4335" spans="23:23" ht="24" customHeight="1">
      <c r="W4335" s="413"/>
    </row>
    <row r="4336" spans="23:23" ht="24" customHeight="1">
      <c r="W4336" s="413"/>
    </row>
    <row r="4337" spans="23:23" ht="24" customHeight="1">
      <c r="W4337" s="413"/>
    </row>
    <row r="4338" spans="23:23" ht="24" customHeight="1">
      <c r="W4338" s="413"/>
    </row>
    <row r="4339" spans="23:23" ht="24" customHeight="1">
      <c r="W4339" s="413"/>
    </row>
    <row r="4340" spans="23:23" ht="24" customHeight="1">
      <c r="W4340" s="413"/>
    </row>
    <row r="4341" spans="23:23" ht="24" customHeight="1">
      <c r="W4341" s="413"/>
    </row>
    <row r="4342" spans="23:23" ht="24" customHeight="1">
      <c r="W4342" s="413"/>
    </row>
    <row r="4343" spans="23:23" ht="24" customHeight="1">
      <c r="W4343" s="413"/>
    </row>
    <row r="4344" spans="23:23" ht="24" customHeight="1">
      <c r="W4344" s="413"/>
    </row>
    <row r="4345" spans="23:23" ht="24" customHeight="1">
      <c r="W4345" s="413"/>
    </row>
    <row r="4346" spans="23:23" ht="24" customHeight="1">
      <c r="W4346" s="413"/>
    </row>
    <row r="4347" spans="23:23" ht="24" customHeight="1">
      <c r="W4347" s="413"/>
    </row>
    <row r="4348" spans="23:23" ht="24" customHeight="1">
      <c r="W4348" s="413"/>
    </row>
    <row r="4349" spans="23:23" ht="24" customHeight="1">
      <c r="W4349" s="413"/>
    </row>
    <row r="4350" spans="23:23" ht="24" customHeight="1">
      <c r="W4350" s="413"/>
    </row>
    <row r="4351" spans="23:23" ht="24" customHeight="1">
      <c r="W4351" s="413"/>
    </row>
    <row r="4352" spans="23:23" ht="24" customHeight="1">
      <c r="W4352" s="413"/>
    </row>
    <row r="4353" spans="23:23" ht="24" customHeight="1">
      <c r="W4353" s="413"/>
    </row>
    <row r="4354" spans="23:23" ht="24" customHeight="1">
      <c r="W4354" s="413"/>
    </row>
    <row r="4355" spans="23:23" ht="24" customHeight="1">
      <c r="W4355" s="413"/>
    </row>
    <row r="4356" spans="23:23" ht="24" customHeight="1">
      <c r="W4356" s="413"/>
    </row>
    <row r="4357" spans="23:23" ht="24" customHeight="1">
      <c r="W4357" s="413"/>
    </row>
    <row r="4358" spans="23:23" ht="24" customHeight="1">
      <c r="W4358" s="413"/>
    </row>
    <row r="4359" spans="23:23" ht="24" customHeight="1">
      <c r="W4359" s="413"/>
    </row>
    <row r="4360" spans="23:23" ht="24" customHeight="1">
      <c r="W4360" s="413"/>
    </row>
    <row r="4361" spans="23:23" ht="24" customHeight="1">
      <c r="W4361" s="413"/>
    </row>
    <row r="4362" spans="23:23" ht="24" customHeight="1">
      <c r="W4362" s="413"/>
    </row>
    <row r="4363" spans="23:23" ht="24" customHeight="1">
      <c r="W4363" s="413"/>
    </row>
    <row r="4364" spans="23:23" ht="24" customHeight="1">
      <c r="W4364" s="413"/>
    </row>
    <row r="4365" spans="23:23" ht="24" customHeight="1">
      <c r="W4365" s="413"/>
    </row>
    <row r="4366" spans="23:23" ht="24" customHeight="1">
      <c r="W4366" s="413"/>
    </row>
    <row r="4367" spans="23:23" ht="24" customHeight="1">
      <c r="W4367" s="413"/>
    </row>
    <row r="4368" spans="23:23" ht="24" customHeight="1">
      <c r="W4368" s="413"/>
    </row>
    <row r="4369" spans="23:23" ht="24" customHeight="1">
      <c r="W4369" s="413"/>
    </row>
    <row r="4370" spans="23:23" ht="24" customHeight="1">
      <c r="W4370" s="413"/>
    </row>
    <row r="4371" spans="23:23" ht="24" customHeight="1">
      <c r="W4371" s="413"/>
    </row>
    <row r="4372" spans="23:23" ht="24" customHeight="1">
      <c r="W4372" s="413"/>
    </row>
    <row r="4373" spans="23:23" ht="24" customHeight="1">
      <c r="W4373" s="413"/>
    </row>
    <row r="4374" spans="23:23" ht="24" customHeight="1">
      <c r="W4374" s="413"/>
    </row>
    <row r="4375" spans="23:23" ht="24" customHeight="1">
      <c r="W4375" s="413"/>
    </row>
    <row r="4376" spans="23:23" ht="24" customHeight="1">
      <c r="W4376" s="413"/>
    </row>
    <row r="4377" spans="23:23" ht="24" customHeight="1">
      <c r="W4377" s="413"/>
    </row>
    <row r="4378" spans="23:23" ht="24" customHeight="1">
      <c r="W4378" s="413"/>
    </row>
    <row r="4379" spans="23:23" ht="24" customHeight="1">
      <c r="W4379" s="413"/>
    </row>
    <row r="4380" spans="23:23" ht="24" customHeight="1">
      <c r="W4380" s="413"/>
    </row>
    <row r="4381" spans="23:23" ht="24" customHeight="1">
      <c r="W4381" s="413"/>
    </row>
    <row r="4382" spans="23:23" ht="24" customHeight="1">
      <c r="W4382" s="413"/>
    </row>
    <row r="4383" spans="23:23" ht="24" customHeight="1">
      <c r="W4383" s="413"/>
    </row>
    <row r="4384" spans="23:23" ht="24" customHeight="1">
      <c r="W4384" s="413"/>
    </row>
    <row r="4385" spans="23:23" ht="24" customHeight="1">
      <c r="W4385" s="413"/>
    </row>
    <row r="4386" spans="23:23" ht="24" customHeight="1">
      <c r="W4386" s="413"/>
    </row>
    <row r="4387" spans="23:23" ht="24" customHeight="1">
      <c r="W4387" s="413"/>
    </row>
    <row r="4388" spans="23:23" ht="24" customHeight="1">
      <c r="W4388" s="413"/>
    </row>
    <row r="4389" spans="23:23" ht="24" customHeight="1">
      <c r="W4389" s="413"/>
    </row>
    <row r="4390" spans="23:23" ht="24" customHeight="1">
      <c r="W4390" s="413"/>
    </row>
    <row r="4391" spans="23:23" ht="24" customHeight="1">
      <c r="W4391" s="413"/>
    </row>
    <row r="4392" spans="23:23" ht="24" customHeight="1">
      <c r="W4392" s="413"/>
    </row>
    <row r="4393" spans="23:23" ht="24" customHeight="1">
      <c r="W4393" s="413"/>
    </row>
    <row r="4394" spans="23:23" ht="24" customHeight="1">
      <c r="W4394" s="413"/>
    </row>
    <row r="4395" spans="23:23" ht="24" customHeight="1">
      <c r="W4395" s="413"/>
    </row>
    <row r="4396" spans="23:23" ht="24" customHeight="1">
      <c r="W4396" s="413"/>
    </row>
    <row r="4397" spans="23:23" ht="24" customHeight="1">
      <c r="W4397" s="413"/>
    </row>
    <row r="4398" spans="23:23" ht="24" customHeight="1">
      <c r="W4398" s="413"/>
    </row>
    <row r="4399" spans="23:23" ht="24" customHeight="1">
      <c r="W4399" s="413"/>
    </row>
    <row r="4400" spans="23:23" ht="24" customHeight="1">
      <c r="W4400" s="413"/>
    </row>
    <row r="4401" spans="23:23" ht="24" customHeight="1">
      <c r="W4401" s="413"/>
    </row>
    <row r="4402" spans="23:23" ht="24" customHeight="1">
      <c r="W4402" s="413"/>
    </row>
    <row r="4403" spans="23:23" ht="24" customHeight="1">
      <c r="W4403" s="413"/>
    </row>
    <row r="4404" spans="23:23" ht="24" customHeight="1">
      <c r="W4404" s="413"/>
    </row>
    <row r="4405" spans="23:23" ht="24" customHeight="1">
      <c r="W4405" s="413"/>
    </row>
    <row r="4406" spans="23:23" ht="24" customHeight="1">
      <c r="W4406" s="413"/>
    </row>
    <row r="4407" spans="23:23" ht="24" customHeight="1">
      <c r="W4407" s="413"/>
    </row>
    <row r="4408" spans="23:23" ht="24" customHeight="1">
      <c r="W4408" s="413"/>
    </row>
    <row r="4409" spans="23:23" ht="24" customHeight="1">
      <c r="W4409" s="413"/>
    </row>
    <row r="4410" spans="23:23" ht="24" customHeight="1">
      <c r="W4410" s="413"/>
    </row>
    <row r="4411" spans="23:23" ht="24" customHeight="1">
      <c r="W4411" s="413"/>
    </row>
    <row r="4412" spans="23:23" ht="24" customHeight="1">
      <c r="W4412" s="413"/>
    </row>
    <row r="4413" spans="23:23" ht="24" customHeight="1">
      <c r="W4413" s="413"/>
    </row>
    <row r="4414" spans="23:23" ht="24" customHeight="1">
      <c r="W4414" s="413"/>
    </row>
    <row r="4415" spans="23:23" ht="24" customHeight="1">
      <c r="W4415" s="413"/>
    </row>
    <row r="4416" spans="23:23" ht="24" customHeight="1">
      <c r="W4416" s="413"/>
    </row>
    <row r="4417" spans="23:23" ht="24" customHeight="1">
      <c r="W4417" s="413"/>
    </row>
    <row r="4418" spans="23:23" ht="24" customHeight="1">
      <c r="W4418" s="413"/>
    </row>
    <row r="4419" spans="23:23" ht="24" customHeight="1">
      <c r="W4419" s="413"/>
    </row>
    <row r="4420" spans="23:23" ht="24" customHeight="1">
      <c r="W4420" s="413"/>
    </row>
    <row r="4421" spans="23:23" ht="24" customHeight="1">
      <c r="W4421" s="413"/>
    </row>
    <row r="4422" spans="23:23" ht="24" customHeight="1">
      <c r="W4422" s="413"/>
    </row>
    <row r="4423" spans="23:23" ht="24" customHeight="1">
      <c r="W4423" s="413"/>
    </row>
    <row r="4424" spans="23:23" ht="24" customHeight="1">
      <c r="W4424" s="413"/>
    </row>
    <row r="4425" spans="23:23" ht="24" customHeight="1">
      <c r="W4425" s="413"/>
    </row>
    <row r="4426" spans="23:23" ht="24" customHeight="1">
      <c r="W4426" s="413"/>
    </row>
    <row r="4427" spans="23:23" ht="24" customHeight="1">
      <c r="W4427" s="413"/>
    </row>
    <row r="4428" spans="23:23" ht="24" customHeight="1">
      <c r="W4428" s="413"/>
    </row>
    <row r="4429" spans="23:23" ht="24" customHeight="1">
      <c r="W4429" s="413"/>
    </row>
    <row r="4430" spans="23:23" ht="24" customHeight="1">
      <c r="W4430" s="413"/>
    </row>
    <row r="4431" spans="23:23" ht="24" customHeight="1">
      <c r="W4431" s="413"/>
    </row>
    <row r="4432" spans="23:23" ht="24" customHeight="1">
      <c r="W4432" s="413"/>
    </row>
    <row r="4433" spans="23:23" ht="24" customHeight="1">
      <c r="W4433" s="413"/>
    </row>
    <row r="4434" spans="23:23" ht="24" customHeight="1">
      <c r="W4434" s="413"/>
    </row>
    <row r="4435" spans="23:23" ht="24" customHeight="1">
      <c r="W4435" s="413"/>
    </row>
    <row r="4436" spans="23:23" ht="24" customHeight="1">
      <c r="W4436" s="413"/>
    </row>
    <row r="4437" spans="23:23" ht="24" customHeight="1">
      <c r="W4437" s="413"/>
    </row>
    <row r="4438" spans="23:23" ht="24" customHeight="1">
      <c r="W4438" s="413"/>
    </row>
    <row r="4439" spans="23:23" ht="24" customHeight="1">
      <c r="W4439" s="413"/>
    </row>
    <row r="4440" spans="23:23" ht="24" customHeight="1">
      <c r="W4440" s="413"/>
    </row>
    <row r="4441" spans="23:23" ht="24" customHeight="1">
      <c r="W4441" s="413"/>
    </row>
    <row r="4442" spans="23:23" ht="24" customHeight="1">
      <c r="W4442" s="413"/>
    </row>
    <row r="4443" spans="23:23" ht="24" customHeight="1">
      <c r="W4443" s="413"/>
    </row>
    <row r="4444" spans="23:23" ht="24" customHeight="1">
      <c r="W4444" s="413"/>
    </row>
    <row r="4445" spans="23:23" ht="24" customHeight="1">
      <c r="W4445" s="413"/>
    </row>
    <row r="4446" spans="23:23" ht="24" customHeight="1">
      <c r="W4446" s="413"/>
    </row>
    <row r="4447" spans="23:23" ht="24" customHeight="1">
      <c r="W4447" s="413"/>
    </row>
    <row r="4448" spans="23:23" ht="24" customHeight="1">
      <c r="W4448" s="413"/>
    </row>
    <row r="4449" spans="23:23" ht="24" customHeight="1">
      <c r="W4449" s="413"/>
    </row>
    <row r="4450" spans="23:23" ht="24" customHeight="1">
      <c r="W4450" s="413"/>
    </row>
    <row r="4451" spans="23:23" ht="24" customHeight="1">
      <c r="W4451" s="413"/>
    </row>
    <row r="4452" spans="23:23" ht="24" customHeight="1">
      <c r="W4452" s="413"/>
    </row>
    <row r="4453" spans="23:23" ht="24" customHeight="1">
      <c r="W4453" s="413"/>
    </row>
    <row r="4454" spans="23:23" ht="24" customHeight="1">
      <c r="W4454" s="413"/>
    </row>
    <row r="4455" spans="23:23" ht="24" customHeight="1">
      <c r="W4455" s="413"/>
    </row>
    <row r="4456" spans="23:23" ht="24" customHeight="1">
      <c r="W4456" s="413"/>
    </row>
    <row r="4457" spans="23:23" ht="24" customHeight="1">
      <c r="W4457" s="413"/>
    </row>
    <row r="4458" spans="23:23" ht="24" customHeight="1">
      <c r="W4458" s="413"/>
    </row>
    <row r="4459" spans="23:23" ht="24" customHeight="1">
      <c r="W4459" s="413"/>
    </row>
    <row r="4460" spans="23:23" ht="24" customHeight="1">
      <c r="W4460" s="413"/>
    </row>
    <row r="4461" spans="23:23" ht="24" customHeight="1">
      <c r="W4461" s="413"/>
    </row>
    <row r="4462" spans="23:23" ht="24" customHeight="1">
      <c r="W4462" s="413"/>
    </row>
    <row r="4463" spans="23:23" ht="24" customHeight="1">
      <c r="W4463" s="413"/>
    </row>
    <row r="4464" spans="23:23" ht="24" customHeight="1">
      <c r="W4464" s="413"/>
    </row>
    <row r="4465" spans="23:23" ht="24" customHeight="1">
      <c r="W4465" s="413"/>
    </row>
    <row r="4466" spans="23:23" ht="24" customHeight="1">
      <c r="W4466" s="413"/>
    </row>
    <row r="4467" spans="23:23" ht="24" customHeight="1">
      <c r="W4467" s="413"/>
    </row>
    <row r="4468" spans="23:23" ht="24" customHeight="1">
      <c r="W4468" s="413"/>
    </row>
    <row r="4469" spans="23:23" ht="24" customHeight="1">
      <c r="W4469" s="413"/>
    </row>
    <row r="4470" spans="23:23" ht="24" customHeight="1">
      <c r="W4470" s="413"/>
    </row>
    <row r="4471" spans="23:23" ht="24" customHeight="1">
      <c r="W4471" s="413"/>
    </row>
    <row r="4472" spans="23:23" ht="24" customHeight="1">
      <c r="W4472" s="413"/>
    </row>
    <row r="4473" spans="23:23" ht="24" customHeight="1">
      <c r="W4473" s="413"/>
    </row>
    <row r="4474" spans="23:23" ht="24" customHeight="1">
      <c r="W4474" s="413"/>
    </row>
    <row r="4475" spans="23:23" ht="24" customHeight="1">
      <c r="W4475" s="413"/>
    </row>
    <row r="4476" spans="23:23" ht="24" customHeight="1">
      <c r="W4476" s="413"/>
    </row>
    <row r="4477" spans="23:23" ht="24" customHeight="1">
      <c r="W4477" s="413"/>
    </row>
    <row r="4478" spans="23:23" ht="24" customHeight="1">
      <c r="W4478" s="413"/>
    </row>
    <row r="4479" spans="23:23" ht="24" customHeight="1">
      <c r="W4479" s="413"/>
    </row>
    <row r="4480" spans="23:23" ht="24" customHeight="1">
      <c r="W4480" s="413"/>
    </row>
    <row r="4481" spans="23:23" ht="24" customHeight="1">
      <c r="W4481" s="413"/>
    </row>
    <row r="4482" spans="23:23" ht="24" customHeight="1">
      <c r="W4482" s="413"/>
    </row>
    <row r="4483" spans="23:23" ht="24" customHeight="1">
      <c r="W4483" s="413"/>
    </row>
    <row r="4484" spans="23:23" ht="24" customHeight="1">
      <c r="W4484" s="413"/>
    </row>
    <row r="4485" spans="23:23" ht="24" customHeight="1">
      <c r="W4485" s="413"/>
    </row>
    <row r="4486" spans="23:23" ht="24" customHeight="1">
      <c r="W4486" s="413"/>
    </row>
    <row r="4487" spans="23:23" ht="24" customHeight="1">
      <c r="W4487" s="413"/>
    </row>
    <row r="4488" spans="23:23" ht="24" customHeight="1">
      <c r="W4488" s="413"/>
    </row>
    <row r="4489" spans="23:23" ht="24" customHeight="1">
      <c r="W4489" s="413"/>
    </row>
    <row r="4490" spans="23:23" ht="24" customHeight="1">
      <c r="W4490" s="413"/>
    </row>
    <row r="4491" spans="23:23" ht="24" customHeight="1">
      <c r="W4491" s="413"/>
    </row>
    <row r="4492" spans="23:23" ht="24" customHeight="1">
      <c r="W4492" s="413"/>
    </row>
    <row r="4493" spans="23:23" ht="24" customHeight="1">
      <c r="W4493" s="413"/>
    </row>
    <row r="4494" spans="23:23" ht="24" customHeight="1">
      <c r="W4494" s="413"/>
    </row>
    <row r="4495" spans="23:23" ht="24" customHeight="1">
      <c r="W4495" s="413"/>
    </row>
    <row r="4496" spans="23:23" ht="24" customHeight="1">
      <c r="W4496" s="413"/>
    </row>
    <row r="4497" spans="23:23" ht="24" customHeight="1">
      <c r="W4497" s="413"/>
    </row>
    <row r="4498" spans="23:23" ht="24" customHeight="1">
      <c r="W4498" s="413"/>
    </row>
    <row r="4499" spans="23:23" ht="24" customHeight="1">
      <c r="W4499" s="413"/>
    </row>
    <row r="4500" spans="23:23" ht="24" customHeight="1">
      <c r="W4500" s="413"/>
    </row>
    <row r="4501" spans="23:23" ht="24" customHeight="1">
      <c r="W4501" s="413"/>
    </row>
    <row r="4502" spans="23:23" ht="24" customHeight="1">
      <c r="W4502" s="413"/>
    </row>
    <row r="4503" spans="23:23" ht="24" customHeight="1">
      <c r="W4503" s="413"/>
    </row>
    <row r="4504" spans="23:23" ht="24" customHeight="1">
      <c r="W4504" s="413"/>
    </row>
    <row r="4505" spans="23:23" ht="24" customHeight="1">
      <c r="W4505" s="413"/>
    </row>
    <row r="4506" spans="23:23" ht="24" customHeight="1">
      <c r="W4506" s="413"/>
    </row>
    <row r="4507" spans="23:23" ht="24" customHeight="1">
      <c r="W4507" s="413"/>
    </row>
    <row r="4508" spans="23:23" ht="24" customHeight="1">
      <c r="W4508" s="413"/>
    </row>
    <row r="4509" spans="23:23" ht="24" customHeight="1">
      <c r="W4509" s="413"/>
    </row>
    <row r="4510" spans="23:23" ht="24" customHeight="1">
      <c r="W4510" s="413"/>
    </row>
    <row r="4511" spans="23:23" ht="24" customHeight="1">
      <c r="W4511" s="413"/>
    </row>
    <row r="4512" spans="23:23" ht="24" customHeight="1">
      <c r="W4512" s="413"/>
    </row>
    <row r="4513" spans="23:23" ht="24" customHeight="1">
      <c r="W4513" s="413"/>
    </row>
    <row r="4514" spans="23:23" ht="24" customHeight="1">
      <c r="W4514" s="413"/>
    </row>
    <row r="4515" spans="23:23" ht="24" customHeight="1">
      <c r="W4515" s="413"/>
    </row>
    <row r="4516" spans="23:23" ht="24" customHeight="1">
      <c r="W4516" s="413"/>
    </row>
    <row r="4517" spans="23:23" ht="24" customHeight="1">
      <c r="W4517" s="413"/>
    </row>
    <row r="4518" spans="23:23" ht="24" customHeight="1">
      <c r="W4518" s="413"/>
    </row>
    <row r="4519" spans="23:23" ht="24" customHeight="1">
      <c r="W4519" s="413"/>
    </row>
    <row r="4520" spans="23:23" ht="24" customHeight="1">
      <c r="W4520" s="413"/>
    </row>
    <row r="4521" spans="23:23" ht="24" customHeight="1">
      <c r="W4521" s="413"/>
    </row>
    <row r="4522" spans="23:23" ht="24" customHeight="1">
      <c r="W4522" s="413"/>
    </row>
    <row r="4523" spans="23:23" ht="24" customHeight="1">
      <c r="W4523" s="413"/>
    </row>
    <row r="4524" spans="23:23" ht="24" customHeight="1">
      <c r="W4524" s="413"/>
    </row>
    <row r="4525" spans="23:23" ht="24" customHeight="1">
      <c r="W4525" s="413"/>
    </row>
    <row r="4526" spans="23:23" ht="24" customHeight="1">
      <c r="W4526" s="413"/>
    </row>
    <row r="4527" spans="23:23" ht="24" customHeight="1">
      <c r="W4527" s="413"/>
    </row>
    <row r="4528" spans="23:23" ht="24" customHeight="1">
      <c r="W4528" s="413"/>
    </row>
    <row r="4529" spans="23:23" ht="24" customHeight="1">
      <c r="W4529" s="413"/>
    </row>
    <row r="4530" spans="23:23" ht="24" customHeight="1">
      <c r="W4530" s="413"/>
    </row>
    <row r="4531" spans="23:23" ht="24" customHeight="1">
      <c r="W4531" s="413"/>
    </row>
    <row r="4532" spans="23:23" ht="24" customHeight="1">
      <c r="W4532" s="413"/>
    </row>
    <row r="4533" spans="23:23" ht="24" customHeight="1">
      <c r="W4533" s="413"/>
    </row>
    <row r="4534" spans="23:23" ht="24" customHeight="1">
      <c r="W4534" s="413"/>
    </row>
    <row r="4535" spans="23:23" ht="24" customHeight="1">
      <c r="W4535" s="413"/>
    </row>
    <row r="4536" spans="23:23" ht="24" customHeight="1">
      <c r="W4536" s="413"/>
    </row>
    <row r="4537" spans="23:23" ht="24" customHeight="1">
      <c r="W4537" s="413"/>
    </row>
    <row r="4538" spans="23:23" ht="24" customHeight="1">
      <c r="W4538" s="413"/>
    </row>
    <row r="4539" spans="23:23" ht="24" customHeight="1">
      <c r="W4539" s="413"/>
    </row>
    <row r="4540" spans="23:23" ht="24" customHeight="1">
      <c r="W4540" s="413"/>
    </row>
    <row r="4541" spans="23:23" ht="24" customHeight="1">
      <c r="W4541" s="413"/>
    </row>
    <row r="4542" spans="23:23" ht="24" customHeight="1">
      <c r="W4542" s="413"/>
    </row>
    <row r="4543" spans="23:23" ht="24" customHeight="1">
      <c r="W4543" s="413"/>
    </row>
    <row r="4544" spans="23:23" ht="24" customHeight="1">
      <c r="W4544" s="413"/>
    </row>
    <row r="4545" spans="23:23" ht="24" customHeight="1">
      <c r="W4545" s="413"/>
    </row>
    <row r="4546" spans="23:23" ht="24" customHeight="1">
      <c r="W4546" s="413"/>
    </row>
    <row r="4547" spans="23:23" ht="24" customHeight="1">
      <c r="W4547" s="413"/>
    </row>
    <row r="4548" spans="23:23" ht="24" customHeight="1">
      <c r="W4548" s="413"/>
    </row>
    <row r="4549" spans="23:23" ht="24" customHeight="1">
      <c r="W4549" s="413"/>
    </row>
    <row r="4550" spans="23:23" ht="24" customHeight="1">
      <c r="W4550" s="413"/>
    </row>
    <row r="4551" spans="23:23" ht="24" customHeight="1">
      <c r="W4551" s="413"/>
    </row>
    <row r="4552" spans="23:23" ht="24" customHeight="1">
      <c r="W4552" s="413"/>
    </row>
    <row r="4553" spans="23:23" ht="24" customHeight="1">
      <c r="W4553" s="413"/>
    </row>
    <row r="4554" spans="23:23" ht="24" customHeight="1">
      <c r="W4554" s="413"/>
    </row>
    <row r="4555" spans="23:23" ht="24" customHeight="1">
      <c r="W4555" s="413"/>
    </row>
    <row r="4556" spans="23:23" ht="24" customHeight="1">
      <c r="W4556" s="413"/>
    </row>
    <row r="4557" spans="23:23" ht="24" customHeight="1">
      <c r="W4557" s="413"/>
    </row>
    <row r="4558" spans="23:23" ht="24" customHeight="1">
      <c r="W4558" s="413"/>
    </row>
    <row r="4559" spans="23:23" ht="24" customHeight="1">
      <c r="W4559" s="413"/>
    </row>
    <row r="4560" spans="23:23" ht="24" customHeight="1">
      <c r="W4560" s="413"/>
    </row>
    <row r="4561" spans="23:23" ht="24" customHeight="1">
      <c r="W4561" s="413"/>
    </row>
    <row r="4562" spans="23:23" ht="24" customHeight="1">
      <c r="W4562" s="413"/>
    </row>
    <row r="4563" spans="23:23" ht="24" customHeight="1">
      <c r="W4563" s="413"/>
    </row>
    <row r="4564" spans="23:23" ht="24" customHeight="1">
      <c r="W4564" s="413"/>
    </row>
    <row r="4565" spans="23:23" ht="24" customHeight="1">
      <c r="W4565" s="413"/>
    </row>
    <row r="4566" spans="23:23" ht="24" customHeight="1">
      <c r="W4566" s="413"/>
    </row>
    <row r="4567" spans="23:23" ht="24" customHeight="1">
      <c r="W4567" s="413"/>
    </row>
    <row r="4568" spans="23:23" ht="24" customHeight="1">
      <c r="W4568" s="413"/>
    </row>
    <row r="4569" spans="23:23" ht="24" customHeight="1">
      <c r="W4569" s="413"/>
    </row>
    <row r="4570" spans="23:23" ht="24" customHeight="1">
      <c r="W4570" s="413"/>
    </row>
    <row r="4571" spans="23:23" ht="24" customHeight="1">
      <c r="W4571" s="413"/>
    </row>
    <row r="4572" spans="23:23" ht="24" customHeight="1">
      <c r="W4572" s="413"/>
    </row>
    <row r="4573" spans="23:23" ht="24" customHeight="1">
      <c r="W4573" s="413"/>
    </row>
    <row r="4574" spans="23:23" ht="24" customHeight="1">
      <c r="W4574" s="413"/>
    </row>
    <row r="4575" spans="23:23" ht="24" customHeight="1">
      <c r="W4575" s="413"/>
    </row>
    <row r="4576" spans="23:23" ht="24" customHeight="1">
      <c r="W4576" s="413"/>
    </row>
    <row r="4577" spans="23:23" ht="24" customHeight="1">
      <c r="W4577" s="413"/>
    </row>
    <row r="4578" spans="23:23" ht="24" customHeight="1">
      <c r="W4578" s="413"/>
    </row>
    <row r="4579" spans="23:23" ht="24" customHeight="1">
      <c r="W4579" s="413"/>
    </row>
    <row r="4580" spans="23:23" ht="24" customHeight="1">
      <c r="W4580" s="413"/>
    </row>
    <row r="4581" spans="23:23" ht="24" customHeight="1">
      <c r="W4581" s="413"/>
    </row>
    <row r="4582" spans="23:23" ht="24" customHeight="1">
      <c r="W4582" s="413"/>
    </row>
    <row r="4583" spans="23:23" ht="24" customHeight="1">
      <c r="W4583" s="413"/>
    </row>
    <row r="4584" spans="23:23" ht="24" customHeight="1">
      <c r="W4584" s="413"/>
    </row>
    <row r="4585" spans="23:23" ht="24" customHeight="1">
      <c r="W4585" s="413"/>
    </row>
    <row r="4586" spans="23:23" ht="24" customHeight="1">
      <c r="W4586" s="413"/>
    </row>
    <row r="4587" spans="23:23" ht="24" customHeight="1">
      <c r="W4587" s="413"/>
    </row>
    <row r="4588" spans="23:23" ht="24" customHeight="1">
      <c r="W4588" s="413"/>
    </row>
    <row r="4589" spans="23:23" ht="24" customHeight="1">
      <c r="W4589" s="413"/>
    </row>
    <row r="4590" spans="23:23" ht="24" customHeight="1">
      <c r="W4590" s="413"/>
    </row>
    <row r="4591" spans="23:23" ht="24" customHeight="1">
      <c r="W4591" s="413"/>
    </row>
    <row r="4592" spans="23:23" ht="24" customHeight="1">
      <c r="W4592" s="413"/>
    </row>
    <row r="4593" spans="23:23" ht="24" customHeight="1">
      <c r="W4593" s="413"/>
    </row>
    <row r="4594" spans="23:23" ht="24" customHeight="1">
      <c r="W4594" s="413"/>
    </row>
    <row r="4595" spans="23:23" ht="24" customHeight="1">
      <c r="W4595" s="413"/>
    </row>
    <row r="4596" spans="23:23" ht="24" customHeight="1">
      <c r="W4596" s="413"/>
    </row>
    <row r="4597" spans="23:23" ht="24" customHeight="1">
      <c r="W4597" s="413"/>
    </row>
    <row r="4598" spans="23:23" ht="24" customHeight="1">
      <c r="W4598" s="413"/>
    </row>
    <row r="4599" spans="23:23" ht="24" customHeight="1">
      <c r="W4599" s="413"/>
    </row>
    <row r="4600" spans="23:23" ht="24" customHeight="1">
      <c r="W4600" s="413"/>
    </row>
    <row r="4601" spans="23:23" ht="24" customHeight="1">
      <c r="W4601" s="413"/>
    </row>
    <row r="4602" spans="23:23" ht="24" customHeight="1">
      <c r="W4602" s="413"/>
    </row>
    <row r="4603" spans="23:23" ht="24" customHeight="1">
      <c r="W4603" s="413"/>
    </row>
    <row r="4604" spans="23:23" ht="24" customHeight="1">
      <c r="W4604" s="413"/>
    </row>
    <row r="4605" spans="23:23" ht="24" customHeight="1">
      <c r="W4605" s="413"/>
    </row>
    <row r="4606" spans="23:23" ht="24" customHeight="1">
      <c r="W4606" s="413"/>
    </row>
    <row r="4607" spans="23:23" ht="24" customHeight="1">
      <c r="W4607" s="413"/>
    </row>
    <row r="4608" spans="23:23" ht="24" customHeight="1">
      <c r="W4608" s="413"/>
    </row>
    <row r="4609" spans="23:23" ht="24" customHeight="1">
      <c r="W4609" s="413"/>
    </row>
    <row r="4610" spans="23:23" ht="24" customHeight="1">
      <c r="W4610" s="413"/>
    </row>
    <row r="4611" spans="23:23" ht="24" customHeight="1">
      <c r="W4611" s="413"/>
    </row>
    <row r="4612" spans="23:23" ht="24" customHeight="1">
      <c r="W4612" s="413"/>
    </row>
    <row r="4613" spans="23:23" ht="24" customHeight="1">
      <c r="W4613" s="413"/>
    </row>
    <row r="4614" spans="23:23" ht="24" customHeight="1">
      <c r="W4614" s="413"/>
    </row>
    <row r="4615" spans="23:23" ht="24" customHeight="1">
      <c r="W4615" s="413"/>
    </row>
    <row r="4616" spans="23:23" ht="24" customHeight="1">
      <c r="W4616" s="413"/>
    </row>
    <row r="4617" spans="23:23" ht="24" customHeight="1">
      <c r="W4617" s="413"/>
    </row>
    <row r="4618" spans="23:23" ht="24" customHeight="1">
      <c r="W4618" s="413"/>
    </row>
    <row r="4619" spans="23:23" ht="24" customHeight="1">
      <c r="W4619" s="413"/>
    </row>
    <row r="4620" spans="23:23" ht="24" customHeight="1">
      <c r="W4620" s="413"/>
    </row>
    <row r="4621" spans="23:23" ht="24" customHeight="1">
      <c r="W4621" s="413"/>
    </row>
    <row r="4622" spans="23:23" ht="24" customHeight="1">
      <c r="W4622" s="413"/>
    </row>
    <row r="4623" spans="23:23" ht="24" customHeight="1">
      <c r="W4623" s="413"/>
    </row>
    <row r="4624" spans="23:23" ht="24" customHeight="1">
      <c r="W4624" s="413"/>
    </row>
    <row r="4625" spans="23:23" ht="24" customHeight="1">
      <c r="W4625" s="413"/>
    </row>
    <row r="4626" spans="23:23" ht="24" customHeight="1">
      <c r="W4626" s="413"/>
    </row>
    <row r="4627" spans="23:23" ht="24" customHeight="1">
      <c r="W4627" s="413"/>
    </row>
    <row r="4628" spans="23:23" ht="24" customHeight="1">
      <c r="W4628" s="413"/>
    </row>
    <row r="4629" spans="23:23" ht="24" customHeight="1">
      <c r="W4629" s="413"/>
    </row>
    <row r="4630" spans="23:23" ht="24" customHeight="1">
      <c r="W4630" s="413"/>
    </row>
    <row r="4631" spans="23:23" ht="24" customHeight="1">
      <c r="W4631" s="413"/>
    </row>
    <row r="4632" spans="23:23" ht="24" customHeight="1">
      <c r="W4632" s="413"/>
    </row>
    <row r="4633" spans="23:23" ht="24" customHeight="1">
      <c r="W4633" s="413"/>
    </row>
    <row r="4634" spans="23:23" ht="24" customHeight="1">
      <c r="W4634" s="413"/>
    </row>
    <row r="4635" spans="23:23" ht="24" customHeight="1">
      <c r="W4635" s="413"/>
    </row>
    <row r="4636" spans="23:23" ht="24" customHeight="1">
      <c r="W4636" s="413"/>
    </row>
    <row r="4637" spans="23:23" ht="24" customHeight="1">
      <c r="W4637" s="413"/>
    </row>
    <row r="4638" spans="23:23" ht="24" customHeight="1">
      <c r="W4638" s="413"/>
    </row>
    <row r="4639" spans="23:23" ht="24" customHeight="1">
      <c r="W4639" s="413"/>
    </row>
    <row r="4640" spans="23:23" ht="24" customHeight="1">
      <c r="W4640" s="413"/>
    </row>
    <row r="4641" spans="23:23" ht="24" customHeight="1">
      <c r="W4641" s="413"/>
    </row>
    <row r="4642" spans="23:23" ht="24" customHeight="1">
      <c r="W4642" s="413"/>
    </row>
    <row r="4643" spans="23:23" ht="24" customHeight="1">
      <c r="W4643" s="413"/>
    </row>
    <row r="4644" spans="23:23" ht="24" customHeight="1">
      <c r="W4644" s="413"/>
    </row>
    <row r="4645" spans="23:23" ht="24" customHeight="1">
      <c r="W4645" s="413"/>
    </row>
    <row r="4646" spans="23:23" ht="24" customHeight="1">
      <c r="W4646" s="413"/>
    </row>
    <row r="4647" spans="23:23" ht="24" customHeight="1">
      <c r="W4647" s="413"/>
    </row>
    <row r="4648" spans="23:23" ht="24" customHeight="1">
      <c r="W4648" s="413"/>
    </row>
    <row r="4649" spans="23:23" ht="24" customHeight="1">
      <c r="W4649" s="413"/>
    </row>
    <row r="4650" spans="23:23" ht="24" customHeight="1">
      <c r="W4650" s="413"/>
    </row>
    <row r="4651" spans="23:23" ht="24" customHeight="1">
      <c r="W4651" s="413"/>
    </row>
    <row r="4652" spans="23:23" ht="24" customHeight="1">
      <c r="W4652" s="413"/>
    </row>
    <row r="4653" spans="23:23" ht="24" customHeight="1">
      <c r="W4653" s="413"/>
    </row>
    <row r="4654" spans="23:23" ht="24" customHeight="1">
      <c r="W4654" s="413"/>
    </row>
    <row r="4655" spans="23:23" ht="24" customHeight="1">
      <c r="W4655" s="413"/>
    </row>
    <row r="4656" spans="23:23" ht="24" customHeight="1">
      <c r="W4656" s="413"/>
    </row>
    <row r="4657" spans="23:23" ht="24" customHeight="1">
      <c r="W4657" s="413"/>
    </row>
    <row r="4658" spans="23:23" ht="24" customHeight="1">
      <c r="W4658" s="413"/>
    </row>
    <row r="4659" spans="23:23" ht="24" customHeight="1">
      <c r="W4659" s="413"/>
    </row>
    <row r="4660" spans="23:23" ht="24" customHeight="1">
      <c r="W4660" s="413"/>
    </row>
    <row r="4661" spans="23:23" ht="24" customHeight="1">
      <c r="W4661" s="413"/>
    </row>
    <row r="4662" spans="23:23" ht="24" customHeight="1">
      <c r="W4662" s="413"/>
    </row>
    <row r="4663" spans="23:23" ht="24" customHeight="1">
      <c r="W4663" s="413"/>
    </row>
    <row r="4664" spans="23:23" ht="24" customHeight="1">
      <c r="W4664" s="413"/>
    </row>
    <row r="4665" spans="23:23" ht="24" customHeight="1">
      <c r="W4665" s="413"/>
    </row>
    <row r="4666" spans="23:23" ht="24" customHeight="1">
      <c r="W4666" s="413"/>
    </row>
    <row r="4667" spans="23:23" ht="24" customHeight="1">
      <c r="W4667" s="413"/>
    </row>
    <row r="4668" spans="23:23" ht="24" customHeight="1">
      <c r="W4668" s="413"/>
    </row>
    <row r="4669" spans="23:23" ht="24" customHeight="1">
      <c r="W4669" s="413"/>
    </row>
    <row r="4670" spans="23:23" ht="24" customHeight="1">
      <c r="W4670" s="413"/>
    </row>
    <row r="4671" spans="23:23" ht="24" customHeight="1">
      <c r="W4671" s="413"/>
    </row>
    <row r="4672" spans="23:23" ht="24" customHeight="1">
      <c r="W4672" s="413"/>
    </row>
    <row r="4673" spans="23:23" ht="24" customHeight="1">
      <c r="W4673" s="413"/>
    </row>
    <row r="4674" spans="23:23" ht="24" customHeight="1">
      <c r="W4674" s="413"/>
    </row>
    <row r="4675" spans="23:23" ht="24" customHeight="1">
      <c r="W4675" s="413"/>
    </row>
    <row r="4676" spans="23:23" ht="24" customHeight="1">
      <c r="W4676" s="413"/>
    </row>
    <row r="4677" spans="23:23" ht="24" customHeight="1">
      <c r="W4677" s="413"/>
    </row>
    <row r="4678" spans="23:23" ht="24" customHeight="1">
      <c r="W4678" s="413"/>
    </row>
    <row r="4679" spans="23:23" ht="24" customHeight="1">
      <c r="W4679" s="413"/>
    </row>
    <row r="4680" spans="23:23" ht="24" customHeight="1">
      <c r="W4680" s="413"/>
    </row>
    <row r="4681" spans="23:23" ht="24" customHeight="1">
      <c r="W4681" s="413"/>
    </row>
    <row r="4682" spans="23:23" ht="24" customHeight="1">
      <c r="W4682" s="413"/>
    </row>
    <row r="4683" spans="23:23" ht="24" customHeight="1">
      <c r="W4683" s="413"/>
    </row>
    <row r="4684" spans="23:23" ht="24" customHeight="1">
      <c r="W4684" s="413"/>
    </row>
    <row r="4685" spans="23:23" ht="24" customHeight="1">
      <c r="W4685" s="413"/>
    </row>
    <row r="4686" spans="23:23" ht="24" customHeight="1">
      <c r="W4686" s="413"/>
    </row>
    <row r="4687" spans="23:23" ht="24" customHeight="1">
      <c r="W4687" s="413"/>
    </row>
    <row r="4688" spans="23:23" ht="24" customHeight="1">
      <c r="W4688" s="413"/>
    </row>
    <row r="4689" spans="23:23" ht="24" customHeight="1">
      <c r="W4689" s="413"/>
    </row>
    <row r="4690" spans="23:23" ht="24" customHeight="1">
      <c r="W4690" s="413"/>
    </row>
    <row r="4691" spans="23:23" ht="24" customHeight="1">
      <c r="W4691" s="413"/>
    </row>
    <row r="4692" spans="23:23" ht="24" customHeight="1">
      <c r="W4692" s="413"/>
    </row>
    <row r="4693" spans="23:23" ht="24" customHeight="1">
      <c r="W4693" s="413"/>
    </row>
    <row r="4694" spans="23:23" ht="24" customHeight="1">
      <c r="W4694" s="413"/>
    </row>
    <row r="4695" spans="23:23" ht="24" customHeight="1">
      <c r="W4695" s="413"/>
    </row>
    <row r="4696" spans="23:23" ht="24" customHeight="1">
      <c r="W4696" s="413"/>
    </row>
    <row r="4697" spans="23:23" ht="24" customHeight="1">
      <c r="W4697" s="413"/>
    </row>
    <row r="4698" spans="23:23" ht="24" customHeight="1">
      <c r="W4698" s="413"/>
    </row>
    <row r="4699" spans="23:23" ht="24" customHeight="1">
      <c r="W4699" s="413"/>
    </row>
    <row r="4700" spans="23:23" ht="24" customHeight="1">
      <c r="W4700" s="413"/>
    </row>
    <row r="4701" spans="23:23" ht="24" customHeight="1">
      <c r="W4701" s="413"/>
    </row>
    <row r="4702" spans="23:23" ht="24" customHeight="1">
      <c r="W4702" s="413"/>
    </row>
    <row r="4703" spans="23:23" ht="24" customHeight="1">
      <c r="W4703" s="413"/>
    </row>
    <row r="4704" spans="23:23" ht="24" customHeight="1">
      <c r="W4704" s="413"/>
    </row>
    <row r="4705" spans="23:23" ht="24" customHeight="1">
      <c r="W4705" s="413"/>
    </row>
    <row r="4706" spans="23:23" ht="24" customHeight="1">
      <c r="W4706" s="413"/>
    </row>
    <row r="4707" spans="23:23" ht="24" customHeight="1">
      <c r="W4707" s="413"/>
    </row>
    <row r="4708" spans="23:23" ht="24" customHeight="1">
      <c r="W4708" s="413"/>
    </row>
    <row r="4709" spans="23:23" ht="24" customHeight="1">
      <c r="W4709" s="413"/>
    </row>
    <row r="4710" spans="23:23" ht="24" customHeight="1">
      <c r="W4710" s="413"/>
    </row>
    <row r="4711" spans="23:23" ht="24" customHeight="1">
      <c r="W4711" s="413"/>
    </row>
    <row r="4712" spans="23:23" ht="24" customHeight="1">
      <c r="W4712" s="413"/>
    </row>
    <row r="4713" spans="23:23" ht="24" customHeight="1">
      <c r="W4713" s="413"/>
    </row>
    <row r="4714" spans="23:23" ht="24" customHeight="1">
      <c r="W4714" s="413"/>
    </row>
    <row r="4715" spans="23:23" ht="24" customHeight="1">
      <c r="W4715" s="413"/>
    </row>
    <row r="4716" spans="23:23" ht="24" customHeight="1">
      <c r="W4716" s="413"/>
    </row>
    <row r="4717" spans="23:23" ht="24" customHeight="1">
      <c r="W4717" s="413"/>
    </row>
    <row r="4718" spans="23:23" ht="24" customHeight="1">
      <c r="W4718" s="413"/>
    </row>
    <row r="4719" spans="23:23" ht="24" customHeight="1">
      <c r="W4719" s="413"/>
    </row>
    <row r="4720" spans="23:23" ht="24" customHeight="1">
      <c r="W4720" s="413"/>
    </row>
    <row r="4721" spans="23:23" ht="24" customHeight="1">
      <c r="W4721" s="413"/>
    </row>
    <row r="4722" spans="23:23" ht="24" customHeight="1">
      <c r="W4722" s="413"/>
    </row>
    <row r="4723" spans="23:23" ht="24" customHeight="1">
      <c r="W4723" s="413"/>
    </row>
    <row r="4724" spans="23:23" ht="24" customHeight="1">
      <c r="W4724" s="413"/>
    </row>
    <row r="4725" spans="23:23" ht="24" customHeight="1">
      <c r="W4725" s="413"/>
    </row>
    <row r="4726" spans="23:23" ht="24" customHeight="1">
      <c r="W4726" s="413"/>
    </row>
    <row r="4727" spans="23:23" ht="24" customHeight="1">
      <c r="W4727" s="413"/>
    </row>
    <row r="4728" spans="23:23" ht="24" customHeight="1">
      <c r="W4728" s="413"/>
    </row>
    <row r="4729" spans="23:23" ht="24" customHeight="1">
      <c r="W4729" s="413"/>
    </row>
    <row r="4730" spans="23:23" ht="24" customHeight="1">
      <c r="W4730" s="413"/>
    </row>
    <row r="4731" spans="23:23" ht="24" customHeight="1">
      <c r="W4731" s="413"/>
    </row>
    <row r="4732" spans="23:23" ht="24" customHeight="1">
      <c r="W4732" s="413"/>
    </row>
    <row r="4733" spans="23:23" ht="24" customHeight="1">
      <c r="W4733" s="413"/>
    </row>
    <row r="4734" spans="23:23" ht="24" customHeight="1">
      <c r="W4734" s="413"/>
    </row>
    <row r="4735" spans="23:23" ht="24" customHeight="1">
      <c r="W4735" s="413"/>
    </row>
    <row r="4736" spans="23:23" ht="24" customHeight="1">
      <c r="W4736" s="413"/>
    </row>
    <row r="4737" spans="23:23" ht="24" customHeight="1">
      <c r="W4737" s="413"/>
    </row>
    <row r="4738" spans="23:23" ht="24" customHeight="1">
      <c r="W4738" s="413"/>
    </row>
    <row r="4739" spans="23:23" ht="24" customHeight="1">
      <c r="W4739" s="413"/>
    </row>
    <row r="4740" spans="23:23" ht="24" customHeight="1">
      <c r="W4740" s="413"/>
    </row>
    <row r="4741" spans="23:23" ht="24" customHeight="1">
      <c r="W4741" s="413"/>
    </row>
    <row r="4742" spans="23:23" ht="24" customHeight="1">
      <c r="W4742" s="413"/>
    </row>
    <row r="4743" spans="23:23" ht="24" customHeight="1">
      <c r="W4743" s="413"/>
    </row>
    <row r="4744" spans="23:23" ht="24" customHeight="1">
      <c r="W4744" s="413"/>
    </row>
    <row r="4745" spans="23:23" ht="24" customHeight="1">
      <c r="W4745" s="413"/>
    </row>
    <row r="4746" spans="23:23" ht="24" customHeight="1">
      <c r="W4746" s="413"/>
    </row>
    <row r="4747" spans="23:23" ht="24" customHeight="1">
      <c r="W4747" s="413"/>
    </row>
    <row r="4748" spans="23:23" ht="24" customHeight="1">
      <c r="W4748" s="413"/>
    </row>
    <row r="4749" spans="23:23" ht="24" customHeight="1">
      <c r="W4749" s="413"/>
    </row>
    <row r="4750" spans="23:23" ht="24" customHeight="1">
      <c r="W4750" s="413"/>
    </row>
    <row r="4751" spans="23:23" ht="24" customHeight="1">
      <c r="W4751" s="413"/>
    </row>
    <row r="4752" spans="23:23" ht="24" customHeight="1">
      <c r="W4752" s="413"/>
    </row>
    <row r="4753" spans="23:23" ht="24" customHeight="1">
      <c r="W4753" s="413"/>
    </row>
    <row r="4754" spans="23:23" ht="24" customHeight="1">
      <c r="W4754" s="413"/>
    </row>
    <row r="4755" spans="23:23" ht="24" customHeight="1">
      <c r="W4755" s="413"/>
    </row>
    <row r="4756" spans="23:23" ht="24" customHeight="1">
      <c r="W4756" s="413"/>
    </row>
    <row r="4757" spans="23:23" ht="24" customHeight="1">
      <c r="W4757" s="413"/>
    </row>
    <row r="4758" spans="23:23" ht="24" customHeight="1">
      <c r="W4758" s="413"/>
    </row>
    <row r="4759" spans="23:23" ht="24" customHeight="1">
      <c r="W4759" s="413"/>
    </row>
    <row r="4760" spans="23:23" ht="24" customHeight="1">
      <c r="W4760" s="413"/>
    </row>
    <row r="4761" spans="23:23" ht="24" customHeight="1">
      <c r="W4761" s="413"/>
    </row>
    <row r="4762" spans="23:23" ht="24" customHeight="1">
      <c r="W4762" s="413"/>
    </row>
    <row r="4763" spans="23:23" ht="24" customHeight="1">
      <c r="W4763" s="413"/>
    </row>
    <row r="4764" spans="23:23" ht="24" customHeight="1">
      <c r="W4764" s="413"/>
    </row>
    <row r="4765" spans="23:23" ht="24" customHeight="1">
      <c r="W4765" s="413"/>
    </row>
    <row r="4766" spans="23:23" ht="24" customHeight="1">
      <c r="W4766" s="413"/>
    </row>
    <row r="4767" spans="23:23" ht="24" customHeight="1">
      <c r="W4767" s="413"/>
    </row>
    <row r="4768" spans="23:23" ht="24" customHeight="1">
      <c r="W4768" s="413"/>
    </row>
    <row r="4769" spans="23:23" ht="24" customHeight="1">
      <c r="W4769" s="413"/>
    </row>
    <row r="4770" spans="23:23" ht="24" customHeight="1">
      <c r="W4770" s="413"/>
    </row>
    <row r="4771" spans="23:23" ht="24" customHeight="1">
      <c r="W4771" s="413"/>
    </row>
    <row r="4772" spans="23:23" ht="24" customHeight="1">
      <c r="W4772" s="413"/>
    </row>
    <row r="4773" spans="23:23" ht="24" customHeight="1">
      <c r="W4773" s="413"/>
    </row>
    <row r="4774" spans="23:23" ht="24" customHeight="1">
      <c r="W4774" s="413"/>
    </row>
    <row r="4775" spans="23:23" ht="24" customHeight="1">
      <c r="W4775" s="413"/>
    </row>
    <row r="4776" spans="23:23" ht="24" customHeight="1">
      <c r="W4776" s="413"/>
    </row>
    <row r="4777" spans="23:23" ht="24" customHeight="1">
      <c r="W4777" s="413"/>
    </row>
    <row r="4778" spans="23:23" ht="24" customHeight="1">
      <c r="W4778" s="413"/>
    </row>
    <row r="4779" spans="23:23" ht="24" customHeight="1">
      <c r="W4779" s="413"/>
    </row>
    <row r="4780" spans="23:23" ht="24" customHeight="1">
      <c r="W4780" s="413"/>
    </row>
    <row r="4781" spans="23:23" ht="24" customHeight="1">
      <c r="W4781" s="413"/>
    </row>
    <row r="4782" spans="23:23" ht="24" customHeight="1">
      <c r="W4782" s="413"/>
    </row>
    <row r="4783" spans="23:23" ht="24" customHeight="1">
      <c r="W4783" s="413"/>
    </row>
    <row r="4784" spans="23:23" ht="24" customHeight="1">
      <c r="W4784" s="413"/>
    </row>
    <row r="4785" spans="23:23" ht="24" customHeight="1">
      <c r="W4785" s="413"/>
    </row>
    <row r="4786" spans="23:23" ht="24" customHeight="1">
      <c r="W4786" s="413"/>
    </row>
    <row r="4787" spans="23:23" ht="24" customHeight="1">
      <c r="W4787" s="413"/>
    </row>
    <row r="4788" spans="23:23" ht="24" customHeight="1">
      <c r="W4788" s="413"/>
    </row>
    <row r="4789" spans="23:23" ht="24" customHeight="1">
      <c r="W4789" s="413"/>
    </row>
    <row r="4790" spans="23:23" ht="24" customHeight="1">
      <c r="W4790" s="413"/>
    </row>
    <row r="4791" spans="23:23" ht="24" customHeight="1">
      <c r="W4791" s="413"/>
    </row>
    <row r="4792" spans="23:23" ht="24" customHeight="1">
      <c r="W4792" s="413"/>
    </row>
    <row r="4793" spans="23:23" ht="24" customHeight="1">
      <c r="W4793" s="413"/>
    </row>
    <row r="4794" spans="23:23" ht="24" customHeight="1">
      <c r="W4794" s="413"/>
    </row>
    <row r="4795" spans="23:23" ht="24" customHeight="1">
      <c r="W4795" s="413"/>
    </row>
    <row r="4796" spans="23:23" ht="24" customHeight="1">
      <c r="W4796" s="413"/>
    </row>
    <row r="4797" spans="23:23" ht="24" customHeight="1">
      <c r="W4797" s="413"/>
    </row>
    <row r="4798" spans="23:23" ht="24" customHeight="1">
      <c r="W4798" s="413"/>
    </row>
    <row r="4799" spans="23:23" ht="24" customHeight="1">
      <c r="W4799" s="413"/>
    </row>
    <row r="4800" spans="23:23" ht="24" customHeight="1">
      <c r="W4800" s="413"/>
    </row>
    <row r="4801" spans="23:23" ht="24" customHeight="1">
      <c r="W4801" s="413"/>
    </row>
    <row r="4802" spans="23:23" ht="24" customHeight="1">
      <c r="W4802" s="413"/>
    </row>
    <row r="4803" spans="23:23" ht="24" customHeight="1">
      <c r="W4803" s="413"/>
    </row>
    <row r="4804" spans="23:23" ht="24" customHeight="1">
      <c r="W4804" s="413"/>
    </row>
    <row r="4805" spans="23:23" ht="24" customHeight="1">
      <c r="W4805" s="413"/>
    </row>
    <row r="4806" spans="23:23" ht="24" customHeight="1">
      <c r="W4806" s="413"/>
    </row>
    <row r="4807" spans="23:23" ht="24" customHeight="1">
      <c r="W4807" s="413"/>
    </row>
    <row r="4808" spans="23:23" ht="24" customHeight="1">
      <c r="W4808" s="413"/>
    </row>
    <row r="4809" spans="23:23" ht="24" customHeight="1">
      <c r="W4809" s="413"/>
    </row>
    <row r="4810" spans="23:23" ht="24" customHeight="1">
      <c r="W4810" s="413"/>
    </row>
    <row r="4811" spans="23:23" ht="24" customHeight="1">
      <c r="W4811" s="413"/>
    </row>
    <row r="4812" spans="23:23" ht="24" customHeight="1">
      <c r="W4812" s="413"/>
    </row>
    <row r="4813" spans="23:23" ht="24" customHeight="1">
      <c r="W4813" s="413"/>
    </row>
    <row r="4814" spans="23:23" ht="24" customHeight="1">
      <c r="W4814" s="413"/>
    </row>
    <row r="4815" spans="23:23" ht="24" customHeight="1">
      <c r="W4815" s="413"/>
    </row>
    <row r="4816" spans="23:23" ht="24" customHeight="1">
      <c r="W4816" s="413"/>
    </row>
    <row r="4817" spans="23:23" ht="24" customHeight="1">
      <c r="W4817" s="413"/>
    </row>
    <row r="4818" spans="23:23" ht="24" customHeight="1">
      <c r="W4818" s="413"/>
    </row>
    <row r="4819" spans="23:23" ht="24" customHeight="1">
      <c r="W4819" s="413"/>
    </row>
    <row r="4820" spans="23:23" ht="24" customHeight="1">
      <c r="W4820" s="413"/>
    </row>
    <row r="4821" spans="23:23" ht="24" customHeight="1">
      <c r="W4821" s="413"/>
    </row>
    <row r="4822" spans="23:23" ht="24" customHeight="1">
      <c r="W4822" s="413"/>
    </row>
    <row r="4823" spans="23:23" ht="24" customHeight="1">
      <c r="W4823" s="413"/>
    </row>
    <row r="4824" spans="23:23" ht="24" customHeight="1">
      <c r="W4824" s="413"/>
    </row>
    <row r="4825" spans="23:23" ht="24" customHeight="1">
      <c r="W4825" s="413"/>
    </row>
    <row r="4826" spans="23:23" ht="24" customHeight="1">
      <c r="W4826" s="413"/>
    </row>
    <row r="4827" spans="23:23" ht="24" customHeight="1">
      <c r="W4827" s="413"/>
    </row>
    <row r="4828" spans="23:23" ht="24" customHeight="1">
      <c r="W4828" s="413"/>
    </row>
    <row r="4829" spans="23:23" ht="24" customHeight="1">
      <c r="W4829" s="413"/>
    </row>
    <row r="4830" spans="23:23" ht="24" customHeight="1">
      <c r="W4830" s="413"/>
    </row>
    <row r="4831" spans="23:23" ht="24" customHeight="1">
      <c r="W4831" s="413"/>
    </row>
    <row r="4832" spans="23:23" ht="24" customHeight="1">
      <c r="W4832" s="413"/>
    </row>
    <row r="4833" spans="23:23" ht="24" customHeight="1">
      <c r="W4833" s="413"/>
    </row>
    <row r="4834" spans="23:23" ht="24" customHeight="1">
      <c r="W4834" s="413"/>
    </row>
    <row r="4835" spans="23:23" ht="24" customHeight="1">
      <c r="W4835" s="413"/>
    </row>
    <row r="4836" spans="23:23" ht="24" customHeight="1">
      <c r="W4836" s="413"/>
    </row>
    <row r="4837" spans="23:23" ht="24" customHeight="1">
      <c r="W4837" s="413"/>
    </row>
    <row r="4838" spans="23:23" ht="24" customHeight="1">
      <c r="W4838" s="413"/>
    </row>
    <row r="4839" spans="23:23" ht="24" customHeight="1">
      <c r="W4839" s="413"/>
    </row>
    <row r="4840" spans="23:23" ht="24" customHeight="1">
      <c r="W4840" s="413"/>
    </row>
    <row r="4841" spans="23:23" ht="24" customHeight="1">
      <c r="W4841" s="413"/>
    </row>
    <row r="4842" spans="23:23" ht="24" customHeight="1">
      <c r="W4842" s="413"/>
    </row>
    <row r="4843" spans="23:23" ht="24" customHeight="1">
      <c r="W4843" s="413"/>
    </row>
    <row r="4844" spans="23:23" ht="24" customHeight="1">
      <c r="W4844" s="413"/>
    </row>
    <row r="4845" spans="23:23" ht="24" customHeight="1">
      <c r="W4845" s="413"/>
    </row>
    <row r="4846" spans="23:23" ht="24" customHeight="1">
      <c r="W4846" s="413"/>
    </row>
    <row r="4847" spans="23:23" ht="24" customHeight="1">
      <c r="W4847" s="413"/>
    </row>
    <row r="4848" spans="23:23" ht="24" customHeight="1">
      <c r="W4848" s="413"/>
    </row>
    <row r="4849" spans="23:23" ht="24" customHeight="1">
      <c r="W4849" s="413"/>
    </row>
    <row r="4850" spans="23:23" ht="24" customHeight="1">
      <c r="W4850" s="413"/>
    </row>
    <row r="4851" spans="23:23" ht="24" customHeight="1">
      <c r="W4851" s="413"/>
    </row>
    <row r="4852" spans="23:23" ht="24" customHeight="1">
      <c r="W4852" s="413"/>
    </row>
    <row r="4853" spans="23:23" ht="24" customHeight="1">
      <c r="W4853" s="413"/>
    </row>
    <row r="4854" spans="23:23" ht="24" customHeight="1">
      <c r="W4854" s="413"/>
    </row>
    <row r="4855" spans="23:23" ht="24" customHeight="1">
      <c r="W4855" s="413"/>
    </row>
    <row r="4856" spans="23:23" ht="24" customHeight="1">
      <c r="W4856" s="413"/>
    </row>
    <row r="4857" spans="23:23" ht="24" customHeight="1">
      <c r="W4857" s="413"/>
    </row>
    <row r="4858" spans="23:23" ht="24" customHeight="1">
      <c r="W4858" s="413"/>
    </row>
    <row r="4859" spans="23:23" ht="24" customHeight="1">
      <c r="W4859" s="413"/>
    </row>
    <row r="4860" spans="23:23" ht="24" customHeight="1">
      <c r="W4860" s="413"/>
    </row>
    <row r="4861" spans="23:23" ht="24" customHeight="1">
      <c r="W4861" s="413"/>
    </row>
    <row r="4862" spans="23:23" ht="24" customHeight="1">
      <c r="W4862" s="413"/>
    </row>
    <row r="4863" spans="23:23" ht="24" customHeight="1">
      <c r="W4863" s="413"/>
    </row>
    <row r="4864" spans="23:23" ht="24" customHeight="1">
      <c r="W4864" s="413"/>
    </row>
    <row r="4865" spans="23:23" ht="24" customHeight="1">
      <c r="W4865" s="413"/>
    </row>
    <row r="4866" spans="23:23" ht="24" customHeight="1">
      <c r="W4866" s="413"/>
    </row>
    <row r="4867" spans="23:23" ht="24" customHeight="1">
      <c r="W4867" s="413"/>
    </row>
    <row r="4868" spans="23:23" ht="24" customHeight="1">
      <c r="W4868" s="413"/>
    </row>
    <row r="4869" spans="23:23" ht="24" customHeight="1">
      <c r="W4869" s="413"/>
    </row>
    <row r="4870" spans="23:23" ht="24" customHeight="1">
      <c r="W4870" s="413"/>
    </row>
    <row r="4871" spans="23:23" ht="24" customHeight="1">
      <c r="W4871" s="413"/>
    </row>
    <row r="4872" spans="23:23" ht="24" customHeight="1">
      <c r="W4872" s="413"/>
    </row>
    <row r="4873" spans="23:23" ht="24" customHeight="1">
      <c r="W4873" s="413"/>
    </row>
    <row r="4874" spans="23:23" ht="24" customHeight="1">
      <c r="W4874" s="413"/>
    </row>
    <row r="4875" spans="23:23" ht="24" customHeight="1">
      <c r="W4875" s="413"/>
    </row>
    <row r="4876" spans="23:23" ht="24" customHeight="1">
      <c r="W4876" s="413"/>
    </row>
    <row r="4877" spans="23:23" ht="24" customHeight="1">
      <c r="W4877" s="413"/>
    </row>
    <row r="4878" spans="23:23" ht="24" customHeight="1">
      <c r="W4878" s="413"/>
    </row>
    <row r="4879" spans="23:23" ht="24" customHeight="1">
      <c r="W4879" s="413"/>
    </row>
    <row r="4880" spans="23:23" ht="24" customHeight="1">
      <c r="W4880" s="413"/>
    </row>
    <row r="4881" spans="23:23" ht="24" customHeight="1">
      <c r="W4881" s="413"/>
    </row>
    <row r="4882" spans="23:23" ht="24" customHeight="1">
      <c r="W4882" s="413"/>
    </row>
    <row r="4883" spans="23:23" ht="24" customHeight="1">
      <c r="W4883" s="413"/>
    </row>
    <row r="4884" spans="23:23" ht="24" customHeight="1">
      <c r="W4884" s="413"/>
    </row>
    <row r="4885" spans="23:23" ht="24" customHeight="1">
      <c r="W4885" s="413"/>
    </row>
    <row r="4886" spans="23:23" ht="24" customHeight="1">
      <c r="W4886" s="413"/>
    </row>
    <row r="4887" spans="23:23" ht="24" customHeight="1">
      <c r="W4887" s="413"/>
    </row>
    <row r="4888" spans="23:23" ht="24" customHeight="1">
      <c r="W4888" s="413"/>
    </row>
    <row r="4889" spans="23:23" ht="24" customHeight="1">
      <c r="W4889" s="413"/>
    </row>
    <row r="4890" spans="23:23" ht="24" customHeight="1">
      <c r="W4890" s="413"/>
    </row>
    <row r="4891" spans="23:23" ht="24" customHeight="1">
      <c r="W4891" s="413"/>
    </row>
    <row r="4892" spans="23:23" ht="24" customHeight="1">
      <c r="W4892" s="413"/>
    </row>
    <row r="4893" spans="23:23" ht="24" customHeight="1">
      <c r="W4893" s="413"/>
    </row>
    <row r="4894" spans="23:23" ht="24" customHeight="1">
      <c r="W4894" s="413"/>
    </row>
    <row r="4895" spans="23:23" ht="24" customHeight="1">
      <c r="W4895" s="413"/>
    </row>
    <row r="4896" spans="23:23" ht="24" customHeight="1">
      <c r="W4896" s="413"/>
    </row>
    <row r="4897" spans="23:23" ht="24" customHeight="1">
      <c r="W4897" s="413"/>
    </row>
    <row r="4898" spans="23:23" ht="24" customHeight="1">
      <c r="W4898" s="413"/>
    </row>
    <row r="4899" spans="23:23" ht="24" customHeight="1">
      <c r="W4899" s="413"/>
    </row>
    <row r="4900" spans="23:23" ht="24" customHeight="1">
      <c r="W4900" s="413"/>
    </row>
    <row r="4901" spans="23:23" ht="24" customHeight="1">
      <c r="W4901" s="413"/>
    </row>
    <row r="4902" spans="23:23" ht="24" customHeight="1">
      <c r="W4902" s="413"/>
    </row>
    <row r="4903" spans="23:23" ht="24" customHeight="1">
      <c r="W4903" s="413"/>
    </row>
    <row r="4904" spans="23:23" ht="24" customHeight="1">
      <c r="W4904" s="413"/>
    </row>
    <row r="4905" spans="23:23" ht="24" customHeight="1">
      <c r="W4905" s="413"/>
    </row>
    <row r="4906" spans="23:23" ht="24" customHeight="1">
      <c r="W4906" s="413"/>
    </row>
    <row r="4907" spans="23:23" ht="24" customHeight="1">
      <c r="W4907" s="413"/>
    </row>
    <row r="4908" spans="23:23" ht="24" customHeight="1">
      <c r="W4908" s="413"/>
    </row>
    <row r="4909" spans="23:23" ht="24" customHeight="1">
      <c r="W4909" s="413"/>
    </row>
    <row r="4910" spans="23:23" ht="24" customHeight="1">
      <c r="W4910" s="413"/>
    </row>
    <row r="4911" spans="23:23" ht="24" customHeight="1">
      <c r="W4911" s="413"/>
    </row>
    <row r="4912" spans="23:23" ht="24" customHeight="1">
      <c r="W4912" s="413"/>
    </row>
    <row r="4913" spans="23:23" ht="24" customHeight="1">
      <c r="W4913" s="413"/>
    </row>
    <row r="4914" spans="23:23" ht="24" customHeight="1">
      <c r="W4914" s="413"/>
    </row>
    <row r="4915" spans="23:23" ht="24" customHeight="1">
      <c r="W4915" s="413"/>
    </row>
    <row r="4916" spans="23:23" ht="24" customHeight="1">
      <c r="W4916" s="413"/>
    </row>
    <row r="4917" spans="23:23" ht="24" customHeight="1">
      <c r="W4917" s="413"/>
    </row>
    <row r="4918" spans="23:23" ht="24" customHeight="1">
      <c r="W4918" s="413"/>
    </row>
    <row r="4919" spans="23:23" ht="24" customHeight="1">
      <c r="W4919" s="413"/>
    </row>
    <row r="4920" spans="23:23" ht="24" customHeight="1">
      <c r="W4920" s="413"/>
    </row>
    <row r="4921" spans="23:23" ht="24" customHeight="1">
      <c r="W4921" s="413"/>
    </row>
    <row r="4922" spans="23:23" ht="24" customHeight="1">
      <c r="W4922" s="413"/>
    </row>
    <row r="4923" spans="23:23" ht="24" customHeight="1">
      <c r="W4923" s="413"/>
    </row>
    <row r="4924" spans="23:23" ht="24" customHeight="1">
      <c r="W4924" s="413"/>
    </row>
    <row r="4925" spans="23:23" ht="24" customHeight="1">
      <c r="W4925" s="413"/>
    </row>
    <row r="4926" spans="23:23" ht="24" customHeight="1">
      <c r="W4926" s="413"/>
    </row>
    <row r="4927" spans="23:23" ht="24" customHeight="1">
      <c r="W4927" s="413"/>
    </row>
    <row r="4928" spans="23:23" ht="24" customHeight="1">
      <c r="W4928" s="413"/>
    </row>
    <row r="4929" spans="23:23" ht="24" customHeight="1">
      <c r="W4929" s="413"/>
    </row>
    <row r="4930" spans="23:23" ht="24" customHeight="1">
      <c r="W4930" s="413"/>
    </row>
    <row r="4931" spans="23:23" ht="24" customHeight="1">
      <c r="W4931" s="413"/>
    </row>
    <row r="4932" spans="23:23" ht="24" customHeight="1">
      <c r="W4932" s="413"/>
    </row>
    <row r="4933" spans="23:23" ht="24" customHeight="1">
      <c r="W4933" s="413"/>
    </row>
    <row r="4934" spans="23:23" ht="24" customHeight="1">
      <c r="W4934" s="413"/>
    </row>
    <row r="4935" spans="23:23" ht="24" customHeight="1">
      <c r="W4935" s="413"/>
    </row>
    <row r="4936" spans="23:23" ht="24" customHeight="1">
      <c r="W4936" s="413"/>
    </row>
    <row r="4937" spans="23:23" ht="24" customHeight="1">
      <c r="W4937" s="413"/>
    </row>
    <row r="4938" spans="23:23" ht="24" customHeight="1">
      <c r="W4938" s="413"/>
    </row>
    <row r="4939" spans="23:23" ht="24" customHeight="1">
      <c r="W4939" s="413"/>
    </row>
    <row r="4940" spans="23:23" ht="24" customHeight="1">
      <c r="W4940" s="413"/>
    </row>
    <row r="4941" spans="23:23" ht="24" customHeight="1">
      <c r="W4941" s="413"/>
    </row>
    <row r="4942" spans="23:23" ht="24" customHeight="1">
      <c r="W4942" s="413"/>
    </row>
    <row r="4943" spans="23:23" ht="24" customHeight="1">
      <c r="W4943" s="413"/>
    </row>
    <row r="4944" spans="23:23" ht="24" customHeight="1">
      <c r="W4944" s="413"/>
    </row>
    <row r="4945" spans="23:23" ht="24" customHeight="1">
      <c r="W4945" s="413"/>
    </row>
    <row r="4946" spans="23:23" ht="24" customHeight="1">
      <c r="W4946" s="413"/>
    </row>
    <row r="4947" spans="23:23" ht="24" customHeight="1">
      <c r="W4947" s="413"/>
    </row>
    <row r="4948" spans="23:23" ht="24" customHeight="1">
      <c r="W4948" s="413"/>
    </row>
    <row r="4949" spans="23:23" ht="24" customHeight="1">
      <c r="W4949" s="413"/>
    </row>
    <row r="4950" spans="23:23" ht="24" customHeight="1">
      <c r="W4950" s="413"/>
    </row>
    <row r="4951" spans="23:23" ht="24" customHeight="1">
      <c r="W4951" s="413"/>
    </row>
    <row r="4952" spans="23:23" ht="24" customHeight="1">
      <c r="W4952" s="413"/>
    </row>
    <row r="4953" spans="23:23" ht="24" customHeight="1">
      <c r="W4953" s="413"/>
    </row>
    <row r="4954" spans="23:23" ht="24" customHeight="1">
      <c r="W4954" s="413"/>
    </row>
    <row r="4955" spans="23:23" ht="24" customHeight="1">
      <c r="W4955" s="413"/>
    </row>
    <row r="4956" spans="23:23" ht="24" customHeight="1">
      <c r="W4956" s="413"/>
    </row>
    <row r="4957" spans="23:23" ht="24" customHeight="1">
      <c r="W4957" s="413"/>
    </row>
    <row r="4958" spans="23:23" ht="24" customHeight="1">
      <c r="W4958" s="413"/>
    </row>
    <row r="4959" spans="23:23" ht="24" customHeight="1">
      <c r="W4959" s="413"/>
    </row>
    <row r="4960" spans="23:23" ht="24" customHeight="1">
      <c r="W4960" s="413"/>
    </row>
    <row r="4961" spans="23:23" ht="24" customHeight="1">
      <c r="W4961" s="413"/>
    </row>
    <row r="4962" spans="23:23" ht="24" customHeight="1">
      <c r="W4962" s="413"/>
    </row>
    <row r="4963" spans="23:23" ht="24" customHeight="1">
      <c r="W4963" s="413"/>
    </row>
    <row r="4964" spans="23:23" ht="24" customHeight="1">
      <c r="W4964" s="413"/>
    </row>
    <row r="4965" spans="23:23" ht="24" customHeight="1">
      <c r="W4965" s="413"/>
    </row>
    <row r="4966" spans="23:23" ht="24" customHeight="1">
      <c r="W4966" s="413"/>
    </row>
    <row r="4967" spans="23:23" ht="24" customHeight="1">
      <c r="W4967" s="413"/>
    </row>
    <row r="4968" spans="23:23" ht="24" customHeight="1">
      <c r="W4968" s="413"/>
    </row>
    <row r="4969" spans="23:23" ht="24" customHeight="1">
      <c r="W4969" s="413"/>
    </row>
    <row r="4970" spans="23:23" ht="24" customHeight="1">
      <c r="W4970" s="413"/>
    </row>
    <row r="4971" spans="23:23" ht="24" customHeight="1">
      <c r="W4971" s="413"/>
    </row>
    <row r="4972" spans="23:23" ht="24" customHeight="1">
      <c r="W4972" s="413"/>
    </row>
    <row r="4973" spans="23:23" ht="24" customHeight="1">
      <c r="W4973" s="413"/>
    </row>
    <row r="4974" spans="23:23" ht="24" customHeight="1">
      <c r="W4974" s="413"/>
    </row>
    <row r="4975" spans="23:23" ht="24" customHeight="1">
      <c r="W4975" s="413"/>
    </row>
    <row r="4976" spans="23:23" ht="24" customHeight="1">
      <c r="W4976" s="413"/>
    </row>
    <row r="4977" spans="23:23" ht="24" customHeight="1">
      <c r="W4977" s="413"/>
    </row>
    <row r="4978" spans="23:23" ht="24" customHeight="1">
      <c r="W4978" s="413"/>
    </row>
    <row r="4979" spans="23:23" ht="24" customHeight="1">
      <c r="W4979" s="413"/>
    </row>
    <row r="4980" spans="23:23" ht="24" customHeight="1">
      <c r="W4980" s="413"/>
    </row>
    <row r="4981" spans="23:23" ht="24" customHeight="1">
      <c r="W4981" s="413"/>
    </row>
    <row r="4982" spans="23:23" ht="24" customHeight="1">
      <c r="W4982" s="413"/>
    </row>
    <row r="4983" spans="23:23" ht="24" customHeight="1">
      <c r="W4983" s="413"/>
    </row>
    <row r="4984" spans="23:23" ht="24" customHeight="1">
      <c r="W4984" s="413"/>
    </row>
    <row r="4985" spans="23:23" ht="24" customHeight="1">
      <c r="W4985" s="413"/>
    </row>
    <row r="4986" spans="23:23" ht="24" customHeight="1">
      <c r="W4986" s="413"/>
    </row>
    <row r="4987" spans="23:23" ht="24" customHeight="1">
      <c r="W4987" s="413"/>
    </row>
    <row r="4988" spans="23:23" ht="24" customHeight="1">
      <c r="W4988" s="413"/>
    </row>
    <row r="4989" spans="23:23" ht="24" customHeight="1">
      <c r="W4989" s="413"/>
    </row>
    <row r="4990" spans="23:23" ht="24" customHeight="1">
      <c r="W4990" s="413"/>
    </row>
    <row r="4991" spans="23:23" ht="24" customHeight="1">
      <c r="W4991" s="413"/>
    </row>
    <row r="4992" spans="23:23" ht="24" customHeight="1">
      <c r="W4992" s="413"/>
    </row>
    <row r="4993" spans="23:23" ht="24" customHeight="1">
      <c r="W4993" s="413"/>
    </row>
    <row r="4994" spans="23:23" ht="24" customHeight="1">
      <c r="W4994" s="413"/>
    </row>
    <row r="4995" spans="23:23" ht="24" customHeight="1">
      <c r="W4995" s="413"/>
    </row>
    <row r="4996" spans="23:23" ht="24" customHeight="1">
      <c r="W4996" s="413"/>
    </row>
    <row r="4997" spans="23:23" ht="24" customHeight="1">
      <c r="W4997" s="413"/>
    </row>
    <row r="4998" spans="23:23" ht="24" customHeight="1">
      <c r="W4998" s="413"/>
    </row>
    <row r="4999" spans="23:23" ht="24" customHeight="1">
      <c r="W4999" s="413"/>
    </row>
    <row r="5000" spans="23:23" ht="24" customHeight="1">
      <c r="W5000" s="413"/>
    </row>
    <row r="5001" spans="23:23" ht="24" customHeight="1">
      <c r="W5001" s="413"/>
    </row>
    <row r="5002" spans="23:23" ht="24" customHeight="1">
      <c r="W5002" s="413"/>
    </row>
    <row r="5003" spans="23:23" ht="24" customHeight="1">
      <c r="W5003" s="413"/>
    </row>
    <row r="5004" spans="23:23" ht="24" customHeight="1">
      <c r="W5004" s="413"/>
    </row>
    <row r="5005" spans="23:23" ht="24" customHeight="1">
      <c r="W5005" s="413"/>
    </row>
    <row r="5006" spans="23:23" ht="24" customHeight="1">
      <c r="W5006" s="413"/>
    </row>
    <row r="5007" spans="23:23" ht="24" customHeight="1">
      <c r="W5007" s="413"/>
    </row>
    <row r="5008" spans="23:23" ht="24" customHeight="1">
      <c r="W5008" s="413"/>
    </row>
    <row r="5009" spans="23:23" ht="24" customHeight="1">
      <c r="W5009" s="413"/>
    </row>
    <row r="5010" spans="23:23" ht="24" customHeight="1">
      <c r="W5010" s="413"/>
    </row>
    <row r="5011" spans="23:23" ht="24" customHeight="1">
      <c r="W5011" s="413"/>
    </row>
    <row r="5012" spans="23:23" ht="24" customHeight="1">
      <c r="W5012" s="413"/>
    </row>
    <row r="5013" spans="23:23" ht="24" customHeight="1">
      <c r="W5013" s="413"/>
    </row>
    <row r="5014" spans="23:23" ht="24" customHeight="1">
      <c r="W5014" s="413"/>
    </row>
    <row r="5015" spans="23:23" ht="24" customHeight="1">
      <c r="W5015" s="413"/>
    </row>
    <row r="5016" spans="23:23" ht="24" customHeight="1">
      <c r="W5016" s="413"/>
    </row>
    <row r="5017" spans="23:23" ht="24" customHeight="1">
      <c r="W5017" s="413"/>
    </row>
    <row r="5018" spans="23:23" ht="24" customHeight="1">
      <c r="W5018" s="413"/>
    </row>
    <row r="5019" spans="23:23" ht="24" customHeight="1">
      <c r="W5019" s="413"/>
    </row>
    <row r="5020" spans="23:23" ht="24" customHeight="1">
      <c r="W5020" s="413"/>
    </row>
    <row r="5021" spans="23:23" ht="24" customHeight="1">
      <c r="W5021" s="413"/>
    </row>
    <row r="5022" spans="23:23" ht="24" customHeight="1">
      <c r="W5022" s="413"/>
    </row>
    <row r="5023" spans="23:23" ht="24" customHeight="1">
      <c r="W5023" s="413"/>
    </row>
    <row r="5024" spans="23:23" ht="24" customHeight="1">
      <c r="W5024" s="413"/>
    </row>
    <row r="5025" spans="23:23" ht="24" customHeight="1">
      <c r="W5025" s="413"/>
    </row>
    <row r="5026" spans="23:23" ht="24" customHeight="1">
      <c r="W5026" s="413"/>
    </row>
    <row r="5027" spans="23:23" ht="24" customHeight="1">
      <c r="W5027" s="413"/>
    </row>
    <row r="5028" spans="23:23" ht="24" customHeight="1">
      <c r="W5028" s="413"/>
    </row>
    <row r="5029" spans="23:23" ht="24" customHeight="1">
      <c r="W5029" s="413"/>
    </row>
    <row r="5030" spans="23:23" ht="24" customHeight="1">
      <c r="W5030" s="413"/>
    </row>
    <row r="5031" spans="23:23" ht="24" customHeight="1">
      <c r="W5031" s="413"/>
    </row>
    <row r="5032" spans="23:23" ht="24" customHeight="1">
      <c r="W5032" s="413"/>
    </row>
    <row r="5033" spans="23:23" ht="24" customHeight="1">
      <c r="W5033" s="413"/>
    </row>
    <row r="5034" spans="23:23" ht="24" customHeight="1">
      <c r="W5034" s="413"/>
    </row>
    <row r="5035" spans="23:23" ht="24" customHeight="1">
      <c r="W5035" s="413"/>
    </row>
    <row r="5036" spans="23:23" ht="24" customHeight="1">
      <c r="W5036" s="413"/>
    </row>
    <row r="5037" spans="23:23" ht="24" customHeight="1">
      <c r="W5037" s="413"/>
    </row>
    <row r="5038" spans="23:23" ht="24" customHeight="1">
      <c r="W5038" s="413"/>
    </row>
    <row r="5039" spans="23:23" ht="24" customHeight="1">
      <c r="W5039" s="413"/>
    </row>
    <row r="5040" spans="23:23" ht="24" customHeight="1">
      <c r="W5040" s="413"/>
    </row>
    <row r="5041" spans="23:23" ht="24" customHeight="1">
      <c r="W5041" s="413"/>
    </row>
    <row r="5042" spans="23:23" ht="24" customHeight="1">
      <c r="W5042" s="413"/>
    </row>
    <row r="5043" spans="23:23" ht="24" customHeight="1">
      <c r="W5043" s="413"/>
    </row>
    <row r="5044" spans="23:23" ht="24" customHeight="1">
      <c r="W5044" s="413"/>
    </row>
    <row r="5045" spans="23:23" ht="24" customHeight="1">
      <c r="W5045" s="413"/>
    </row>
    <row r="5046" spans="23:23" ht="24" customHeight="1">
      <c r="W5046" s="413"/>
    </row>
    <row r="5047" spans="23:23" ht="24" customHeight="1">
      <c r="W5047" s="413"/>
    </row>
    <row r="5048" spans="23:23" ht="24" customHeight="1">
      <c r="W5048" s="413"/>
    </row>
    <row r="5049" spans="23:23" ht="24" customHeight="1">
      <c r="W5049" s="413"/>
    </row>
    <row r="5050" spans="23:23" ht="24" customHeight="1">
      <c r="W5050" s="413"/>
    </row>
    <row r="5051" spans="23:23" ht="24" customHeight="1">
      <c r="W5051" s="413"/>
    </row>
    <row r="5052" spans="23:23" ht="24" customHeight="1">
      <c r="W5052" s="413"/>
    </row>
    <row r="5053" spans="23:23" ht="24" customHeight="1">
      <c r="W5053" s="413"/>
    </row>
    <row r="5054" spans="23:23" ht="24" customHeight="1">
      <c r="W5054" s="413"/>
    </row>
    <row r="5055" spans="23:23" ht="24" customHeight="1">
      <c r="W5055" s="413"/>
    </row>
    <row r="5056" spans="23:23" ht="24" customHeight="1">
      <c r="W5056" s="413"/>
    </row>
    <row r="5057" spans="23:23" ht="24" customHeight="1">
      <c r="W5057" s="413"/>
    </row>
    <row r="5058" spans="23:23" ht="24" customHeight="1">
      <c r="W5058" s="413"/>
    </row>
    <row r="5059" spans="23:23" ht="24" customHeight="1">
      <c r="W5059" s="413"/>
    </row>
    <row r="5060" spans="23:23" ht="24" customHeight="1">
      <c r="W5060" s="413"/>
    </row>
    <row r="5061" spans="23:23" ht="24" customHeight="1">
      <c r="W5061" s="413"/>
    </row>
    <row r="5062" spans="23:23" ht="24" customHeight="1">
      <c r="W5062" s="413"/>
    </row>
    <row r="5063" spans="23:23" ht="24" customHeight="1">
      <c r="W5063" s="413"/>
    </row>
    <row r="5064" spans="23:23" ht="24" customHeight="1">
      <c r="W5064" s="413"/>
    </row>
    <row r="5065" spans="23:23" ht="24" customHeight="1">
      <c r="W5065" s="413"/>
    </row>
    <row r="5066" spans="23:23" ht="24" customHeight="1">
      <c r="W5066" s="413"/>
    </row>
    <row r="5067" spans="23:23" ht="24" customHeight="1">
      <c r="W5067" s="413"/>
    </row>
    <row r="5068" spans="23:23" ht="24" customHeight="1">
      <c r="W5068" s="413"/>
    </row>
    <row r="5069" spans="23:23" ht="24" customHeight="1">
      <c r="W5069" s="413"/>
    </row>
    <row r="5070" spans="23:23" ht="24" customHeight="1">
      <c r="W5070" s="413"/>
    </row>
    <row r="5071" spans="23:23" ht="24" customHeight="1">
      <c r="W5071" s="413"/>
    </row>
    <row r="5072" spans="23:23" ht="24" customHeight="1">
      <c r="W5072" s="413"/>
    </row>
    <row r="5073" spans="23:23" ht="24" customHeight="1">
      <c r="W5073" s="413"/>
    </row>
    <row r="5074" spans="23:23" ht="24" customHeight="1">
      <c r="W5074" s="413"/>
    </row>
    <row r="5075" spans="23:23" ht="24" customHeight="1">
      <c r="W5075" s="413"/>
    </row>
    <row r="5076" spans="23:23" ht="24" customHeight="1">
      <c r="W5076" s="413"/>
    </row>
    <row r="5077" spans="23:23" ht="24" customHeight="1">
      <c r="W5077" s="413"/>
    </row>
    <row r="5078" spans="23:23" ht="24" customHeight="1">
      <c r="W5078" s="413"/>
    </row>
    <row r="5079" spans="23:23" ht="24" customHeight="1">
      <c r="W5079" s="413"/>
    </row>
    <row r="5080" spans="23:23" ht="24" customHeight="1">
      <c r="W5080" s="413"/>
    </row>
    <row r="5081" spans="23:23" ht="24" customHeight="1">
      <c r="W5081" s="413"/>
    </row>
    <row r="5082" spans="23:23" ht="24" customHeight="1">
      <c r="W5082" s="413"/>
    </row>
    <row r="5083" spans="23:23" ht="24" customHeight="1">
      <c r="W5083" s="413"/>
    </row>
    <row r="5084" spans="23:23" ht="24" customHeight="1">
      <c r="W5084" s="413"/>
    </row>
    <row r="5085" spans="23:23" ht="24" customHeight="1">
      <c r="W5085" s="413"/>
    </row>
    <row r="5086" spans="23:23" ht="24" customHeight="1">
      <c r="W5086" s="413"/>
    </row>
    <row r="5087" spans="23:23" ht="24" customHeight="1">
      <c r="W5087" s="413"/>
    </row>
    <row r="5088" spans="23:23" ht="24" customHeight="1">
      <c r="W5088" s="413"/>
    </row>
    <row r="5089" spans="23:23" ht="24" customHeight="1">
      <c r="W5089" s="413"/>
    </row>
    <row r="5090" spans="23:23" ht="24" customHeight="1">
      <c r="W5090" s="413"/>
    </row>
    <row r="5091" spans="23:23" ht="24" customHeight="1">
      <c r="W5091" s="413"/>
    </row>
    <row r="5092" spans="23:23" ht="24" customHeight="1">
      <c r="W5092" s="413"/>
    </row>
    <row r="5093" spans="23:23" ht="24" customHeight="1">
      <c r="W5093" s="413"/>
    </row>
    <row r="5094" spans="23:23" ht="24" customHeight="1">
      <c r="W5094" s="413"/>
    </row>
    <row r="5095" spans="23:23" ht="24" customHeight="1">
      <c r="W5095" s="413"/>
    </row>
    <row r="5096" spans="23:23" ht="24" customHeight="1">
      <c r="W5096" s="413"/>
    </row>
    <row r="5097" spans="23:23" ht="24" customHeight="1">
      <c r="W5097" s="413"/>
    </row>
    <row r="5098" spans="23:23" ht="24" customHeight="1">
      <c r="W5098" s="413"/>
    </row>
    <row r="5099" spans="23:23" ht="24" customHeight="1">
      <c r="W5099" s="413"/>
    </row>
    <row r="5100" spans="23:23" ht="24" customHeight="1">
      <c r="W5100" s="413"/>
    </row>
    <row r="5101" spans="23:23" ht="24" customHeight="1">
      <c r="W5101" s="413"/>
    </row>
    <row r="5102" spans="23:23" ht="24" customHeight="1">
      <c r="W5102" s="413"/>
    </row>
    <row r="5103" spans="23:23" ht="24" customHeight="1">
      <c r="W5103" s="413"/>
    </row>
    <row r="5104" spans="23:23" ht="24" customHeight="1">
      <c r="W5104" s="413"/>
    </row>
    <row r="5105" spans="23:23" ht="24" customHeight="1">
      <c r="W5105" s="413"/>
    </row>
    <row r="5106" spans="23:23" ht="24" customHeight="1">
      <c r="W5106" s="413"/>
    </row>
    <row r="5107" spans="23:23" ht="24" customHeight="1">
      <c r="W5107" s="413"/>
    </row>
    <row r="5108" spans="23:23" ht="24" customHeight="1">
      <c r="W5108" s="413"/>
    </row>
    <row r="5109" spans="23:23" ht="24" customHeight="1">
      <c r="W5109" s="413"/>
    </row>
    <row r="5110" spans="23:23" ht="24" customHeight="1">
      <c r="W5110" s="413"/>
    </row>
    <row r="5111" spans="23:23" ht="24" customHeight="1">
      <c r="W5111" s="413"/>
    </row>
    <row r="5112" spans="23:23" ht="24" customHeight="1">
      <c r="W5112" s="413"/>
    </row>
    <row r="5113" spans="23:23" ht="24" customHeight="1">
      <c r="W5113" s="413"/>
    </row>
    <row r="5114" spans="23:23" ht="24" customHeight="1">
      <c r="W5114" s="413"/>
    </row>
    <row r="5115" spans="23:23" ht="24" customHeight="1">
      <c r="W5115" s="413"/>
    </row>
    <row r="5116" spans="23:23" ht="24" customHeight="1">
      <c r="W5116" s="413"/>
    </row>
    <row r="5117" spans="23:23" ht="24" customHeight="1">
      <c r="W5117" s="413"/>
    </row>
    <row r="5118" spans="23:23" ht="24" customHeight="1">
      <c r="W5118" s="413"/>
    </row>
    <row r="5119" spans="23:23" ht="24" customHeight="1">
      <c r="W5119" s="413"/>
    </row>
    <row r="5120" spans="23:23" ht="24" customHeight="1">
      <c r="W5120" s="413"/>
    </row>
    <row r="5121" spans="23:23" ht="24" customHeight="1">
      <c r="W5121" s="413"/>
    </row>
    <row r="5122" spans="23:23" ht="24" customHeight="1">
      <c r="W5122" s="413"/>
    </row>
    <row r="5123" spans="23:23" ht="24" customHeight="1">
      <c r="W5123" s="413"/>
    </row>
    <row r="5124" spans="23:23" ht="24" customHeight="1">
      <c r="W5124" s="413"/>
    </row>
    <row r="5125" spans="23:23" ht="24" customHeight="1">
      <c r="W5125" s="413"/>
    </row>
    <row r="5126" spans="23:23" ht="24" customHeight="1">
      <c r="W5126" s="413"/>
    </row>
    <row r="5127" spans="23:23" ht="24" customHeight="1">
      <c r="W5127" s="413"/>
    </row>
    <row r="5128" spans="23:23" ht="24" customHeight="1">
      <c r="W5128" s="413"/>
    </row>
    <row r="5129" spans="23:23" ht="24" customHeight="1">
      <c r="W5129" s="413"/>
    </row>
    <row r="5130" spans="23:23" ht="24" customHeight="1">
      <c r="W5130" s="413"/>
    </row>
    <row r="5131" spans="23:23" ht="24" customHeight="1">
      <c r="W5131" s="413"/>
    </row>
    <row r="5132" spans="23:23" ht="24" customHeight="1">
      <c r="W5132" s="413"/>
    </row>
    <row r="5133" spans="23:23" ht="24" customHeight="1">
      <c r="W5133" s="413"/>
    </row>
    <row r="5134" spans="23:23" ht="24" customHeight="1">
      <c r="W5134" s="413"/>
    </row>
    <row r="5135" spans="23:23" ht="24" customHeight="1">
      <c r="W5135" s="413"/>
    </row>
    <row r="5136" spans="23:23" ht="24" customHeight="1">
      <c r="W5136" s="413"/>
    </row>
    <row r="5137" spans="23:23" ht="24" customHeight="1">
      <c r="W5137" s="413"/>
    </row>
    <row r="5138" spans="23:23" ht="24" customHeight="1">
      <c r="W5138" s="413"/>
    </row>
    <row r="5139" spans="23:23" ht="24" customHeight="1">
      <c r="W5139" s="413"/>
    </row>
    <row r="5140" spans="23:23" ht="24" customHeight="1">
      <c r="W5140" s="413"/>
    </row>
    <row r="5141" spans="23:23" ht="24" customHeight="1">
      <c r="W5141" s="413"/>
    </row>
    <row r="5142" spans="23:23" ht="24" customHeight="1">
      <c r="W5142" s="413"/>
    </row>
    <row r="5143" spans="23:23" ht="24" customHeight="1">
      <c r="W5143" s="413"/>
    </row>
    <row r="5144" spans="23:23" ht="24" customHeight="1">
      <c r="W5144" s="413"/>
    </row>
    <row r="5145" spans="23:23" ht="24" customHeight="1">
      <c r="W5145" s="413"/>
    </row>
    <row r="5146" spans="23:23" ht="24" customHeight="1">
      <c r="W5146" s="413"/>
    </row>
    <row r="5147" spans="23:23" ht="24" customHeight="1">
      <c r="W5147" s="413"/>
    </row>
    <row r="5148" spans="23:23" ht="24" customHeight="1">
      <c r="W5148" s="413"/>
    </row>
    <row r="5149" spans="23:23" ht="24" customHeight="1">
      <c r="W5149" s="413"/>
    </row>
    <row r="5150" spans="23:23" ht="24" customHeight="1">
      <c r="W5150" s="413"/>
    </row>
    <row r="5151" spans="23:23" ht="24" customHeight="1">
      <c r="W5151" s="413"/>
    </row>
    <row r="5152" spans="23:23" ht="24" customHeight="1">
      <c r="W5152" s="413"/>
    </row>
    <row r="5153" spans="23:23" ht="24" customHeight="1">
      <c r="W5153" s="413"/>
    </row>
    <row r="5154" spans="23:23" ht="24" customHeight="1">
      <c r="W5154" s="413"/>
    </row>
    <row r="5155" spans="23:23" ht="24" customHeight="1">
      <c r="W5155" s="413"/>
    </row>
    <row r="5156" spans="23:23" ht="24" customHeight="1">
      <c r="W5156" s="413"/>
    </row>
    <row r="5157" spans="23:23" ht="24" customHeight="1">
      <c r="W5157" s="413"/>
    </row>
    <row r="5158" spans="23:23" ht="24" customHeight="1">
      <c r="W5158" s="413"/>
    </row>
    <row r="5159" spans="23:23" ht="24" customHeight="1">
      <c r="W5159" s="413"/>
    </row>
    <row r="5160" spans="23:23" ht="24" customHeight="1">
      <c r="W5160" s="413"/>
    </row>
    <row r="5161" spans="23:23" ht="24" customHeight="1">
      <c r="W5161" s="413"/>
    </row>
    <row r="5162" spans="23:23" ht="24" customHeight="1">
      <c r="W5162" s="413"/>
    </row>
    <row r="5163" spans="23:23" ht="24" customHeight="1">
      <c r="W5163" s="413"/>
    </row>
    <row r="5164" spans="23:23" ht="24" customHeight="1">
      <c r="W5164" s="413"/>
    </row>
    <row r="5165" spans="23:23" ht="24" customHeight="1">
      <c r="W5165" s="413"/>
    </row>
    <row r="5166" spans="23:23" ht="24" customHeight="1">
      <c r="W5166" s="413"/>
    </row>
    <row r="5167" spans="23:23" ht="24" customHeight="1">
      <c r="W5167" s="413"/>
    </row>
    <row r="5168" spans="23:23" ht="24" customHeight="1">
      <c r="W5168" s="413"/>
    </row>
    <row r="5169" spans="23:23" ht="24" customHeight="1">
      <c r="W5169" s="413"/>
    </row>
    <row r="5170" spans="23:23" ht="24" customHeight="1">
      <c r="W5170" s="413"/>
    </row>
    <row r="5171" spans="23:23" ht="24" customHeight="1">
      <c r="W5171" s="413"/>
    </row>
    <row r="5172" spans="23:23" ht="24" customHeight="1">
      <c r="W5172" s="413"/>
    </row>
    <row r="5173" spans="23:23" ht="24" customHeight="1">
      <c r="W5173" s="413"/>
    </row>
    <row r="5174" spans="23:23" ht="24" customHeight="1">
      <c r="W5174" s="413"/>
    </row>
    <row r="5175" spans="23:23" ht="24" customHeight="1">
      <c r="W5175" s="413"/>
    </row>
    <row r="5176" spans="23:23" ht="24" customHeight="1">
      <c r="W5176" s="413"/>
    </row>
    <row r="5177" spans="23:23" ht="24" customHeight="1">
      <c r="W5177" s="413"/>
    </row>
    <row r="5178" spans="23:23" ht="24" customHeight="1">
      <c r="W5178" s="413"/>
    </row>
    <row r="5179" spans="23:23" ht="24" customHeight="1">
      <c r="W5179" s="413"/>
    </row>
    <row r="5180" spans="23:23" ht="24" customHeight="1">
      <c r="W5180" s="413"/>
    </row>
    <row r="5181" spans="23:23" ht="24" customHeight="1">
      <c r="W5181" s="413"/>
    </row>
    <row r="5182" spans="23:23" ht="24" customHeight="1">
      <c r="W5182" s="413"/>
    </row>
    <row r="5183" spans="23:23" ht="24" customHeight="1">
      <c r="W5183" s="413"/>
    </row>
    <row r="5184" spans="23:23" ht="24" customHeight="1">
      <c r="W5184" s="413"/>
    </row>
    <row r="5185" spans="23:23" ht="24" customHeight="1">
      <c r="W5185" s="413"/>
    </row>
    <row r="5186" spans="23:23" ht="24" customHeight="1">
      <c r="W5186" s="413"/>
    </row>
    <row r="5187" spans="23:23" ht="24" customHeight="1">
      <c r="W5187" s="413"/>
    </row>
    <row r="5188" spans="23:23" ht="24" customHeight="1">
      <c r="W5188" s="413"/>
    </row>
    <row r="5189" spans="23:23" ht="24" customHeight="1">
      <c r="W5189" s="413"/>
    </row>
    <row r="5190" spans="23:23" ht="24" customHeight="1">
      <c r="W5190" s="413"/>
    </row>
    <row r="5191" spans="23:23" ht="24" customHeight="1">
      <c r="W5191" s="413"/>
    </row>
    <row r="5192" spans="23:23" ht="24" customHeight="1">
      <c r="W5192" s="413"/>
    </row>
    <row r="5193" spans="23:23" ht="24" customHeight="1">
      <c r="W5193" s="413"/>
    </row>
    <row r="5194" spans="23:23" ht="24" customHeight="1">
      <c r="W5194" s="413"/>
    </row>
    <row r="5195" spans="23:23" ht="24" customHeight="1">
      <c r="W5195" s="413"/>
    </row>
    <row r="5196" spans="23:23" ht="24" customHeight="1">
      <c r="W5196" s="413"/>
    </row>
    <row r="5197" spans="23:23" ht="24" customHeight="1">
      <c r="W5197" s="413"/>
    </row>
    <row r="5198" spans="23:23" ht="24" customHeight="1">
      <c r="W5198" s="413"/>
    </row>
    <row r="5199" spans="23:23" ht="24" customHeight="1">
      <c r="W5199" s="413"/>
    </row>
    <row r="5200" spans="23:23" ht="24" customHeight="1">
      <c r="W5200" s="413"/>
    </row>
    <row r="5201" spans="23:23" ht="24" customHeight="1">
      <c r="W5201" s="413"/>
    </row>
    <row r="5202" spans="23:23" ht="24" customHeight="1">
      <c r="W5202" s="413"/>
    </row>
    <row r="5203" spans="23:23" ht="24" customHeight="1">
      <c r="W5203" s="413"/>
    </row>
    <row r="5204" spans="23:23" ht="24" customHeight="1">
      <c r="W5204" s="413"/>
    </row>
    <row r="5205" spans="23:23" ht="24" customHeight="1">
      <c r="W5205" s="413"/>
    </row>
    <row r="5206" spans="23:23" ht="24" customHeight="1">
      <c r="W5206" s="413"/>
    </row>
    <row r="5207" spans="23:23" ht="24" customHeight="1">
      <c r="W5207" s="413"/>
    </row>
    <row r="5208" spans="23:23" ht="24" customHeight="1">
      <c r="W5208" s="413"/>
    </row>
    <row r="5209" spans="23:23" ht="24" customHeight="1">
      <c r="W5209" s="413"/>
    </row>
    <row r="5210" spans="23:23" ht="24" customHeight="1">
      <c r="W5210" s="413"/>
    </row>
    <row r="5211" spans="23:23" ht="24" customHeight="1">
      <c r="W5211" s="413"/>
    </row>
    <row r="5212" spans="23:23" ht="24" customHeight="1">
      <c r="W5212" s="413"/>
    </row>
    <row r="5213" spans="23:23" ht="24" customHeight="1">
      <c r="W5213" s="413"/>
    </row>
    <row r="5214" spans="23:23" ht="24" customHeight="1">
      <c r="W5214" s="413"/>
    </row>
    <row r="5215" spans="23:23" ht="24" customHeight="1">
      <c r="W5215" s="413"/>
    </row>
    <row r="5216" spans="23:23" ht="24" customHeight="1">
      <c r="W5216" s="413"/>
    </row>
    <row r="5217" spans="23:23" ht="24" customHeight="1">
      <c r="W5217" s="413"/>
    </row>
    <row r="5218" spans="23:23" ht="24" customHeight="1">
      <c r="W5218" s="413"/>
    </row>
    <row r="5219" spans="23:23" ht="24" customHeight="1">
      <c r="W5219" s="413"/>
    </row>
    <row r="5220" spans="23:23" ht="24" customHeight="1">
      <c r="W5220" s="413"/>
    </row>
    <row r="5221" spans="23:23" ht="24" customHeight="1">
      <c r="W5221" s="413"/>
    </row>
    <row r="5222" spans="23:23" ht="24" customHeight="1">
      <c r="W5222" s="413"/>
    </row>
    <row r="5223" spans="23:23" ht="24" customHeight="1">
      <c r="W5223" s="413"/>
    </row>
    <row r="5224" spans="23:23" ht="24" customHeight="1">
      <c r="W5224" s="413"/>
    </row>
    <row r="5225" spans="23:23" ht="24" customHeight="1">
      <c r="W5225" s="413"/>
    </row>
    <row r="5226" spans="23:23" ht="24" customHeight="1">
      <c r="W5226" s="413"/>
    </row>
    <row r="5227" spans="23:23" ht="24" customHeight="1">
      <c r="W5227" s="413"/>
    </row>
    <row r="5228" spans="23:23" ht="24" customHeight="1">
      <c r="W5228" s="413"/>
    </row>
    <row r="5229" spans="23:23" ht="24" customHeight="1">
      <c r="W5229" s="413"/>
    </row>
    <row r="5230" spans="23:23" ht="24" customHeight="1">
      <c r="W5230" s="413"/>
    </row>
    <row r="5231" spans="23:23" ht="24" customHeight="1">
      <c r="W5231" s="413"/>
    </row>
    <row r="5232" spans="23:23" ht="24" customHeight="1">
      <c r="W5232" s="413"/>
    </row>
    <row r="5233" spans="23:23" ht="24" customHeight="1">
      <c r="W5233" s="413"/>
    </row>
    <row r="5234" spans="23:23" ht="24" customHeight="1">
      <c r="W5234" s="413"/>
    </row>
    <row r="5235" spans="23:23" ht="24" customHeight="1">
      <c r="W5235" s="413"/>
    </row>
    <row r="5236" spans="23:23" ht="24" customHeight="1">
      <c r="W5236" s="413"/>
    </row>
    <row r="5237" spans="23:23" ht="24" customHeight="1">
      <c r="W5237" s="413"/>
    </row>
    <row r="5238" spans="23:23" ht="24" customHeight="1">
      <c r="W5238" s="413"/>
    </row>
    <row r="5239" spans="23:23" ht="24" customHeight="1">
      <c r="W5239" s="413"/>
    </row>
    <row r="5240" spans="23:23" ht="24" customHeight="1">
      <c r="W5240" s="413"/>
    </row>
    <row r="5241" spans="23:23" ht="24" customHeight="1">
      <c r="W5241" s="413"/>
    </row>
    <row r="5242" spans="23:23" ht="24" customHeight="1">
      <c r="W5242" s="413"/>
    </row>
    <row r="5243" spans="23:23" ht="24" customHeight="1">
      <c r="W5243" s="413"/>
    </row>
    <row r="5244" spans="23:23" ht="24" customHeight="1">
      <c r="W5244" s="413"/>
    </row>
    <row r="5245" spans="23:23" ht="24" customHeight="1">
      <c r="W5245" s="413"/>
    </row>
    <row r="5246" spans="23:23" ht="24" customHeight="1">
      <c r="W5246" s="413"/>
    </row>
    <row r="5247" spans="23:23" ht="24" customHeight="1">
      <c r="W5247" s="413"/>
    </row>
    <row r="5248" spans="23:23" ht="24" customHeight="1">
      <c r="W5248" s="413"/>
    </row>
    <row r="5249" spans="23:23" ht="24" customHeight="1">
      <c r="W5249" s="413"/>
    </row>
    <row r="5250" spans="23:23" ht="24" customHeight="1">
      <c r="W5250" s="413"/>
    </row>
    <row r="5251" spans="23:23" ht="24" customHeight="1">
      <c r="W5251" s="413"/>
    </row>
    <row r="5252" spans="23:23" ht="24" customHeight="1">
      <c r="W5252" s="413"/>
    </row>
    <row r="5253" spans="23:23" ht="24" customHeight="1">
      <c r="W5253" s="413"/>
    </row>
    <row r="5254" spans="23:23" ht="24" customHeight="1">
      <c r="W5254" s="413"/>
    </row>
    <row r="5255" spans="23:23" ht="24" customHeight="1">
      <c r="W5255" s="413"/>
    </row>
    <row r="5256" spans="23:23" ht="24" customHeight="1">
      <c r="W5256" s="413"/>
    </row>
    <row r="5257" spans="23:23" ht="24" customHeight="1">
      <c r="W5257" s="413"/>
    </row>
    <row r="5258" spans="23:23" ht="24" customHeight="1">
      <c r="W5258" s="413"/>
    </row>
    <row r="5259" spans="23:23" ht="24" customHeight="1">
      <c r="W5259" s="413"/>
    </row>
    <row r="5260" spans="23:23" ht="24" customHeight="1">
      <c r="W5260" s="413"/>
    </row>
    <row r="5261" spans="23:23" ht="24" customHeight="1">
      <c r="W5261" s="413"/>
    </row>
    <row r="5262" spans="23:23" ht="24" customHeight="1">
      <c r="W5262" s="413"/>
    </row>
    <row r="5263" spans="23:23" ht="24" customHeight="1">
      <c r="W5263" s="413"/>
    </row>
    <row r="5264" spans="23:23" ht="24" customHeight="1">
      <c r="W5264" s="413"/>
    </row>
    <row r="5265" spans="23:23" ht="24" customHeight="1">
      <c r="W5265" s="413"/>
    </row>
    <row r="5266" spans="23:23" ht="24" customHeight="1">
      <c r="W5266" s="413"/>
    </row>
    <row r="5267" spans="23:23" ht="24" customHeight="1">
      <c r="W5267" s="413"/>
    </row>
    <row r="5268" spans="23:23" ht="24" customHeight="1">
      <c r="W5268" s="413"/>
    </row>
    <row r="5269" spans="23:23" ht="24" customHeight="1">
      <c r="W5269" s="413"/>
    </row>
    <row r="5270" spans="23:23" ht="24" customHeight="1">
      <c r="W5270" s="413"/>
    </row>
    <row r="5271" spans="23:23" ht="24" customHeight="1">
      <c r="W5271" s="413"/>
    </row>
    <row r="5272" spans="23:23" ht="24" customHeight="1">
      <c r="W5272" s="413"/>
    </row>
    <row r="5273" spans="23:23" ht="24" customHeight="1">
      <c r="W5273" s="413"/>
    </row>
    <row r="5274" spans="23:23" ht="24" customHeight="1">
      <c r="W5274" s="413"/>
    </row>
    <row r="5275" spans="23:23" ht="24" customHeight="1">
      <c r="W5275" s="413"/>
    </row>
    <row r="5276" spans="23:23" ht="24" customHeight="1">
      <c r="W5276" s="413"/>
    </row>
    <row r="5277" spans="23:23" ht="24" customHeight="1">
      <c r="W5277" s="413"/>
    </row>
    <row r="5278" spans="23:23" ht="24" customHeight="1">
      <c r="W5278" s="413"/>
    </row>
    <row r="5279" spans="23:23" ht="24" customHeight="1">
      <c r="W5279" s="413"/>
    </row>
    <row r="5280" spans="23:23" ht="24" customHeight="1">
      <c r="W5280" s="413"/>
    </row>
    <row r="5281" spans="23:23" ht="24" customHeight="1">
      <c r="W5281" s="413"/>
    </row>
    <row r="5282" spans="23:23" ht="24" customHeight="1">
      <c r="W5282" s="413"/>
    </row>
    <row r="5283" spans="23:23" ht="24" customHeight="1">
      <c r="W5283" s="413"/>
    </row>
    <row r="5284" spans="23:23" ht="24" customHeight="1">
      <c r="W5284" s="413"/>
    </row>
    <row r="5285" spans="23:23" ht="24" customHeight="1">
      <c r="W5285" s="413"/>
    </row>
    <row r="5286" spans="23:23" ht="24" customHeight="1">
      <c r="W5286" s="413"/>
    </row>
    <row r="5287" spans="23:23" ht="24" customHeight="1">
      <c r="W5287" s="413"/>
    </row>
    <row r="5288" spans="23:23" ht="24" customHeight="1">
      <c r="W5288" s="413"/>
    </row>
    <row r="5289" spans="23:23" ht="24" customHeight="1">
      <c r="W5289" s="413"/>
    </row>
    <row r="5290" spans="23:23" ht="24" customHeight="1">
      <c r="W5290" s="413"/>
    </row>
    <row r="5291" spans="23:23" ht="24" customHeight="1">
      <c r="W5291" s="413"/>
    </row>
    <row r="5292" spans="23:23" ht="24" customHeight="1">
      <c r="W5292" s="413"/>
    </row>
    <row r="5293" spans="23:23" ht="24" customHeight="1">
      <c r="W5293" s="413"/>
    </row>
    <row r="5294" spans="23:23" ht="24" customHeight="1">
      <c r="W5294" s="413"/>
    </row>
    <row r="5295" spans="23:23" ht="24" customHeight="1">
      <c r="W5295" s="413"/>
    </row>
    <row r="5296" spans="23:23" ht="24" customHeight="1">
      <c r="W5296" s="413"/>
    </row>
    <row r="5297" spans="23:23" ht="24" customHeight="1">
      <c r="W5297" s="413"/>
    </row>
    <row r="5298" spans="23:23" ht="24" customHeight="1">
      <c r="W5298" s="413"/>
    </row>
    <row r="5299" spans="23:23" ht="24" customHeight="1">
      <c r="W5299" s="413"/>
    </row>
    <row r="5300" spans="23:23" ht="24" customHeight="1">
      <c r="W5300" s="413"/>
    </row>
    <row r="5301" spans="23:23" ht="24" customHeight="1">
      <c r="W5301" s="413"/>
    </row>
    <row r="5302" spans="23:23" ht="24" customHeight="1">
      <c r="W5302" s="413"/>
    </row>
    <row r="5303" spans="23:23" ht="24" customHeight="1">
      <c r="W5303" s="413"/>
    </row>
    <row r="5304" spans="23:23" ht="24" customHeight="1">
      <c r="W5304" s="413"/>
    </row>
    <row r="5305" spans="23:23" ht="24" customHeight="1">
      <c r="W5305" s="413"/>
    </row>
    <row r="5306" spans="23:23" ht="24" customHeight="1">
      <c r="W5306" s="413"/>
    </row>
    <row r="5307" spans="23:23" ht="24" customHeight="1">
      <c r="W5307" s="413"/>
    </row>
    <row r="5308" spans="23:23" ht="24" customHeight="1">
      <c r="W5308" s="413"/>
    </row>
    <row r="5309" spans="23:23" ht="24" customHeight="1">
      <c r="W5309" s="413"/>
    </row>
    <row r="5310" spans="23:23" ht="24" customHeight="1">
      <c r="W5310" s="413"/>
    </row>
    <row r="5311" spans="23:23" ht="24" customHeight="1">
      <c r="W5311" s="413"/>
    </row>
    <row r="5312" spans="23:23" ht="24" customHeight="1">
      <c r="W5312" s="413"/>
    </row>
    <row r="5313" spans="23:23" ht="24" customHeight="1">
      <c r="W5313" s="413"/>
    </row>
    <row r="5314" spans="23:23" ht="24" customHeight="1">
      <c r="W5314" s="413"/>
    </row>
    <row r="5315" spans="23:23" ht="24" customHeight="1">
      <c r="W5315" s="413"/>
    </row>
    <row r="5316" spans="23:23" ht="24" customHeight="1">
      <c r="W5316" s="413"/>
    </row>
    <row r="5317" spans="23:23" ht="24" customHeight="1">
      <c r="W5317" s="413"/>
    </row>
    <row r="5318" spans="23:23" ht="24" customHeight="1">
      <c r="W5318" s="413"/>
    </row>
    <row r="5319" spans="23:23" ht="24" customHeight="1">
      <c r="W5319" s="413"/>
    </row>
    <row r="5320" spans="23:23" ht="24" customHeight="1">
      <c r="W5320" s="413"/>
    </row>
    <row r="5321" spans="23:23" ht="24" customHeight="1">
      <c r="W5321" s="413"/>
    </row>
    <row r="5322" spans="23:23" ht="24" customHeight="1">
      <c r="W5322" s="413"/>
    </row>
    <row r="5323" spans="23:23" ht="24" customHeight="1">
      <c r="W5323" s="413"/>
    </row>
    <row r="5324" spans="23:23" ht="24" customHeight="1">
      <c r="W5324" s="413"/>
    </row>
    <row r="5325" spans="23:23" ht="24" customHeight="1">
      <c r="W5325" s="413"/>
    </row>
    <row r="5326" spans="23:23" ht="24" customHeight="1">
      <c r="W5326" s="413"/>
    </row>
    <row r="5327" spans="23:23" ht="24" customHeight="1">
      <c r="W5327" s="413"/>
    </row>
    <row r="5328" spans="23:23" ht="24" customHeight="1">
      <c r="W5328" s="413"/>
    </row>
    <row r="5329" spans="23:23" ht="24" customHeight="1">
      <c r="W5329" s="413"/>
    </row>
    <row r="5330" spans="23:23" ht="24" customHeight="1">
      <c r="W5330" s="413"/>
    </row>
    <row r="5331" spans="23:23" ht="24" customHeight="1">
      <c r="W5331" s="413"/>
    </row>
    <row r="5332" spans="23:23" ht="24" customHeight="1">
      <c r="W5332" s="413"/>
    </row>
    <row r="5333" spans="23:23" ht="24" customHeight="1">
      <c r="W5333" s="413"/>
    </row>
    <row r="5334" spans="23:23" ht="24" customHeight="1">
      <c r="W5334" s="413"/>
    </row>
    <row r="5335" spans="23:23" ht="24" customHeight="1">
      <c r="W5335" s="413"/>
    </row>
    <row r="5336" spans="23:23" ht="24" customHeight="1">
      <c r="W5336" s="413"/>
    </row>
    <row r="5337" spans="23:23" ht="24" customHeight="1">
      <c r="W5337" s="413"/>
    </row>
    <row r="5338" spans="23:23" ht="24" customHeight="1">
      <c r="W5338" s="413"/>
    </row>
    <row r="5339" spans="23:23" ht="24" customHeight="1">
      <c r="W5339" s="413"/>
    </row>
    <row r="5340" spans="23:23" ht="24" customHeight="1">
      <c r="W5340" s="413"/>
    </row>
    <row r="5341" spans="23:23" ht="24" customHeight="1">
      <c r="W5341" s="413"/>
    </row>
    <row r="5342" spans="23:23" ht="24" customHeight="1">
      <c r="W5342" s="413"/>
    </row>
    <row r="5343" spans="23:23" ht="24" customHeight="1">
      <c r="W5343" s="413"/>
    </row>
    <row r="5344" spans="23:23" ht="24" customHeight="1">
      <c r="W5344" s="413"/>
    </row>
    <row r="5345" spans="23:23" ht="24" customHeight="1">
      <c r="W5345" s="413"/>
    </row>
    <row r="5346" spans="23:23" ht="24" customHeight="1">
      <c r="W5346" s="413"/>
    </row>
    <row r="5347" spans="23:23" ht="24" customHeight="1">
      <c r="W5347" s="413"/>
    </row>
    <row r="5348" spans="23:23" ht="24" customHeight="1">
      <c r="W5348" s="413"/>
    </row>
    <row r="5349" spans="23:23" ht="24" customHeight="1">
      <c r="W5349" s="413"/>
    </row>
    <row r="5350" spans="23:23" ht="24" customHeight="1">
      <c r="W5350" s="413"/>
    </row>
    <row r="5351" spans="23:23" ht="24" customHeight="1">
      <c r="W5351" s="413"/>
    </row>
    <row r="5352" spans="23:23" ht="24" customHeight="1">
      <c r="W5352" s="413"/>
    </row>
    <row r="5353" spans="23:23" ht="24" customHeight="1">
      <c r="W5353" s="413"/>
    </row>
    <row r="5354" spans="23:23" ht="24" customHeight="1">
      <c r="W5354" s="413"/>
    </row>
    <row r="5355" spans="23:23" ht="24" customHeight="1">
      <c r="W5355" s="413"/>
    </row>
    <row r="5356" spans="23:23" ht="24" customHeight="1">
      <c r="W5356" s="413"/>
    </row>
    <row r="5357" spans="23:23" ht="24" customHeight="1">
      <c r="W5357" s="413"/>
    </row>
    <row r="5358" spans="23:23" ht="24" customHeight="1">
      <c r="W5358" s="413"/>
    </row>
    <row r="5359" spans="23:23" ht="24" customHeight="1">
      <c r="W5359" s="413"/>
    </row>
    <row r="5360" spans="23:23" ht="24" customHeight="1">
      <c r="W5360" s="413"/>
    </row>
    <row r="5361" spans="23:23" ht="24" customHeight="1">
      <c r="W5361" s="413"/>
    </row>
    <row r="5362" spans="23:23" ht="24" customHeight="1">
      <c r="W5362" s="413"/>
    </row>
    <row r="5363" spans="23:23" ht="24" customHeight="1">
      <c r="W5363" s="413"/>
    </row>
    <row r="5364" spans="23:23" ht="24" customHeight="1">
      <c r="W5364" s="413"/>
    </row>
    <row r="5365" spans="23:23" ht="24" customHeight="1">
      <c r="W5365" s="413"/>
    </row>
    <row r="5366" spans="23:23" ht="24" customHeight="1">
      <c r="W5366" s="413"/>
    </row>
    <row r="5367" spans="23:23" ht="24" customHeight="1">
      <c r="W5367" s="413"/>
    </row>
    <row r="5368" spans="23:23" ht="24" customHeight="1">
      <c r="W5368" s="413"/>
    </row>
    <row r="5369" spans="23:23" ht="24" customHeight="1">
      <c r="W5369" s="413"/>
    </row>
    <row r="5370" spans="23:23" ht="24" customHeight="1">
      <c r="W5370" s="413"/>
    </row>
    <row r="5371" spans="23:23" ht="24" customHeight="1">
      <c r="W5371" s="413"/>
    </row>
    <row r="5372" spans="23:23" ht="24" customHeight="1">
      <c r="W5372" s="413"/>
    </row>
    <row r="5373" spans="23:23" ht="24" customHeight="1">
      <c r="W5373" s="413"/>
    </row>
    <row r="5374" spans="23:23" ht="24" customHeight="1">
      <c r="W5374" s="413"/>
    </row>
    <row r="5375" spans="23:23" ht="24" customHeight="1">
      <c r="W5375" s="413"/>
    </row>
    <row r="5376" spans="23:23" ht="24" customHeight="1">
      <c r="W5376" s="413"/>
    </row>
    <row r="5377" spans="23:23" ht="24" customHeight="1">
      <c r="W5377" s="413"/>
    </row>
    <row r="5378" spans="23:23" ht="24" customHeight="1">
      <c r="W5378" s="413"/>
    </row>
    <row r="5379" spans="23:23" ht="24" customHeight="1">
      <c r="W5379" s="413"/>
    </row>
    <row r="5380" spans="23:23" ht="24" customHeight="1">
      <c r="W5380" s="413"/>
    </row>
    <row r="5381" spans="23:23" ht="24" customHeight="1">
      <c r="W5381" s="413"/>
    </row>
    <row r="5382" spans="23:23" ht="24" customHeight="1">
      <c r="W5382" s="413"/>
    </row>
    <row r="5383" spans="23:23" ht="24" customHeight="1">
      <c r="W5383" s="413"/>
    </row>
    <row r="5384" spans="23:23" ht="24" customHeight="1">
      <c r="W5384" s="413"/>
    </row>
    <row r="5385" spans="23:23" ht="24" customHeight="1">
      <c r="W5385" s="413"/>
    </row>
    <row r="5386" spans="23:23" ht="24" customHeight="1">
      <c r="W5386" s="413"/>
    </row>
    <row r="5387" spans="23:23" ht="24" customHeight="1">
      <c r="W5387" s="413"/>
    </row>
    <row r="5388" spans="23:23" ht="24" customHeight="1">
      <c r="W5388" s="413"/>
    </row>
    <row r="5389" spans="23:23" ht="24" customHeight="1">
      <c r="W5389" s="413"/>
    </row>
    <row r="5390" spans="23:23" ht="24" customHeight="1">
      <c r="W5390" s="413"/>
    </row>
    <row r="5391" spans="23:23" ht="24" customHeight="1">
      <c r="W5391" s="413"/>
    </row>
    <row r="5392" spans="23:23" ht="24" customHeight="1">
      <c r="W5392" s="413"/>
    </row>
    <row r="5393" spans="23:23" ht="24" customHeight="1">
      <c r="W5393" s="413"/>
    </row>
    <row r="5394" spans="23:23" ht="24" customHeight="1">
      <c r="W5394" s="413"/>
    </row>
    <row r="5395" spans="23:23" ht="24" customHeight="1">
      <c r="W5395" s="413"/>
    </row>
    <row r="5396" spans="23:23" ht="24" customHeight="1">
      <c r="W5396" s="413"/>
    </row>
    <row r="5397" spans="23:23" ht="24" customHeight="1">
      <c r="W5397" s="413"/>
    </row>
    <row r="5398" spans="23:23" ht="24" customHeight="1">
      <c r="W5398" s="413"/>
    </row>
    <row r="5399" spans="23:23" ht="24" customHeight="1">
      <c r="W5399" s="413"/>
    </row>
    <row r="5400" spans="23:23" ht="24" customHeight="1">
      <c r="W5400" s="413"/>
    </row>
    <row r="5401" spans="23:23" ht="24" customHeight="1">
      <c r="W5401" s="413"/>
    </row>
    <row r="5402" spans="23:23" ht="24" customHeight="1">
      <c r="W5402" s="413"/>
    </row>
    <row r="5403" spans="23:23" ht="24" customHeight="1">
      <c r="W5403" s="413"/>
    </row>
    <row r="5404" spans="23:23" ht="24" customHeight="1">
      <c r="W5404" s="413"/>
    </row>
    <row r="5405" spans="23:23" ht="24" customHeight="1">
      <c r="W5405" s="413"/>
    </row>
    <row r="5406" spans="23:23" ht="24" customHeight="1">
      <c r="W5406" s="413"/>
    </row>
    <row r="5407" spans="23:23" ht="24" customHeight="1">
      <c r="W5407" s="413"/>
    </row>
    <row r="5408" spans="23:23" ht="24" customHeight="1">
      <c r="W5408" s="413"/>
    </row>
    <row r="5409" spans="23:23" ht="24" customHeight="1">
      <c r="W5409" s="413"/>
    </row>
    <row r="5410" spans="23:23" ht="24" customHeight="1">
      <c r="W5410" s="413"/>
    </row>
    <row r="5411" spans="23:23" ht="24" customHeight="1">
      <c r="W5411" s="413"/>
    </row>
    <row r="5412" spans="23:23" ht="24" customHeight="1">
      <c r="W5412" s="413"/>
    </row>
    <row r="5413" spans="23:23" ht="24" customHeight="1">
      <c r="W5413" s="413"/>
    </row>
    <row r="5414" spans="23:23" ht="24" customHeight="1">
      <c r="W5414" s="413"/>
    </row>
    <row r="5415" spans="23:23" ht="24" customHeight="1">
      <c r="W5415" s="413"/>
    </row>
    <row r="5416" spans="23:23" ht="24" customHeight="1">
      <c r="W5416" s="413"/>
    </row>
    <row r="5417" spans="23:23" ht="24" customHeight="1">
      <c r="W5417" s="413"/>
    </row>
    <row r="5418" spans="23:23" ht="24" customHeight="1">
      <c r="W5418" s="413"/>
    </row>
    <row r="5419" spans="23:23" ht="24" customHeight="1">
      <c r="W5419" s="413"/>
    </row>
    <row r="5420" spans="23:23" ht="24" customHeight="1">
      <c r="W5420" s="413"/>
    </row>
    <row r="5421" spans="23:23" ht="24" customHeight="1">
      <c r="W5421" s="413"/>
    </row>
    <row r="5422" spans="23:23" ht="24" customHeight="1">
      <c r="W5422" s="413"/>
    </row>
    <row r="5423" spans="23:23" ht="24" customHeight="1">
      <c r="W5423" s="413"/>
    </row>
    <row r="5424" spans="23:23" ht="24" customHeight="1">
      <c r="W5424" s="413"/>
    </row>
    <row r="5425" spans="23:23" ht="24" customHeight="1">
      <c r="W5425" s="413"/>
    </row>
    <row r="5426" spans="23:23" ht="24" customHeight="1">
      <c r="W5426" s="413"/>
    </row>
    <row r="5427" spans="23:23" ht="24" customHeight="1">
      <c r="W5427" s="413"/>
    </row>
    <row r="5428" spans="23:23" ht="24" customHeight="1">
      <c r="W5428" s="413"/>
    </row>
    <row r="5429" spans="23:23" ht="24" customHeight="1">
      <c r="W5429" s="413"/>
    </row>
    <row r="5430" spans="23:23" ht="24" customHeight="1">
      <c r="W5430" s="413"/>
    </row>
    <row r="5431" spans="23:23" ht="24" customHeight="1">
      <c r="W5431" s="413"/>
    </row>
    <row r="5432" spans="23:23" ht="24" customHeight="1">
      <c r="W5432" s="413"/>
    </row>
    <row r="5433" spans="23:23" ht="24" customHeight="1">
      <c r="W5433" s="413"/>
    </row>
    <row r="5434" spans="23:23" ht="24" customHeight="1">
      <c r="W5434" s="413"/>
    </row>
    <row r="5435" spans="23:23" ht="24" customHeight="1">
      <c r="W5435" s="413"/>
    </row>
    <row r="5436" spans="23:23" ht="24" customHeight="1">
      <c r="W5436" s="413"/>
    </row>
    <row r="5437" spans="23:23" ht="24" customHeight="1">
      <c r="W5437" s="413"/>
    </row>
    <row r="5438" spans="23:23" ht="24" customHeight="1">
      <c r="W5438" s="413"/>
    </row>
    <row r="5439" spans="23:23" ht="24" customHeight="1">
      <c r="W5439" s="413"/>
    </row>
    <row r="5440" spans="23:23" ht="24" customHeight="1">
      <c r="W5440" s="413"/>
    </row>
    <row r="5441" spans="23:23" ht="24" customHeight="1">
      <c r="W5441" s="413"/>
    </row>
    <row r="5442" spans="23:23" ht="24" customHeight="1">
      <c r="W5442" s="413"/>
    </row>
    <row r="5443" spans="23:23" ht="24" customHeight="1">
      <c r="W5443" s="413"/>
    </row>
    <row r="5444" spans="23:23" ht="24" customHeight="1">
      <c r="W5444" s="413"/>
    </row>
    <row r="5445" spans="23:23" ht="24" customHeight="1">
      <c r="W5445" s="413"/>
    </row>
    <row r="5446" spans="23:23" ht="24" customHeight="1">
      <c r="W5446" s="413"/>
    </row>
    <row r="5447" spans="23:23" ht="24" customHeight="1">
      <c r="W5447" s="413"/>
    </row>
    <row r="5448" spans="23:23" ht="24" customHeight="1">
      <c r="W5448" s="413"/>
    </row>
    <row r="5449" spans="23:23" ht="24" customHeight="1">
      <c r="W5449" s="413"/>
    </row>
    <row r="5450" spans="23:23" ht="24" customHeight="1">
      <c r="W5450" s="413"/>
    </row>
    <row r="5451" spans="23:23" ht="24" customHeight="1">
      <c r="W5451" s="413"/>
    </row>
    <row r="5452" spans="23:23" ht="24" customHeight="1">
      <c r="W5452" s="413"/>
    </row>
    <row r="5453" spans="23:23" ht="24" customHeight="1">
      <c r="W5453" s="413"/>
    </row>
    <row r="5454" spans="23:23" ht="24" customHeight="1">
      <c r="W5454" s="413"/>
    </row>
    <row r="5455" spans="23:23" ht="24" customHeight="1">
      <c r="W5455" s="413"/>
    </row>
    <row r="5456" spans="23:23" ht="24" customHeight="1">
      <c r="W5456" s="413"/>
    </row>
    <row r="5457" spans="23:23" ht="24" customHeight="1">
      <c r="W5457" s="413"/>
    </row>
    <row r="5458" spans="23:23" ht="24" customHeight="1">
      <c r="W5458" s="413"/>
    </row>
    <row r="5459" spans="23:23" ht="24" customHeight="1">
      <c r="W5459" s="413"/>
    </row>
    <row r="5460" spans="23:23" ht="24" customHeight="1">
      <c r="W5460" s="413"/>
    </row>
    <row r="5461" spans="23:23" ht="24" customHeight="1">
      <c r="W5461" s="413"/>
    </row>
    <row r="5462" spans="23:23" ht="24" customHeight="1">
      <c r="W5462" s="413"/>
    </row>
    <row r="5463" spans="23:23" ht="24" customHeight="1">
      <c r="W5463" s="413"/>
    </row>
    <row r="5464" spans="23:23" ht="24" customHeight="1">
      <c r="W5464" s="413"/>
    </row>
    <row r="5465" spans="23:23" ht="24" customHeight="1">
      <c r="W5465" s="413"/>
    </row>
    <row r="5466" spans="23:23" ht="24" customHeight="1">
      <c r="W5466" s="413"/>
    </row>
    <row r="5467" spans="23:23" ht="24" customHeight="1">
      <c r="W5467" s="413"/>
    </row>
    <row r="5468" spans="23:23" ht="24" customHeight="1">
      <c r="W5468" s="413"/>
    </row>
    <row r="5469" spans="23:23" ht="24" customHeight="1">
      <c r="W5469" s="413"/>
    </row>
    <row r="5470" spans="23:23" ht="24" customHeight="1">
      <c r="W5470" s="413"/>
    </row>
    <row r="5471" spans="23:23" ht="24" customHeight="1">
      <c r="W5471" s="413"/>
    </row>
    <row r="5472" spans="23:23" ht="24" customHeight="1">
      <c r="W5472" s="413"/>
    </row>
    <row r="5473" spans="23:23" ht="24" customHeight="1">
      <c r="W5473" s="413"/>
    </row>
    <row r="5474" spans="23:23" ht="24" customHeight="1">
      <c r="W5474" s="413"/>
    </row>
    <row r="5475" spans="23:23" ht="24" customHeight="1">
      <c r="W5475" s="413"/>
    </row>
    <row r="5476" spans="23:23" ht="24" customHeight="1">
      <c r="W5476" s="413"/>
    </row>
    <row r="5477" spans="23:23" ht="24" customHeight="1">
      <c r="W5477" s="413"/>
    </row>
    <row r="5478" spans="23:23" ht="24" customHeight="1">
      <c r="W5478" s="413"/>
    </row>
    <row r="5479" spans="23:23" ht="24" customHeight="1">
      <c r="W5479" s="413"/>
    </row>
    <row r="5480" spans="23:23" ht="24" customHeight="1">
      <c r="W5480" s="413"/>
    </row>
    <row r="5481" spans="23:23" ht="24" customHeight="1">
      <c r="W5481" s="413"/>
    </row>
    <row r="5482" spans="23:23" ht="24" customHeight="1">
      <c r="W5482" s="413"/>
    </row>
    <row r="5483" spans="23:23" ht="24" customHeight="1">
      <c r="W5483" s="413"/>
    </row>
    <row r="5484" spans="23:23" ht="24" customHeight="1">
      <c r="W5484" s="413"/>
    </row>
    <row r="5485" spans="23:23" ht="24" customHeight="1">
      <c r="W5485" s="413"/>
    </row>
    <row r="5486" spans="23:23" ht="24" customHeight="1">
      <c r="W5486" s="413"/>
    </row>
    <row r="5487" spans="23:23" ht="24" customHeight="1">
      <c r="W5487" s="413"/>
    </row>
    <row r="5488" spans="23:23" ht="24" customHeight="1">
      <c r="W5488" s="413"/>
    </row>
    <row r="5489" spans="23:23" ht="24" customHeight="1">
      <c r="W5489" s="413"/>
    </row>
    <row r="5490" spans="23:23" ht="24" customHeight="1">
      <c r="W5490" s="413"/>
    </row>
    <row r="5491" spans="23:23" ht="24" customHeight="1">
      <c r="W5491" s="413"/>
    </row>
    <row r="5492" spans="23:23" ht="24" customHeight="1">
      <c r="W5492" s="413"/>
    </row>
    <row r="5493" spans="23:23" ht="24" customHeight="1">
      <c r="W5493" s="413"/>
    </row>
    <row r="5494" spans="23:23" ht="24" customHeight="1">
      <c r="W5494" s="413"/>
    </row>
    <row r="5495" spans="23:23" ht="24" customHeight="1">
      <c r="W5495" s="413"/>
    </row>
    <row r="5496" spans="23:23" ht="24" customHeight="1">
      <c r="W5496" s="413"/>
    </row>
    <row r="5497" spans="23:23" ht="24" customHeight="1">
      <c r="W5497" s="413"/>
    </row>
    <row r="5498" spans="23:23" ht="24" customHeight="1">
      <c r="W5498" s="413"/>
    </row>
    <row r="5499" spans="23:23" ht="24" customHeight="1">
      <c r="W5499" s="413"/>
    </row>
    <row r="5500" spans="23:23" ht="24" customHeight="1">
      <c r="W5500" s="413"/>
    </row>
    <row r="5501" spans="23:23" ht="24" customHeight="1">
      <c r="W5501" s="413"/>
    </row>
    <row r="5502" spans="23:23" ht="24" customHeight="1">
      <c r="W5502" s="413"/>
    </row>
    <row r="5503" spans="23:23" ht="24" customHeight="1">
      <c r="W5503" s="413"/>
    </row>
    <row r="5504" spans="23:23" ht="24" customHeight="1">
      <c r="W5504" s="413"/>
    </row>
    <row r="5505" spans="23:23" ht="24" customHeight="1">
      <c r="W5505" s="413"/>
    </row>
    <row r="5506" spans="23:23" ht="24" customHeight="1">
      <c r="W5506" s="413"/>
    </row>
    <row r="5507" spans="23:23" ht="24" customHeight="1">
      <c r="W5507" s="413"/>
    </row>
    <row r="5508" spans="23:23" ht="24" customHeight="1">
      <c r="W5508" s="413"/>
    </row>
    <row r="5509" spans="23:23" ht="24" customHeight="1">
      <c r="W5509" s="413"/>
    </row>
    <row r="5510" spans="23:23" ht="24" customHeight="1">
      <c r="W5510" s="413"/>
    </row>
    <row r="5511" spans="23:23" ht="24" customHeight="1">
      <c r="W5511" s="413"/>
    </row>
    <row r="5512" spans="23:23" ht="24" customHeight="1">
      <c r="W5512" s="413"/>
    </row>
    <row r="5513" spans="23:23" ht="24" customHeight="1">
      <c r="W5513" s="413"/>
    </row>
    <row r="5514" spans="23:23" ht="24" customHeight="1">
      <c r="W5514" s="413"/>
    </row>
    <row r="5515" spans="23:23" ht="24" customHeight="1">
      <c r="W5515" s="413"/>
    </row>
    <row r="5516" spans="23:23" ht="24" customHeight="1">
      <c r="W5516" s="413"/>
    </row>
    <row r="5517" spans="23:23" ht="24" customHeight="1">
      <c r="W5517" s="413"/>
    </row>
    <row r="5518" spans="23:23" ht="24" customHeight="1">
      <c r="W5518" s="413"/>
    </row>
    <row r="5519" spans="23:23" ht="24" customHeight="1">
      <c r="W5519" s="413"/>
    </row>
    <row r="5520" spans="23:23" ht="24" customHeight="1">
      <c r="W5520" s="413"/>
    </row>
    <row r="5521" spans="23:23" ht="24" customHeight="1">
      <c r="W5521" s="413"/>
    </row>
    <row r="5522" spans="23:23" ht="24" customHeight="1">
      <c r="W5522" s="413"/>
    </row>
    <row r="5523" spans="23:23" ht="24" customHeight="1">
      <c r="W5523" s="413"/>
    </row>
    <row r="5524" spans="23:23" ht="24" customHeight="1">
      <c r="W5524" s="413"/>
    </row>
    <row r="5525" spans="23:23" ht="24" customHeight="1">
      <c r="W5525" s="413"/>
    </row>
    <row r="5526" spans="23:23" ht="24" customHeight="1">
      <c r="W5526" s="413"/>
    </row>
    <row r="5527" spans="23:23" ht="24" customHeight="1">
      <c r="W5527" s="413"/>
    </row>
    <row r="5528" spans="23:23" ht="24" customHeight="1">
      <c r="W5528" s="413"/>
    </row>
    <row r="5529" spans="23:23" ht="24" customHeight="1">
      <c r="W5529" s="413"/>
    </row>
    <row r="5530" spans="23:23" ht="24" customHeight="1">
      <c r="W5530" s="413"/>
    </row>
    <row r="5531" spans="23:23" ht="24" customHeight="1">
      <c r="W5531" s="413"/>
    </row>
    <row r="5532" spans="23:23" ht="24" customHeight="1">
      <c r="W5532" s="413"/>
    </row>
    <row r="5533" spans="23:23" ht="24" customHeight="1">
      <c r="W5533" s="413"/>
    </row>
    <row r="5534" spans="23:23" ht="24" customHeight="1">
      <c r="W5534" s="413"/>
    </row>
    <row r="5535" spans="23:23" ht="24" customHeight="1">
      <c r="W5535" s="413"/>
    </row>
    <row r="5536" spans="23:23" ht="24" customHeight="1">
      <c r="W5536" s="413"/>
    </row>
    <row r="5537" spans="23:23" ht="24" customHeight="1">
      <c r="W5537" s="413"/>
    </row>
    <row r="5538" spans="23:23" ht="24" customHeight="1">
      <c r="W5538" s="413"/>
    </row>
    <row r="5539" spans="23:23" ht="24" customHeight="1">
      <c r="W5539" s="413"/>
    </row>
    <row r="5540" spans="23:23" ht="24" customHeight="1">
      <c r="W5540" s="413"/>
    </row>
    <row r="5541" spans="23:23" ht="24" customHeight="1">
      <c r="W5541" s="413"/>
    </row>
    <row r="5542" spans="23:23" ht="24" customHeight="1">
      <c r="W5542" s="413"/>
    </row>
    <row r="5543" spans="23:23" ht="24" customHeight="1">
      <c r="W5543" s="413"/>
    </row>
    <row r="5544" spans="23:23" ht="24" customHeight="1">
      <c r="W5544" s="413"/>
    </row>
    <row r="5545" spans="23:23" ht="24" customHeight="1">
      <c r="W5545" s="413"/>
    </row>
    <row r="5546" spans="23:23" ht="24" customHeight="1">
      <c r="W5546" s="413"/>
    </row>
    <row r="5547" spans="23:23" ht="24" customHeight="1">
      <c r="W5547" s="413"/>
    </row>
    <row r="5548" spans="23:23" ht="24" customHeight="1">
      <c r="W5548" s="413"/>
    </row>
    <row r="5549" spans="23:23" ht="24" customHeight="1">
      <c r="W5549" s="413"/>
    </row>
    <row r="5550" spans="23:23" ht="24" customHeight="1">
      <c r="W5550" s="413"/>
    </row>
    <row r="5551" spans="23:23" ht="24" customHeight="1">
      <c r="W5551" s="413"/>
    </row>
    <row r="5552" spans="23:23" ht="24" customHeight="1">
      <c r="W5552" s="413"/>
    </row>
    <row r="5553" spans="23:23" ht="24" customHeight="1">
      <c r="W5553" s="413"/>
    </row>
    <row r="5554" spans="23:23" ht="24" customHeight="1">
      <c r="W5554" s="413"/>
    </row>
    <row r="5555" spans="23:23" ht="24" customHeight="1">
      <c r="W5555" s="413"/>
    </row>
    <row r="5556" spans="23:23" ht="24" customHeight="1">
      <c r="W5556" s="413"/>
    </row>
    <row r="5557" spans="23:23" ht="24" customHeight="1">
      <c r="W5557" s="413"/>
    </row>
    <row r="5558" spans="23:23" ht="24" customHeight="1">
      <c r="W5558" s="413"/>
    </row>
    <row r="5559" spans="23:23" ht="24" customHeight="1">
      <c r="W5559" s="413"/>
    </row>
    <row r="5560" spans="23:23" ht="24" customHeight="1">
      <c r="W5560" s="413"/>
    </row>
    <row r="5561" spans="23:23" ht="24" customHeight="1">
      <c r="W5561" s="413"/>
    </row>
    <row r="5562" spans="23:23" ht="24" customHeight="1">
      <c r="W5562" s="413"/>
    </row>
    <row r="5563" spans="23:23" ht="24" customHeight="1">
      <c r="W5563" s="413"/>
    </row>
    <row r="5564" spans="23:23" ht="24" customHeight="1">
      <c r="W5564" s="413"/>
    </row>
    <row r="5565" spans="23:23" ht="24" customHeight="1">
      <c r="W5565" s="413"/>
    </row>
    <row r="5566" spans="23:23" ht="24" customHeight="1">
      <c r="W5566" s="413"/>
    </row>
    <row r="5567" spans="23:23" ht="24" customHeight="1">
      <c r="W5567" s="413"/>
    </row>
    <row r="5568" spans="23:23" ht="24" customHeight="1">
      <c r="W5568" s="413"/>
    </row>
    <row r="5569" spans="23:23" ht="24" customHeight="1">
      <c r="W5569" s="413"/>
    </row>
    <row r="5570" spans="23:23" ht="24" customHeight="1">
      <c r="W5570" s="413"/>
    </row>
    <row r="5571" spans="23:23" ht="24" customHeight="1">
      <c r="W5571" s="413"/>
    </row>
    <row r="5572" spans="23:23" ht="24" customHeight="1">
      <c r="W5572" s="413"/>
    </row>
    <row r="5573" spans="23:23" ht="24" customHeight="1">
      <c r="W5573" s="413"/>
    </row>
    <row r="5574" spans="23:23" ht="24" customHeight="1">
      <c r="W5574" s="413"/>
    </row>
    <row r="5575" spans="23:23" ht="24" customHeight="1">
      <c r="W5575" s="413"/>
    </row>
    <row r="5576" spans="23:23" ht="24" customHeight="1">
      <c r="W5576" s="413"/>
    </row>
    <row r="5577" spans="23:23" ht="24" customHeight="1">
      <c r="W5577" s="413"/>
    </row>
    <row r="5578" spans="23:23" ht="24" customHeight="1">
      <c r="W5578" s="413"/>
    </row>
    <row r="5579" spans="23:23" ht="24" customHeight="1">
      <c r="W5579" s="413"/>
    </row>
    <row r="5580" spans="23:23" ht="24" customHeight="1">
      <c r="W5580" s="413"/>
    </row>
    <row r="5581" spans="23:23" ht="24" customHeight="1">
      <c r="W5581" s="413"/>
    </row>
    <row r="5582" spans="23:23" ht="24" customHeight="1">
      <c r="W5582" s="413"/>
    </row>
    <row r="5583" spans="23:23" ht="24" customHeight="1">
      <c r="W5583" s="413"/>
    </row>
    <row r="5584" spans="23:23" ht="24" customHeight="1">
      <c r="W5584" s="413"/>
    </row>
    <row r="5585" spans="23:23" ht="24" customHeight="1">
      <c r="W5585" s="413"/>
    </row>
    <row r="5586" spans="23:23" ht="24" customHeight="1">
      <c r="W5586" s="413"/>
    </row>
    <row r="5587" spans="23:23" ht="24" customHeight="1">
      <c r="W5587" s="413"/>
    </row>
    <row r="5588" spans="23:23" ht="24" customHeight="1">
      <c r="W5588" s="413"/>
    </row>
    <row r="5589" spans="23:23" ht="24" customHeight="1">
      <c r="W5589" s="413"/>
    </row>
    <row r="5590" spans="23:23" ht="24" customHeight="1">
      <c r="W5590" s="413"/>
    </row>
    <row r="5591" spans="23:23" ht="24" customHeight="1">
      <c r="W5591" s="413"/>
    </row>
    <row r="5592" spans="23:23" ht="24" customHeight="1">
      <c r="W5592" s="413"/>
    </row>
    <row r="5593" spans="23:23" ht="24" customHeight="1">
      <c r="W5593" s="413"/>
    </row>
    <row r="5594" spans="23:23" ht="24" customHeight="1">
      <c r="W5594" s="413"/>
    </row>
    <row r="5595" spans="23:23" ht="24" customHeight="1">
      <c r="W5595" s="413"/>
    </row>
    <row r="5596" spans="23:23" ht="24" customHeight="1">
      <c r="W5596" s="413"/>
    </row>
    <row r="5597" spans="23:23" ht="24" customHeight="1">
      <c r="W5597" s="413"/>
    </row>
    <row r="5598" spans="23:23" ht="24" customHeight="1">
      <c r="W5598" s="413"/>
    </row>
    <row r="5599" spans="23:23" ht="24" customHeight="1">
      <c r="W5599" s="413"/>
    </row>
    <row r="5600" spans="23:23" ht="24" customHeight="1">
      <c r="W5600" s="413"/>
    </row>
    <row r="5601" spans="23:23" ht="24" customHeight="1">
      <c r="W5601" s="413"/>
    </row>
    <row r="5602" spans="23:23" ht="24" customHeight="1">
      <c r="W5602" s="413"/>
    </row>
    <row r="5603" spans="23:23" ht="24" customHeight="1">
      <c r="W5603" s="413"/>
    </row>
    <row r="5604" spans="23:23" ht="24" customHeight="1">
      <c r="W5604" s="413"/>
    </row>
    <row r="5605" spans="23:23" ht="24" customHeight="1">
      <c r="W5605" s="413"/>
    </row>
    <row r="5606" spans="23:23" ht="24" customHeight="1">
      <c r="W5606" s="413"/>
    </row>
    <row r="5607" spans="23:23" ht="24" customHeight="1">
      <c r="W5607" s="413"/>
    </row>
    <row r="5608" spans="23:23" ht="24" customHeight="1">
      <c r="W5608" s="413"/>
    </row>
    <row r="5609" spans="23:23" ht="24" customHeight="1">
      <c r="W5609" s="413"/>
    </row>
    <row r="5610" spans="23:23" ht="24" customHeight="1">
      <c r="W5610" s="413"/>
    </row>
    <row r="5611" spans="23:23" ht="24" customHeight="1">
      <c r="W5611" s="413"/>
    </row>
    <row r="5612" spans="23:23" ht="24" customHeight="1">
      <c r="W5612" s="413"/>
    </row>
    <row r="5613" spans="23:23" ht="24" customHeight="1">
      <c r="W5613" s="413"/>
    </row>
    <row r="5614" spans="23:23" ht="24" customHeight="1">
      <c r="W5614" s="413"/>
    </row>
    <row r="5615" spans="23:23" ht="24" customHeight="1">
      <c r="W5615" s="413"/>
    </row>
    <row r="5616" spans="23:23" ht="24" customHeight="1">
      <c r="W5616" s="413"/>
    </row>
    <row r="5617" spans="23:23" ht="24" customHeight="1">
      <c r="W5617" s="413"/>
    </row>
    <row r="5618" spans="23:23" ht="24" customHeight="1">
      <c r="W5618" s="413"/>
    </row>
    <row r="5619" spans="23:23" ht="24" customHeight="1">
      <c r="W5619" s="413"/>
    </row>
    <row r="5620" spans="23:23" ht="24" customHeight="1">
      <c r="W5620" s="413"/>
    </row>
    <row r="5621" spans="23:23" ht="24" customHeight="1">
      <c r="W5621" s="413"/>
    </row>
    <row r="5622" spans="23:23" ht="24" customHeight="1">
      <c r="W5622" s="413"/>
    </row>
    <row r="5623" spans="23:23" ht="24" customHeight="1">
      <c r="W5623" s="413"/>
    </row>
    <row r="5624" spans="23:23" ht="24" customHeight="1">
      <c r="W5624" s="413"/>
    </row>
    <row r="5625" spans="23:23" ht="24" customHeight="1">
      <c r="W5625" s="413"/>
    </row>
    <row r="5626" spans="23:23" ht="24" customHeight="1">
      <c r="W5626" s="413"/>
    </row>
    <row r="5627" spans="23:23" ht="24" customHeight="1">
      <c r="W5627" s="413"/>
    </row>
    <row r="5628" spans="23:23" ht="24" customHeight="1">
      <c r="W5628" s="413"/>
    </row>
    <row r="5629" spans="23:23" ht="24" customHeight="1">
      <c r="W5629" s="413"/>
    </row>
    <row r="5630" spans="23:23" ht="24" customHeight="1">
      <c r="W5630" s="413"/>
    </row>
    <row r="5631" spans="23:23" ht="24" customHeight="1">
      <c r="W5631" s="413"/>
    </row>
    <row r="5632" spans="23:23" ht="24" customHeight="1">
      <c r="W5632" s="413"/>
    </row>
    <row r="5633" spans="23:23" ht="24" customHeight="1">
      <c r="W5633" s="413"/>
    </row>
    <row r="5634" spans="23:23" ht="24" customHeight="1">
      <c r="W5634" s="413"/>
    </row>
    <row r="5635" spans="23:23" ht="24" customHeight="1">
      <c r="W5635" s="413"/>
    </row>
    <row r="5636" spans="23:23" ht="24" customHeight="1">
      <c r="W5636" s="413"/>
    </row>
    <row r="5637" spans="23:23" ht="24" customHeight="1">
      <c r="W5637" s="413"/>
    </row>
    <row r="5638" spans="23:23" ht="24" customHeight="1">
      <c r="W5638" s="413"/>
    </row>
    <row r="5639" spans="23:23" ht="24" customHeight="1">
      <c r="W5639" s="413"/>
    </row>
    <row r="5640" spans="23:23" ht="24" customHeight="1">
      <c r="W5640" s="413"/>
    </row>
    <row r="5641" spans="23:23" ht="24" customHeight="1">
      <c r="W5641" s="413"/>
    </row>
    <row r="5642" spans="23:23" ht="24" customHeight="1">
      <c r="W5642" s="413"/>
    </row>
    <row r="5643" spans="23:23" ht="24" customHeight="1">
      <c r="W5643" s="413"/>
    </row>
    <row r="5644" spans="23:23" ht="24" customHeight="1">
      <c r="W5644" s="413"/>
    </row>
    <row r="5645" spans="23:23" ht="24" customHeight="1">
      <c r="W5645" s="413"/>
    </row>
    <row r="5646" spans="23:23" ht="24" customHeight="1">
      <c r="W5646" s="413"/>
    </row>
    <row r="5647" spans="23:23" ht="24" customHeight="1">
      <c r="W5647" s="413"/>
    </row>
    <row r="5648" spans="23:23" ht="24" customHeight="1">
      <c r="W5648" s="413"/>
    </row>
    <row r="5649" spans="23:23" ht="24" customHeight="1">
      <c r="W5649" s="413"/>
    </row>
    <row r="5650" spans="23:23" ht="24" customHeight="1">
      <c r="W5650" s="413"/>
    </row>
    <row r="5651" spans="23:23" ht="24" customHeight="1">
      <c r="W5651" s="413"/>
    </row>
    <row r="5652" spans="23:23" ht="24" customHeight="1">
      <c r="W5652" s="413"/>
    </row>
    <row r="5653" spans="23:23" ht="24" customHeight="1">
      <c r="W5653" s="413"/>
    </row>
    <row r="5654" spans="23:23" ht="24" customHeight="1">
      <c r="W5654" s="413"/>
    </row>
    <row r="5655" spans="23:23" ht="24" customHeight="1">
      <c r="W5655" s="413"/>
    </row>
    <row r="5656" spans="23:23" ht="24" customHeight="1">
      <c r="W5656" s="413"/>
    </row>
    <row r="5657" spans="23:23" ht="24" customHeight="1">
      <c r="W5657" s="413"/>
    </row>
    <row r="5658" spans="23:23" ht="24" customHeight="1">
      <c r="W5658" s="413"/>
    </row>
    <row r="5659" spans="23:23" ht="24" customHeight="1">
      <c r="W5659" s="413"/>
    </row>
    <row r="5660" spans="23:23" ht="24" customHeight="1">
      <c r="W5660" s="413"/>
    </row>
    <row r="5661" spans="23:23" ht="24" customHeight="1">
      <c r="W5661" s="413"/>
    </row>
    <row r="5662" spans="23:23" ht="24" customHeight="1">
      <c r="W5662" s="413"/>
    </row>
    <row r="5663" spans="23:23" ht="24" customHeight="1">
      <c r="W5663" s="413"/>
    </row>
    <row r="5664" spans="23:23" ht="24" customHeight="1">
      <c r="W5664" s="413"/>
    </row>
    <row r="5665" spans="23:23" ht="24" customHeight="1">
      <c r="W5665" s="413"/>
    </row>
    <row r="5666" spans="23:23" ht="24" customHeight="1">
      <c r="W5666" s="413"/>
    </row>
    <row r="5667" spans="23:23" ht="24" customHeight="1">
      <c r="W5667" s="413"/>
    </row>
    <row r="5668" spans="23:23" ht="24" customHeight="1">
      <c r="W5668" s="413"/>
    </row>
    <row r="5669" spans="23:23" ht="24" customHeight="1">
      <c r="W5669" s="413"/>
    </row>
    <row r="5670" spans="23:23" ht="24" customHeight="1">
      <c r="W5670" s="413"/>
    </row>
    <row r="5671" spans="23:23" ht="24" customHeight="1">
      <c r="W5671" s="413"/>
    </row>
    <row r="5672" spans="23:23" ht="24" customHeight="1">
      <c r="W5672" s="413"/>
    </row>
    <row r="5673" spans="23:23" ht="24" customHeight="1">
      <c r="W5673" s="413"/>
    </row>
    <row r="5674" spans="23:23" ht="24" customHeight="1">
      <c r="W5674" s="413"/>
    </row>
    <row r="5675" spans="23:23" ht="24" customHeight="1">
      <c r="W5675" s="413"/>
    </row>
    <row r="5676" spans="23:23" ht="24" customHeight="1">
      <c r="W5676" s="413"/>
    </row>
    <row r="5677" spans="23:23" ht="24" customHeight="1">
      <c r="W5677" s="413"/>
    </row>
    <row r="5678" spans="23:23" ht="24" customHeight="1">
      <c r="W5678" s="413"/>
    </row>
    <row r="5679" spans="23:23" ht="24" customHeight="1">
      <c r="W5679" s="413"/>
    </row>
    <row r="5680" spans="23:23" ht="24" customHeight="1">
      <c r="W5680" s="413"/>
    </row>
    <row r="5681" spans="23:23" ht="24" customHeight="1">
      <c r="W5681" s="413"/>
    </row>
    <row r="5682" spans="23:23" ht="24" customHeight="1">
      <c r="W5682" s="413"/>
    </row>
    <row r="5683" spans="23:23" ht="24" customHeight="1">
      <c r="W5683" s="413"/>
    </row>
    <row r="5684" spans="23:23" ht="24" customHeight="1">
      <c r="W5684" s="413"/>
    </row>
    <row r="5685" spans="23:23" ht="24" customHeight="1">
      <c r="W5685" s="413"/>
    </row>
    <row r="5686" spans="23:23" ht="24" customHeight="1">
      <c r="W5686" s="413"/>
    </row>
    <row r="5687" spans="23:23" ht="24" customHeight="1">
      <c r="W5687" s="413"/>
    </row>
    <row r="5688" spans="23:23" ht="24" customHeight="1">
      <c r="W5688" s="413"/>
    </row>
    <row r="5689" spans="23:23" ht="24" customHeight="1">
      <c r="W5689" s="413"/>
    </row>
    <row r="5690" spans="23:23" ht="24" customHeight="1">
      <c r="W5690" s="413"/>
    </row>
    <row r="5691" spans="23:23" ht="24" customHeight="1">
      <c r="W5691" s="413"/>
    </row>
    <row r="5692" spans="23:23" ht="24" customHeight="1">
      <c r="W5692" s="413"/>
    </row>
    <row r="5693" spans="23:23" ht="24" customHeight="1">
      <c r="W5693" s="413"/>
    </row>
    <row r="5694" spans="23:23" ht="24" customHeight="1">
      <c r="W5694" s="413"/>
    </row>
    <row r="5695" spans="23:23" ht="24" customHeight="1">
      <c r="W5695" s="413"/>
    </row>
    <row r="5696" spans="23:23" ht="24" customHeight="1">
      <c r="W5696" s="413"/>
    </row>
    <row r="5697" spans="23:23" ht="24" customHeight="1">
      <c r="W5697" s="413"/>
    </row>
    <row r="5698" spans="23:23" ht="24" customHeight="1">
      <c r="W5698" s="413"/>
    </row>
    <row r="5699" spans="23:23" ht="24" customHeight="1">
      <c r="W5699" s="413"/>
    </row>
    <row r="5700" spans="23:23" ht="24" customHeight="1">
      <c r="W5700" s="413"/>
    </row>
    <row r="5701" spans="23:23" ht="24" customHeight="1">
      <c r="W5701" s="413"/>
    </row>
    <row r="5702" spans="23:23" ht="24" customHeight="1">
      <c r="W5702" s="413"/>
    </row>
    <row r="5703" spans="23:23" ht="24" customHeight="1">
      <c r="W5703" s="413"/>
    </row>
    <row r="5704" spans="23:23" ht="24" customHeight="1">
      <c r="W5704" s="413"/>
    </row>
    <row r="5705" spans="23:23" ht="24" customHeight="1">
      <c r="W5705" s="413"/>
    </row>
    <row r="5706" spans="23:23" ht="24" customHeight="1">
      <c r="W5706" s="413"/>
    </row>
    <row r="5707" spans="23:23" ht="24" customHeight="1">
      <c r="W5707" s="413"/>
    </row>
    <row r="5708" spans="23:23" ht="24" customHeight="1">
      <c r="W5708" s="413"/>
    </row>
    <row r="5709" spans="23:23" ht="24" customHeight="1">
      <c r="W5709" s="413"/>
    </row>
    <row r="5710" spans="23:23" ht="24" customHeight="1">
      <c r="W5710" s="413"/>
    </row>
    <row r="5711" spans="23:23" ht="24" customHeight="1">
      <c r="W5711" s="413"/>
    </row>
    <row r="5712" spans="23:23" ht="24" customHeight="1">
      <c r="W5712" s="413"/>
    </row>
    <row r="5713" spans="23:23" ht="24" customHeight="1">
      <c r="W5713" s="413"/>
    </row>
    <row r="5714" spans="23:23" ht="24" customHeight="1">
      <c r="W5714" s="413"/>
    </row>
    <row r="5715" spans="23:23" ht="24" customHeight="1">
      <c r="W5715" s="413"/>
    </row>
    <row r="5716" spans="23:23" ht="24" customHeight="1">
      <c r="W5716" s="413"/>
    </row>
    <row r="5717" spans="23:23" ht="24" customHeight="1">
      <c r="W5717" s="413"/>
    </row>
    <row r="5718" spans="23:23" ht="24" customHeight="1">
      <c r="W5718" s="413"/>
    </row>
    <row r="5719" spans="23:23" ht="24" customHeight="1">
      <c r="W5719" s="413"/>
    </row>
    <row r="5720" spans="23:23" ht="24" customHeight="1">
      <c r="W5720" s="413"/>
    </row>
    <row r="5721" spans="23:23" ht="24" customHeight="1">
      <c r="W5721" s="413"/>
    </row>
    <row r="5722" spans="23:23" ht="24" customHeight="1">
      <c r="W5722" s="413"/>
    </row>
    <row r="5723" spans="23:23" ht="24" customHeight="1">
      <c r="W5723" s="413"/>
    </row>
    <row r="5724" spans="23:23" ht="24" customHeight="1">
      <c r="W5724" s="413"/>
    </row>
    <row r="5725" spans="23:23" ht="24" customHeight="1">
      <c r="W5725" s="413"/>
    </row>
    <row r="5726" spans="23:23" ht="24" customHeight="1">
      <c r="W5726" s="413"/>
    </row>
    <row r="5727" spans="23:23" ht="24" customHeight="1">
      <c r="W5727" s="413"/>
    </row>
    <row r="5728" spans="23:23" ht="24" customHeight="1">
      <c r="W5728" s="413"/>
    </row>
    <row r="5729" spans="23:23" ht="24" customHeight="1">
      <c r="W5729" s="413"/>
    </row>
    <row r="5730" spans="23:23" ht="24" customHeight="1">
      <c r="W5730" s="413"/>
    </row>
    <row r="5731" spans="23:23" ht="24" customHeight="1">
      <c r="W5731" s="413"/>
    </row>
    <row r="5732" spans="23:23" ht="24" customHeight="1">
      <c r="W5732" s="413"/>
    </row>
    <row r="5733" spans="23:23" ht="24" customHeight="1">
      <c r="W5733" s="413"/>
    </row>
    <row r="5734" spans="23:23" ht="24" customHeight="1">
      <c r="W5734" s="413"/>
    </row>
    <row r="5735" spans="23:23" ht="24" customHeight="1">
      <c r="W5735" s="413"/>
    </row>
    <row r="5736" spans="23:23" ht="24" customHeight="1">
      <c r="W5736" s="413"/>
    </row>
    <row r="5737" spans="23:23" ht="24" customHeight="1">
      <c r="W5737" s="413"/>
    </row>
    <row r="5738" spans="23:23" ht="24" customHeight="1">
      <c r="W5738" s="413"/>
    </row>
    <row r="5739" spans="23:23" ht="24" customHeight="1">
      <c r="W5739" s="413"/>
    </row>
    <row r="5740" spans="23:23" ht="24" customHeight="1">
      <c r="W5740" s="413"/>
    </row>
    <row r="5741" spans="23:23" ht="24" customHeight="1">
      <c r="W5741" s="413"/>
    </row>
    <row r="5742" spans="23:23" ht="24" customHeight="1">
      <c r="W5742" s="413"/>
    </row>
    <row r="5743" spans="23:23" ht="24" customHeight="1">
      <c r="W5743" s="413"/>
    </row>
    <row r="5744" spans="23:23" ht="24" customHeight="1">
      <c r="W5744" s="413"/>
    </row>
    <row r="5745" spans="23:23" ht="24" customHeight="1">
      <c r="W5745" s="413"/>
    </row>
    <row r="5746" spans="23:23" ht="24" customHeight="1">
      <c r="W5746" s="413"/>
    </row>
    <row r="5747" spans="23:23" ht="24" customHeight="1">
      <c r="W5747" s="413"/>
    </row>
    <row r="5748" spans="23:23" ht="24" customHeight="1">
      <c r="W5748" s="413"/>
    </row>
    <row r="5749" spans="23:23" ht="24" customHeight="1">
      <c r="W5749" s="413"/>
    </row>
    <row r="5750" spans="23:23" ht="24" customHeight="1">
      <c r="W5750" s="413"/>
    </row>
    <row r="5751" spans="23:23" ht="24" customHeight="1">
      <c r="W5751" s="413"/>
    </row>
    <row r="5752" spans="23:23" ht="24" customHeight="1">
      <c r="W5752" s="413"/>
    </row>
    <row r="5753" spans="23:23" ht="24" customHeight="1">
      <c r="W5753" s="413"/>
    </row>
    <row r="5754" spans="23:23" ht="24" customHeight="1">
      <c r="W5754" s="413"/>
    </row>
    <row r="5755" spans="23:23" ht="24" customHeight="1">
      <c r="W5755" s="413"/>
    </row>
    <row r="5756" spans="23:23" ht="24" customHeight="1">
      <c r="W5756" s="413"/>
    </row>
    <row r="5757" spans="23:23" ht="24" customHeight="1">
      <c r="W5757" s="413"/>
    </row>
    <row r="5758" spans="23:23" ht="24" customHeight="1">
      <c r="W5758" s="413"/>
    </row>
    <row r="5759" spans="23:23" ht="24" customHeight="1">
      <c r="W5759" s="413"/>
    </row>
    <row r="5760" spans="23:23" ht="24" customHeight="1">
      <c r="W5760" s="413"/>
    </row>
    <row r="5761" spans="23:23" ht="24" customHeight="1">
      <c r="W5761" s="413"/>
    </row>
    <row r="5762" spans="23:23" ht="24" customHeight="1">
      <c r="W5762" s="413"/>
    </row>
    <row r="5763" spans="23:23" ht="24" customHeight="1">
      <c r="W5763" s="413"/>
    </row>
    <row r="5764" spans="23:23" ht="24" customHeight="1">
      <c r="W5764" s="413"/>
    </row>
    <row r="5765" spans="23:23" ht="24" customHeight="1">
      <c r="W5765" s="413"/>
    </row>
    <row r="5766" spans="23:23" ht="24" customHeight="1">
      <c r="W5766" s="413"/>
    </row>
    <row r="5767" spans="23:23" ht="24" customHeight="1">
      <c r="W5767" s="413"/>
    </row>
    <row r="5768" spans="23:23" ht="24" customHeight="1">
      <c r="W5768" s="413"/>
    </row>
    <row r="5769" spans="23:23" ht="24" customHeight="1">
      <c r="W5769" s="413"/>
    </row>
    <row r="5770" spans="23:23" ht="24" customHeight="1">
      <c r="W5770" s="413"/>
    </row>
    <row r="5771" spans="23:23" ht="24" customHeight="1">
      <c r="W5771" s="413"/>
    </row>
    <row r="5772" spans="23:23" ht="24" customHeight="1">
      <c r="W5772" s="413"/>
    </row>
    <row r="5773" spans="23:23" ht="24" customHeight="1">
      <c r="W5773" s="413"/>
    </row>
    <row r="5774" spans="23:23" ht="24" customHeight="1">
      <c r="W5774" s="413"/>
    </row>
    <row r="5775" spans="23:23" ht="24" customHeight="1">
      <c r="W5775" s="413"/>
    </row>
    <row r="5776" spans="23:23" ht="24" customHeight="1">
      <c r="W5776" s="413"/>
    </row>
    <row r="5777" spans="23:23" ht="24" customHeight="1">
      <c r="W5777" s="413"/>
    </row>
    <row r="5778" spans="23:23" ht="24" customHeight="1">
      <c r="W5778" s="413"/>
    </row>
    <row r="5779" spans="23:23" ht="24" customHeight="1">
      <c r="W5779" s="413"/>
    </row>
    <row r="5780" spans="23:23" ht="24" customHeight="1">
      <c r="W5780" s="413"/>
    </row>
    <row r="5781" spans="23:23" ht="24" customHeight="1">
      <c r="W5781" s="413"/>
    </row>
    <row r="5782" spans="23:23" ht="24" customHeight="1">
      <c r="W5782" s="413"/>
    </row>
    <row r="5783" spans="23:23" ht="24" customHeight="1">
      <c r="W5783" s="413"/>
    </row>
    <row r="5784" spans="23:23" ht="24" customHeight="1">
      <c r="W5784" s="413"/>
    </row>
    <row r="5785" spans="23:23" ht="24" customHeight="1">
      <c r="W5785" s="413"/>
    </row>
    <row r="5786" spans="23:23" ht="24" customHeight="1">
      <c r="W5786" s="413"/>
    </row>
    <row r="5787" spans="23:23" ht="24" customHeight="1">
      <c r="W5787" s="413"/>
    </row>
    <row r="5788" spans="23:23" ht="24" customHeight="1">
      <c r="W5788" s="413"/>
    </row>
    <row r="5789" spans="23:23" ht="24" customHeight="1">
      <c r="W5789" s="413"/>
    </row>
    <row r="5790" spans="23:23" ht="24" customHeight="1">
      <c r="W5790" s="413"/>
    </row>
    <row r="5791" spans="23:23" ht="24" customHeight="1">
      <c r="W5791" s="413"/>
    </row>
    <row r="5792" spans="23:23" ht="24" customHeight="1">
      <c r="W5792" s="413"/>
    </row>
    <row r="5793" spans="23:23" ht="24" customHeight="1">
      <c r="W5793" s="413"/>
    </row>
    <row r="5794" spans="23:23" ht="24" customHeight="1">
      <c r="W5794" s="413"/>
    </row>
    <row r="5795" spans="23:23" ht="24" customHeight="1">
      <c r="W5795" s="413"/>
    </row>
    <row r="5796" spans="23:23" ht="24" customHeight="1">
      <c r="W5796" s="413"/>
    </row>
    <row r="5797" spans="23:23" ht="24" customHeight="1">
      <c r="W5797" s="413"/>
    </row>
    <row r="5798" spans="23:23" ht="24" customHeight="1">
      <c r="W5798" s="413"/>
    </row>
    <row r="5799" spans="23:23" ht="24" customHeight="1">
      <c r="W5799" s="413"/>
    </row>
    <row r="5800" spans="23:23" ht="24" customHeight="1">
      <c r="W5800" s="413"/>
    </row>
    <row r="5801" spans="23:23" ht="24" customHeight="1">
      <c r="W5801" s="413"/>
    </row>
    <row r="5802" spans="23:23" ht="24" customHeight="1">
      <c r="W5802" s="413"/>
    </row>
    <row r="5803" spans="23:23" ht="24" customHeight="1">
      <c r="W5803" s="413"/>
    </row>
    <row r="5804" spans="23:23" ht="24" customHeight="1">
      <c r="W5804" s="413"/>
    </row>
    <row r="5805" spans="23:23" ht="24" customHeight="1">
      <c r="W5805" s="413"/>
    </row>
    <row r="5806" spans="23:23" ht="24" customHeight="1">
      <c r="W5806" s="413"/>
    </row>
    <row r="5807" spans="23:23" ht="24" customHeight="1">
      <c r="W5807" s="413"/>
    </row>
    <row r="5808" spans="23:23" ht="24" customHeight="1">
      <c r="W5808" s="413"/>
    </row>
    <row r="5809" spans="23:23" ht="24" customHeight="1">
      <c r="W5809" s="413"/>
    </row>
    <row r="5810" spans="23:23" ht="24" customHeight="1">
      <c r="W5810" s="413"/>
    </row>
    <row r="5811" spans="23:23" ht="24" customHeight="1">
      <c r="W5811" s="413"/>
    </row>
    <row r="5812" spans="23:23" ht="24" customHeight="1">
      <c r="W5812" s="413"/>
    </row>
    <row r="5813" spans="23:23" ht="24" customHeight="1">
      <c r="W5813" s="413"/>
    </row>
    <row r="5814" spans="23:23" ht="24" customHeight="1">
      <c r="W5814" s="413"/>
    </row>
    <row r="5815" spans="23:23" ht="24" customHeight="1">
      <c r="W5815" s="413"/>
    </row>
    <row r="5816" spans="23:23" ht="24" customHeight="1">
      <c r="W5816" s="413"/>
    </row>
    <row r="5817" spans="23:23" ht="24" customHeight="1">
      <c r="W5817" s="413"/>
    </row>
    <row r="5818" spans="23:23" ht="24" customHeight="1">
      <c r="W5818" s="413"/>
    </row>
    <row r="5819" spans="23:23" ht="24" customHeight="1">
      <c r="W5819" s="413"/>
    </row>
    <row r="5820" spans="23:23" ht="24" customHeight="1">
      <c r="W5820" s="413"/>
    </row>
    <row r="5821" spans="23:23" ht="24" customHeight="1">
      <c r="W5821" s="413"/>
    </row>
    <row r="5822" spans="23:23" ht="24" customHeight="1">
      <c r="W5822" s="413"/>
    </row>
    <row r="5823" spans="23:23" ht="24" customHeight="1">
      <c r="W5823" s="413"/>
    </row>
    <row r="5824" spans="23:23" ht="24" customHeight="1">
      <c r="W5824" s="413"/>
    </row>
    <row r="5825" spans="23:23" ht="24" customHeight="1">
      <c r="W5825" s="413"/>
    </row>
    <row r="5826" spans="23:23" ht="24" customHeight="1">
      <c r="W5826" s="413"/>
    </row>
    <row r="5827" spans="23:23" ht="24" customHeight="1">
      <c r="W5827" s="413"/>
    </row>
    <row r="5828" spans="23:23" ht="24" customHeight="1">
      <c r="W5828" s="413"/>
    </row>
    <row r="5829" spans="23:23" ht="24" customHeight="1">
      <c r="W5829" s="413"/>
    </row>
    <row r="5830" spans="23:23" ht="24" customHeight="1">
      <c r="W5830" s="413"/>
    </row>
    <row r="5831" spans="23:23" ht="24" customHeight="1">
      <c r="W5831" s="413"/>
    </row>
    <row r="5832" spans="23:23" ht="24" customHeight="1">
      <c r="W5832" s="413"/>
    </row>
    <row r="5833" spans="23:23" ht="24" customHeight="1">
      <c r="W5833" s="413"/>
    </row>
    <row r="5834" spans="23:23" ht="24" customHeight="1">
      <c r="W5834" s="413"/>
    </row>
    <row r="5835" spans="23:23" ht="24" customHeight="1">
      <c r="W5835" s="413"/>
    </row>
    <row r="5836" spans="23:23" ht="24" customHeight="1">
      <c r="W5836" s="413"/>
    </row>
    <row r="5837" spans="23:23" ht="24" customHeight="1">
      <c r="W5837" s="413"/>
    </row>
    <row r="5838" spans="23:23" ht="24" customHeight="1">
      <c r="W5838" s="413"/>
    </row>
    <row r="5839" spans="23:23" ht="24" customHeight="1">
      <c r="W5839" s="413"/>
    </row>
    <row r="5840" spans="23:23" ht="24" customHeight="1">
      <c r="W5840" s="413"/>
    </row>
    <row r="5841" spans="23:23" ht="24" customHeight="1">
      <c r="W5841" s="413"/>
    </row>
    <row r="5842" spans="23:23" ht="24" customHeight="1">
      <c r="W5842" s="413"/>
    </row>
    <row r="5843" spans="23:23" ht="24" customHeight="1">
      <c r="W5843" s="413"/>
    </row>
    <row r="5844" spans="23:23" ht="24" customHeight="1">
      <c r="W5844" s="413"/>
    </row>
    <row r="5845" spans="23:23" ht="24" customHeight="1">
      <c r="W5845" s="413"/>
    </row>
    <row r="5846" spans="23:23" ht="24" customHeight="1">
      <c r="W5846" s="413"/>
    </row>
    <row r="5847" spans="23:23" ht="24" customHeight="1">
      <c r="W5847" s="413"/>
    </row>
    <row r="5848" spans="23:23" ht="24" customHeight="1">
      <c r="W5848" s="413"/>
    </row>
    <row r="5849" spans="23:23" ht="24" customHeight="1">
      <c r="W5849" s="413"/>
    </row>
    <row r="5850" spans="23:23" ht="24" customHeight="1">
      <c r="W5850" s="413"/>
    </row>
    <row r="5851" spans="23:23" ht="24" customHeight="1">
      <c r="W5851" s="413"/>
    </row>
    <row r="5852" spans="23:23" ht="24" customHeight="1">
      <c r="W5852" s="413"/>
    </row>
    <row r="5853" spans="23:23" ht="24" customHeight="1">
      <c r="W5853" s="413"/>
    </row>
    <row r="5854" spans="23:23" ht="24" customHeight="1">
      <c r="W5854" s="413"/>
    </row>
    <row r="5855" spans="23:23" ht="24" customHeight="1">
      <c r="W5855" s="413"/>
    </row>
    <row r="5856" spans="23:23" ht="24" customHeight="1">
      <c r="W5856" s="413"/>
    </row>
    <row r="5857" spans="23:23" ht="24" customHeight="1">
      <c r="W5857" s="413"/>
    </row>
    <row r="5858" spans="23:23" ht="24" customHeight="1">
      <c r="W5858" s="413"/>
    </row>
    <row r="5859" spans="23:23" ht="24" customHeight="1">
      <c r="W5859" s="413"/>
    </row>
    <row r="5860" spans="23:23" ht="24" customHeight="1">
      <c r="W5860" s="413"/>
    </row>
    <row r="5861" spans="23:23" ht="24" customHeight="1">
      <c r="W5861" s="413"/>
    </row>
    <row r="5862" spans="23:23" ht="24" customHeight="1">
      <c r="W5862" s="413"/>
    </row>
    <row r="5863" spans="23:23" ht="24" customHeight="1">
      <c r="W5863" s="413"/>
    </row>
    <row r="5864" spans="23:23" ht="24" customHeight="1">
      <c r="W5864" s="413"/>
    </row>
    <row r="5865" spans="23:23" ht="24" customHeight="1">
      <c r="W5865" s="413"/>
    </row>
    <row r="5866" spans="23:23" ht="24" customHeight="1">
      <c r="W5866" s="413"/>
    </row>
    <row r="5867" spans="23:23" ht="24" customHeight="1">
      <c r="W5867" s="413"/>
    </row>
    <row r="5868" spans="23:23" ht="24" customHeight="1">
      <c r="W5868" s="413"/>
    </row>
    <row r="5869" spans="23:23" ht="24" customHeight="1">
      <c r="W5869" s="413"/>
    </row>
    <row r="5870" spans="23:23" ht="24" customHeight="1">
      <c r="W5870" s="413"/>
    </row>
    <row r="5871" spans="23:23" ht="24" customHeight="1">
      <c r="W5871" s="413"/>
    </row>
    <row r="5872" spans="23:23" ht="24" customHeight="1">
      <c r="W5872" s="413"/>
    </row>
    <row r="5873" spans="23:23" ht="24" customHeight="1">
      <c r="W5873" s="413"/>
    </row>
    <row r="5874" spans="23:23" ht="24" customHeight="1">
      <c r="W5874" s="413"/>
    </row>
    <row r="5875" spans="23:23" ht="24" customHeight="1">
      <c r="W5875" s="413"/>
    </row>
    <row r="5876" spans="23:23" ht="24" customHeight="1">
      <c r="W5876" s="413"/>
    </row>
    <row r="5877" spans="23:23" ht="24" customHeight="1">
      <c r="W5877" s="413"/>
    </row>
    <row r="5878" spans="23:23" ht="24" customHeight="1">
      <c r="W5878" s="413"/>
    </row>
    <row r="5879" spans="23:23" ht="24" customHeight="1">
      <c r="W5879" s="413"/>
    </row>
    <row r="5880" spans="23:23" ht="24" customHeight="1">
      <c r="W5880" s="413"/>
    </row>
    <row r="5881" spans="23:23" ht="24" customHeight="1">
      <c r="W5881" s="413"/>
    </row>
    <row r="5882" spans="23:23" ht="24" customHeight="1">
      <c r="W5882" s="413"/>
    </row>
    <row r="5883" spans="23:23" ht="24" customHeight="1">
      <c r="W5883" s="413"/>
    </row>
    <row r="5884" spans="23:23" ht="24" customHeight="1">
      <c r="W5884" s="413"/>
    </row>
    <row r="5885" spans="23:23" ht="24" customHeight="1">
      <c r="W5885" s="413"/>
    </row>
    <row r="5886" spans="23:23" ht="24" customHeight="1">
      <c r="W5886" s="413"/>
    </row>
    <row r="5887" spans="23:23" ht="24" customHeight="1">
      <c r="W5887" s="413"/>
    </row>
    <row r="5888" spans="23:23" ht="24" customHeight="1">
      <c r="W5888" s="413"/>
    </row>
    <row r="5889" spans="23:23" ht="24" customHeight="1">
      <c r="W5889" s="413"/>
    </row>
    <row r="5890" spans="23:23" ht="24" customHeight="1">
      <c r="W5890" s="413"/>
    </row>
    <row r="5891" spans="23:23" ht="24" customHeight="1">
      <c r="W5891" s="413"/>
    </row>
    <row r="5892" spans="23:23" ht="24" customHeight="1">
      <c r="W5892" s="413"/>
    </row>
    <row r="5893" spans="23:23" ht="24" customHeight="1">
      <c r="W5893" s="413"/>
    </row>
    <row r="5894" spans="23:23" ht="24" customHeight="1">
      <c r="W5894" s="413"/>
    </row>
    <row r="5895" spans="23:23" ht="24" customHeight="1">
      <c r="W5895" s="413"/>
    </row>
    <row r="5896" spans="23:23" ht="24" customHeight="1">
      <c r="W5896" s="413"/>
    </row>
    <row r="5897" spans="23:23" ht="24" customHeight="1">
      <c r="W5897" s="413"/>
    </row>
    <row r="5898" spans="23:23" ht="24" customHeight="1">
      <c r="W5898" s="413"/>
    </row>
    <row r="5899" spans="23:23" ht="24" customHeight="1">
      <c r="W5899" s="413"/>
    </row>
    <row r="5900" spans="23:23" ht="24" customHeight="1">
      <c r="W5900" s="413"/>
    </row>
    <row r="5901" spans="23:23" ht="24" customHeight="1">
      <c r="W5901" s="413"/>
    </row>
    <row r="5902" spans="23:23" ht="24" customHeight="1">
      <c r="W5902" s="413"/>
    </row>
    <row r="5903" spans="23:23" ht="24" customHeight="1">
      <c r="W5903" s="413"/>
    </row>
    <row r="5904" spans="23:23" ht="24" customHeight="1">
      <c r="W5904" s="413"/>
    </row>
    <row r="5905" spans="23:23" ht="24" customHeight="1">
      <c r="W5905" s="413"/>
    </row>
    <row r="5906" spans="23:23" ht="24" customHeight="1">
      <c r="W5906" s="413"/>
    </row>
    <row r="5907" spans="23:23" ht="24" customHeight="1">
      <c r="W5907" s="413"/>
    </row>
    <row r="5908" spans="23:23" ht="24" customHeight="1">
      <c r="W5908" s="413"/>
    </row>
    <row r="5909" spans="23:23" ht="24" customHeight="1">
      <c r="W5909" s="413"/>
    </row>
    <row r="5910" spans="23:23" ht="24" customHeight="1">
      <c r="W5910" s="413"/>
    </row>
    <row r="5911" spans="23:23" ht="24" customHeight="1">
      <c r="W5911" s="413"/>
    </row>
    <row r="5912" spans="23:23" ht="24" customHeight="1">
      <c r="W5912" s="413"/>
    </row>
    <row r="5913" spans="23:23" ht="24" customHeight="1">
      <c r="W5913" s="413"/>
    </row>
    <row r="5914" spans="23:23" ht="24" customHeight="1">
      <c r="W5914" s="413"/>
    </row>
    <row r="5915" spans="23:23" ht="24" customHeight="1">
      <c r="W5915" s="413"/>
    </row>
    <row r="5916" spans="23:23" ht="24" customHeight="1">
      <c r="W5916" s="413"/>
    </row>
    <row r="5917" spans="23:23" ht="24" customHeight="1">
      <c r="W5917" s="413"/>
    </row>
    <row r="5918" spans="23:23" ht="24" customHeight="1">
      <c r="W5918" s="413"/>
    </row>
    <row r="5919" spans="23:23" ht="24" customHeight="1">
      <c r="W5919" s="413"/>
    </row>
    <row r="5920" spans="23:23" ht="24" customHeight="1">
      <c r="W5920" s="413"/>
    </row>
    <row r="5921" spans="23:23" ht="24" customHeight="1">
      <c r="W5921" s="413"/>
    </row>
    <row r="5922" spans="23:23" ht="24" customHeight="1">
      <c r="W5922" s="413"/>
    </row>
    <row r="5923" spans="23:23" ht="24" customHeight="1">
      <c r="W5923" s="413"/>
    </row>
    <row r="5924" spans="23:23" ht="24" customHeight="1">
      <c r="W5924" s="413"/>
    </row>
    <row r="5925" spans="23:23" ht="24" customHeight="1">
      <c r="W5925" s="413"/>
    </row>
    <row r="5926" spans="23:23" ht="24" customHeight="1">
      <c r="W5926" s="413"/>
    </row>
    <row r="5927" spans="23:23" ht="24" customHeight="1">
      <c r="W5927" s="413"/>
    </row>
    <row r="5928" spans="23:23" ht="24" customHeight="1">
      <c r="W5928" s="413"/>
    </row>
    <row r="5929" spans="23:23" ht="24" customHeight="1">
      <c r="W5929" s="413"/>
    </row>
    <row r="5930" spans="23:23" ht="24" customHeight="1">
      <c r="W5930" s="413"/>
    </row>
    <row r="5931" spans="23:23" ht="24" customHeight="1">
      <c r="W5931" s="413"/>
    </row>
    <row r="5932" spans="23:23" ht="24" customHeight="1">
      <c r="W5932" s="413"/>
    </row>
    <row r="5933" spans="23:23" ht="24" customHeight="1">
      <c r="W5933" s="413"/>
    </row>
    <row r="5934" spans="23:23" ht="24" customHeight="1">
      <c r="W5934" s="413"/>
    </row>
    <row r="5935" spans="23:23" ht="24" customHeight="1">
      <c r="W5935" s="413"/>
    </row>
    <row r="5936" spans="23:23" ht="24" customHeight="1">
      <c r="W5936" s="413"/>
    </row>
    <row r="5937" spans="23:23" ht="24" customHeight="1">
      <c r="W5937" s="413"/>
    </row>
    <row r="5938" spans="23:23" ht="24" customHeight="1">
      <c r="W5938" s="413"/>
    </row>
    <row r="5939" spans="23:23" ht="24" customHeight="1">
      <c r="W5939" s="413"/>
    </row>
    <row r="5940" spans="23:23" ht="24" customHeight="1">
      <c r="W5940" s="413"/>
    </row>
    <row r="5941" spans="23:23" ht="24" customHeight="1">
      <c r="W5941" s="413"/>
    </row>
    <row r="5942" spans="23:23" ht="24" customHeight="1">
      <c r="W5942" s="413"/>
    </row>
    <row r="5943" spans="23:23" ht="24" customHeight="1">
      <c r="W5943" s="413"/>
    </row>
    <row r="5944" spans="23:23" ht="24" customHeight="1">
      <c r="W5944" s="413"/>
    </row>
    <row r="5945" spans="23:23" ht="24" customHeight="1">
      <c r="W5945" s="413"/>
    </row>
    <row r="5946" spans="23:23" ht="24" customHeight="1">
      <c r="W5946" s="413"/>
    </row>
    <row r="5947" spans="23:23" ht="24" customHeight="1">
      <c r="W5947" s="413"/>
    </row>
    <row r="5948" spans="23:23" ht="24" customHeight="1">
      <c r="W5948" s="413"/>
    </row>
    <row r="5949" spans="23:23" ht="24" customHeight="1">
      <c r="W5949" s="413"/>
    </row>
    <row r="5950" spans="23:23" ht="24" customHeight="1">
      <c r="W5950" s="413"/>
    </row>
    <row r="5951" spans="23:23" ht="24" customHeight="1">
      <c r="W5951" s="413"/>
    </row>
    <row r="5952" spans="23:23" ht="24" customHeight="1">
      <c r="W5952" s="413"/>
    </row>
    <row r="5953" spans="23:23" ht="24" customHeight="1">
      <c r="W5953" s="413"/>
    </row>
    <row r="5954" spans="23:23" ht="24" customHeight="1">
      <c r="W5954" s="413"/>
    </row>
    <row r="5955" spans="23:23" ht="24" customHeight="1">
      <c r="W5955" s="413"/>
    </row>
    <row r="5956" spans="23:23" ht="24" customHeight="1">
      <c r="W5956" s="413"/>
    </row>
    <row r="5957" spans="23:23" ht="24" customHeight="1">
      <c r="W5957" s="413"/>
    </row>
    <row r="5958" spans="23:23" ht="24" customHeight="1">
      <c r="W5958" s="413"/>
    </row>
    <row r="5959" spans="23:23" ht="24" customHeight="1">
      <c r="W5959" s="413"/>
    </row>
    <row r="5960" spans="23:23" ht="24" customHeight="1">
      <c r="W5960" s="413"/>
    </row>
    <row r="5961" spans="23:23" ht="24" customHeight="1">
      <c r="W5961" s="413"/>
    </row>
    <row r="5962" spans="23:23" ht="24" customHeight="1">
      <c r="W5962" s="413"/>
    </row>
    <row r="5963" spans="23:23" ht="24" customHeight="1">
      <c r="W5963" s="413"/>
    </row>
    <row r="5964" spans="23:23" ht="24" customHeight="1">
      <c r="W5964" s="413"/>
    </row>
    <row r="5965" spans="23:23" ht="24" customHeight="1">
      <c r="W5965" s="413"/>
    </row>
    <row r="5966" spans="23:23" ht="24" customHeight="1">
      <c r="W5966" s="413"/>
    </row>
    <row r="5967" spans="23:23" ht="24" customHeight="1">
      <c r="W5967" s="413"/>
    </row>
    <row r="5968" spans="23:23" ht="24" customHeight="1">
      <c r="W5968" s="413"/>
    </row>
    <row r="5969" spans="23:23" ht="24" customHeight="1">
      <c r="W5969" s="413"/>
    </row>
    <row r="5970" spans="23:23" ht="24" customHeight="1">
      <c r="W5970" s="413"/>
    </row>
    <row r="5971" spans="23:23" ht="24" customHeight="1">
      <c r="W5971" s="413"/>
    </row>
    <row r="5972" spans="23:23" ht="24" customHeight="1">
      <c r="W5972" s="413"/>
    </row>
    <row r="5973" spans="23:23" ht="24" customHeight="1">
      <c r="W5973" s="413"/>
    </row>
    <row r="5974" spans="23:23" ht="24" customHeight="1">
      <c r="W5974" s="413"/>
    </row>
    <row r="5975" spans="23:23" ht="24" customHeight="1">
      <c r="W5975" s="413"/>
    </row>
    <row r="5976" spans="23:23" ht="24" customHeight="1">
      <c r="W5976" s="413"/>
    </row>
    <row r="5977" spans="23:23" ht="24" customHeight="1">
      <c r="W5977" s="413"/>
    </row>
    <row r="5978" spans="23:23" ht="24" customHeight="1">
      <c r="W5978" s="413"/>
    </row>
    <row r="5979" spans="23:23" ht="24" customHeight="1">
      <c r="W5979" s="413"/>
    </row>
    <row r="5980" spans="23:23" ht="24" customHeight="1">
      <c r="W5980" s="413"/>
    </row>
    <row r="5981" spans="23:23" ht="24" customHeight="1">
      <c r="W5981" s="413"/>
    </row>
    <row r="5982" spans="23:23" ht="24" customHeight="1">
      <c r="W5982" s="413"/>
    </row>
    <row r="5983" spans="23:23" ht="24" customHeight="1">
      <c r="W5983" s="413"/>
    </row>
    <row r="5984" spans="23:23" ht="24" customHeight="1">
      <c r="W5984" s="413"/>
    </row>
    <row r="5985" spans="23:23" ht="24" customHeight="1">
      <c r="W5985" s="413"/>
    </row>
    <row r="5986" spans="23:23" ht="24" customHeight="1">
      <c r="W5986" s="413"/>
    </row>
    <row r="5987" spans="23:23" ht="24" customHeight="1">
      <c r="W5987" s="413"/>
    </row>
    <row r="5988" spans="23:23" ht="24" customHeight="1">
      <c r="W5988" s="413"/>
    </row>
    <row r="5989" spans="23:23" ht="24" customHeight="1">
      <c r="W5989" s="413"/>
    </row>
    <row r="5990" spans="23:23" ht="24" customHeight="1">
      <c r="W5990" s="413"/>
    </row>
    <row r="5991" spans="23:23" ht="24" customHeight="1">
      <c r="W5991" s="413"/>
    </row>
    <row r="5992" spans="23:23" ht="24" customHeight="1">
      <c r="W5992" s="413"/>
    </row>
    <row r="5993" spans="23:23" ht="24" customHeight="1">
      <c r="W5993" s="413"/>
    </row>
    <row r="5994" spans="23:23" ht="24" customHeight="1">
      <c r="W5994" s="413"/>
    </row>
    <row r="5995" spans="23:23" ht="24" customHeight="1">
      <c r="W5995" s="413"/>
    </row>
    <row r="5996" spans="23:23" ht="24" customHeight="1">
      <c r="W5996" s="413"/>
    </row>
    <row r="5997" spans="23:23" ht="24" customHeight="1">
      <c r="W5997" s="413"/>
    </row>
    <row r="5998" spans="23:23" ht="24" customHeight="1">
      <c r="W5998" s="413"/>
    </row>
    <row r="5999" spans="23:23" ht="24" customHeight="1">
      <c r="W5999" s="413"/>
    </row>
    <row r="6000" spans="23:23" ht="24" customHeight="1">
      <c r="W6000" s="413"/>
    </row>
    <row r="6001" spans="23:23" ht="24" customHeight="1">
      <c r="W6001" s="413"/>
    </row>
    <row r="6002" spans="23:23" ht="24" customHeight="1">
      <c r="W6002" s="413"/>
    </row>
    <row r="6003" spans="23:23" ht="24" customHeight="1">
      <c r="W6003" s="413"/>
    </row>
    <row r="6004" spans="23:23" ht="24" customHeight="1">
      <c r="W6004" s="413"/>
    </row>
    <row r="6005" spans="23:23" ht="24" customHeight="1">
      <c r="W6005" s="413"/>
    </row>
    <row r="6006" spans="23:23" ht="24" customHeight="1">
      <c r="W6006" s="413"/>
    </row>
    <row r="6007" spans="23:23" ht="24" customHeight="1">
      <c r="W6007" s="413"/>
    </row>
    <row r="6008" spans="23:23" ht="24" customHeight="1">
      <c r="W6008" s="413"/>
    </row>
    <row r="6009" spans="23:23" ht="24" customHeight="1">
      <c r="W6009" s="413"/>
    </row>
    <row r="6010" spans="23:23" ht="24" customHeight="1">
      <c r="W6010" s="413"/>
    </row>
    <row r="6011" spans="23:23" ht="24" customHeight="1">
      <c r="W6011" s="413"/>
    </row>
    <row r="6012" spans="23:23" ht="24" customHeight="1">
      <c r="W6012" s="413"/>
    </row>
    <row r="6013" spans="23:23" ht="24" customHeight="1">
      <c r="W6013" s="413"/>
    </row>
    <row r="6014" spans="23:23" ht="24" customHeight="1">
      <c r="W6014" s="413"/>
    </row>
    <row r="6015" spans="23:23" ht="24" customHeight="1">
      <c r="W6015" s="413"/>
    </row>
    <row r="6016" spans="23:23" ht="24" customHeight="1">
      <c r="W6016" s="413"/>
    </row>
    <row r="6017" spans="23:23" ht="24" customHeight="1">
      <c r="W6017" s="413"/>
    </row>
    <row r="6018" spans="23:23" ht="24" customHeight="1">
      <c r="W6018" s="413"/>
    </row>
    <row r="6019" spans="23:23" ht="24" customHeight="1">
      <c r="W6019" s="413"/>
    </row>
    <row r="6020" spans="23:23" ht="24" customHeight="1">
      <c r="W6020" s="413"/>
    </row>
    <row r="6021" spans="23:23" ht="24" customHeight="1">
      <c r="W6021" s="413"/>
    </row>
    <row r="6022" spans="23:23" ht="24" customHeight="1">
      <c r="W6022" s="413"/>
    </row>
    <row r="6023" spans="23:23" ht="24" customHeight="1">
      <c r="W6023" s="413"/>
    </row>
    <row r="6024" spans="23:23" ht="24" customHeight="1">
      <c r="W6024" s="413"/>
    </row>
    <row r="6025" spans="23:23" ht="24" customHeight="1">
      <c r="W6025" s="413"/>
    </row>
    <row r="6026" spans="23:23" ht="24" customHeight="1">
      <c r="W6026" s="413"/>
    </row>
    <row r="6027" spans="23:23" ht="24" customHeight="1">
      <c r="W6027" s="413"/>
    </row>
    <row r="6028" spans="23:23" ht="24" customHeight="1">
      <c r="W6028" s="413"/>
    </row>
    <row r="6029" spans="23:23" ht="24" customHeight="1">
      <c r="W6029" s="413"/>
    </row>
    <row r="6030" spans="23:23" ht="24" customHeight="1">
      <c r="W6030" s="413"/>
    </row>
    <row r="6031" spans="23:23" ht="24" customHeight="1">
      <c r="W6031" s="413"/>
    </row>
    <row r="6032" spans="23:23" ht="24" customHeight="1">
      <c r="W6032" s="413"/>
    </row>
    <row r="6033" spans="23:23" ht="24" customHeight="1">
      <c r="W6033" s="413"/>
    </row>
    <row r="6034" spans="23:23" ht="24" customHeight="1">
      <c r="W6034" s="413"/>
    </row>
    <row r="6035" spans="23:23" ht="24" customHeight="1">
      <c r="W6035" s="413"/>
    </row>
    <row r="6036" spans="23:23" ht="24" customHeight="1">
      <c r="W6036" s="413"/>
    </row>
    <row r="6037" spans="23:23" ht="24" customHeight="1">
      <c r="W6037" s="413"/>
    </row>
    <row r="6038" spans="23:23" ht="24" customHeight="1">
      <c r="W6038" s="413"/>
    </row>
    <row r="6039" spans="23:23" ht="24" customHeight="1">
      <c r="W6039" s="413"/>
    </row>
    <row r="6040" spans="23:23" ht="24" customHeight="1">
      <c r="W6040" s="413"/>
    </row>
    <row r="6041" spans="23:23" ht="24" customHeight="1">
      <c r="W6041" s="413"/>
    </row>
    <row r="6042" spans="23:23" ht="24" customHeight="1">
      <c r="W6042" s="413"/>
    </row>
    <row r="6043" spans="23:23" ht="24" customHeight="1">
      <c r="W6043" s="413"/>
    </row>
    <row r="6044" spans="23:23" ht="24" customHeight="1">
      <c r="W6044" s="413"/>
    </row>
    <row r="6045" spans="23:23" ht="24" customHeight="1">
      <c r="W6045" s="413"/>
    </row>
    <row r="6046" spans="23:23" ht="24" customHeight="1">
      <c r="W6046" s="413"/>
    </row>
    <row r="6047" spans="23:23" ht="24" customHeight="1">
      <c r="W6047" s="413"/>
    </row>
    <row r="6048" spans="23:23" ht="24" customHeight="1">
      <c r="W6048" s="413"/>
    </row>
    <row r="6049" spans="23:23" ht="24" customHeight="1">
      <c r="W6049" s="413"/>
    </row>
    <row r="6050" spans="23:23" ht="24" customHeight="1">
      <c r="W6050" s="413"/>
    </row>
    <row r="6051" spans="23:23" ht="24" customHeight="1">
      <c r="W6051" s="413"/>
    </row>
    <row r="6052" spans="23:23" ht="24" customHeight="1">
      <c r="W6052" s="413"/>
    </row>
    <row r="6053" spans="23:23" ht="24" customHeight="1">
      <c r="W6053" s="413"/>
    </row>
    <row r="6054" spans="23:23" ht="24" customHeight="1">
      <c r="W6054" s="413"/>
    </row>
    <row r="6055" spans="23:23" ht="24" customHeight="1">
      <c r="W6055" s="413"/>
    </row>
    <row r="6056" spans="23:23" ht="24" customHeight="1">
      <c r="W6056" s="413"/>
    </row>
    <row r="6057" spans="23:23" ht="24" customHeight="1">
      <c r="W6057" s="413"/>
    </row>
    <row r="6058" spans="23:23" ht="24" customHeight="1">
      <c r="W6058" s="413"/>
    </row>
    <row r="6059" spans="23:23" ht="24" customHeight="1">
      <c r="W6059" s="413"/>
    </row>
    <row r="6060" spans="23:23" ht="24" customHeight="1">
      <c r="W6060" s="413"/>
    </row>
    <row r="6061" spans="23:23" ht="24" customHeight="1">
      <c r="W6061" s="413"/>
    </row>
    <row r="6062" spans="23:23" ht="24" customHeight="1">
      <c r="W6062" s="413"/>
    </row>
    <row r="6063" spans="23:23" ht="24" customHeight="1">
      <c r="W6063" s="413"/>
    </row>
    <row r="6064" spans="23:23" ht="24" customHeight="1">
      <c r="W6064" s="413"/>
    </row>
    <row r="6065" spans="23:23" ht="24" customHeight="1">
      <c r="W6065" s="413"/>
    </row>
    <row r="6066" spans="23:23" ht="24" customHeight="1">
      <c r="W6066" s="413"/>
    </row>
    <row r="6067" spans="23:23" ht="24" customHeight="1">
      <c r="W6067" s="413"/>
    </row>
    <row r="6068" spans="23:23" ht="24" customHeight="1">
      <c r="W6068" s="413"/>
    </row>
    <row r="6069" spans="23:23" ht="24" customHeight="1">
      <c r="W6069" s="413"/>
    </row>
    <row r="6070" spans="23:23" ht="24" customHeight="1">
      <c r="W6070" s="413"/>
    </row>
    <row r="6071" spans="23:23" ht="24" customHeight="1">
      <c r="W6071" s="413"/>
    </row>
    <row r="6072" spans="23:23" ht="24" customHeight="1">
      <c r="W6072" s="413"/>
    </row>
    <row r="6073" spans="23:23" ht="24" customHeight="1">
      <c r="W6073" s="413"/>
    </row>
    <row r="6074" spans="23:23" ht="24" customHeight="1">
      <c r="W6074" s="413"/>
    </row>
    <row r="6075" spans="23:23" ht="24" customHeight="1">
      <c r="W6075" s="413"/>
    </row>
    <row r="6076" spans="23:23" ht="24" customHeight="1">
      <c r="W6076" s="413"/>
    </row>
    <row r="6077" spans="23:23" ht="24" customHeight="1">
      <c r="W6077" s="413"/>
    </row>
    <row r="6078" spans="23:23" ht="24" customHeight="1">
      <c r="W6078" s="413"/>
    </row>
    <row r="6079" spans="23:23" ht="24" customHeight="1">
      <c r="W6079" s="413"/>
    </row>
    <row r="6080" spans="23:23" ht="24" customHeight="1">
      <c r="W6080" s="413"/>
    </row>
    <row r="6081" spans="23:23" ht="24" customHeight="1">
      <c r="W6081" s="413"/>
    </row>
    <row r="6082" spans="23:23" ht="24" customHeight="1">
      <c r="W6082" s="413"/>
    </row>
    <row r="6083" spans="23:23" ht="24" customHeight="1">
      <c r="W6083" s="413"/>
    </row>
    <row r="6084" spans="23:23" ht="24" customHeight="1">
      <c r="W6084" s="413"/>
    </row>
    <row r="6085" spans="23:23" ht="24" customHeight="1">
      <c r="W6085" s="413"/>
    </row>
    <row r="6086" spans="23:23" ht="24" customHeight="1">
      <c r="W6086" s="413"/>
    </row>
    <row r="6087" spans="23:23" ht="24" customHeight="1">
      <c r="W6087" s="413"/>
    </row>
    <row r="6088" spans="23:23" ht="24" customHeight="1">
      <c r="W6088" s="413"/>
    </row>
    <row r="6089" spans="23:23" ht="24" customHeight="1">
      <c r="W6089" s="413"/>
    </row>
    <row r="6090" spans="23:23" ht="24" customHeight="1">
      <c r="W6090" s="413"/>
    </row>
    <row r="6091" spans="23:23" ht="24" customHeight="1">
      <c r="W6091" s="413"/>
    </row>
    <row r="6092" spans="23:23" ht="24" customHeight="1">
      <c r="W6092" s="413"/>
    </row>
    <row r="6093" spans="23:23" ht="24" customHeight="1">
      <c r="W6093" s="413"/>
    </row>
    <row r="6094" spans="23:23" ht="24" customHeight="1">
      <c r="W6094" s="413"/>
    </row>
    <row r="6095" spans="23:23" ht="24" customHeight="1">
      <c r="W6095" s="413"/>
    </row>
    <row r="6096" spans="23:23" ht="24" customHeight="1">
      <c r="W6096" s="413"/>
    </row>
    <row r="6097" spans="23:23" ht="24" customHeight="1">
      <c r="W6097" s="413"/>
    </row>
    <row r="6098" spans="23:23" ht="24" customHeight="1">
      <c r="W6098" s="413"/>
    </row>
    <row r="6099" spans="23:23" ht="24" customHeight="1">
      <c r="W6099" s="413"/>
    </row>
    <row r="6100" spans="23:23" ht="24" customHeight="1">
      <c r="W6100" s="413"/>
    </row>
    <row r="6101" spans="23:23" ht="24" customHeight="1">
      <c r="W6101" s="413"/>
    </row>
    <row r="6102" spans="23:23" ht="24" customHeight="1">
      <c r="W6102" s="413"/>
    </row>
    <row r="6103" spans="23:23" ht="24" customHeight="1">
      <c r="W6103" s="413"/>
    </row>
    <row r="6104" spans="23:23" ht="24" customHeight="1">
      <c r="W6104" s="413"/>
    </row>
    <row r="6105" spans="23:23" ht="24" customHeight="1">
      <c r="W6105" s="413"/>
    </row>
    <row r="6106" spans="23:23" ht="24" customHeight="1">
      <c r="W6106" s="413"/>
    </row>
    <row r="6107" spans="23:23" ht="24" customHeight="1">
      <c r="W6107" s="413"/>
    </row>
    <row r="6108" spans="23:23" ht="24" customHeight="1">
      <c r="W6108" s="413"/>
    </row>
    <row r="6109" spans="23:23" ht="24" customHeight="1">
      <c r="W6109" s="413"/>
    </row>
    <row r="6110" spans="23:23" ht="24" customHeight="1">
      <c r="W6110" s="413"/>
    </row>
    <row r="6111" spans="23:23" ht="24" customHeight="1">
      <c r="W6111" s="413"/>
    </row>
    <row r="6112" spans="23:23" ht="24" customHeight="1">
      <c r="W6112" s="413"/>
    </row>
    <row r="6113" spans="23:23" ht="24" customHeight="1">
      <c r="W6113" s="413"/>
    </row>
    <row r="6114" spans="23:23" ht="24" customHeight="1">
      <c r="W6114" s="413"/>
    </row>
    <row r="6115" spans="23:23" ht="24" customHeight="1">
      <c r="W6115" s="413"/>
    </row>
    <row r="6116" spans="23:23" ht="24" customHeight="1">
      <c r="W6116" s="413"/>
    </row>
    <row r="6117" spans="23:23" ht="24" customHeight="1">
      <c r="W6117" s="413"/>
    </row>
    <row r="6118" spans="23:23" ht="24" customHeight="1">
      <c r="W6118" s="413"/>
    </row>
    <row r="6119" spans="23:23" ht="24" customHeight="1">
      <c r="W6119" s="413"/>
    </row>
    <row r="6120" spans="23:23" ht="24" customHeight="1">
      <c r="W6120" s="413"/>
    </row>
    <row r="6121" spans="23:23" ht="24" customHeight="1">
      <c r="W6121" s="413"/>
    </row>
    <row r="6122" spans="23:23" ht="24" customHeight="1">
      <c r="W6122" s="413"/>
    </row>
    <row r="6123" spans="23:23" ht="24" customHeight="1">
      <c r="W6123" s="413"/>
    </row>
    <row r="6124" spans="23:23" ht="24" customHeight="1">
      <c r="W6124" s="413"/>
    </row>
    <row r="6125" spans="23:23" ht="24" customHeight="1">
      <c r="W6125" s="413"/>
    </row>
    <row r="6126" spans="23:23" ht="24" customHeight="1">
      <c r="W6126" s="413"/>
    </row>
    <row r="6127" spans="23:23" ht="24" customHeight="1">
      <c r="W6127" s="413"/>
    </row>
    <row r="6128" spans="23:23" ht="24" customHeight="1">
      <c r="W6128" s="413"/>
    </row>
    <row r="6129" spans="23:23" ht="24" customHeight="1">
      <c r="W6129" s="413"/>
    </row>
    <row r="6130" spans="23:23" ht="24" customHeight="1">
      <c r="W6130" s="413"/>
    </row>
    <row r="6131" spans="23:23" ht="24" customHeight="1">
      <c r="W6131" s="413"/>
    </row>
    <row r="6132" spans="23:23" ht="24" customHeight="1">
      <c r="W6132" s="413"/>
    </row>
    <row r="6133" spans="23:23" ht="24" customHeight="1">
      <c r="W6133" s="413"/>
    </row>
    <row r="6134" spans="23:23" ht="24" customHeight="1">
      <c r="W6134" s="413"/>
    </row>
    <row r="6135" spans="23:23" ht="24" customHeight="1">
      <c r="W6135" s="413"/>
    </row>
    <row r="6136" spans="23:23" ht="24" customHeight="1">
      <c r="W6136" s="413"/>
    </row>
    <row r="6137" spans="23:23" ht="24" customHeight="1">
      <c r="W6137" s="413"/>
    </row>
    <row r="6138" spans="23:23" ht="24" customHeight="1">
      <c r="W6138" s="413"/>
    </row>
    <row r="6139" spans="23:23" ht="24" customHeight="1">
      <c r="W6139" s="413"/>
    </row>
    <row r="6140" spans="23:23" ht="24" customHeight="1">
      <c r="W6140" s="413"/>
    </row>
    <row r="6141" spans="23:23" ht="24" customHeight="1">
      <c r="W6141" s="413"/>
    </row>
    <row r="6142" spans="23:23" ht="24" customHeight="1">
      <c r="W6142" s="413"/>
    </row>
    <row r="6143" spans="23:23" ht="24" customHeight="1">
      <c r="W6143" s="413"/>
    </row>
    <row r="6144" spans="23:23" ht="24" customHeight="1">
      <c r="W6144" s="413"/>
    </row>
    <row r="6145" spans="23:23" ht="24" customHeight="1">
      <c r="W6145" s="413"/>
    </row>
    <row r="6146" spans="23:23" ht="24" customHeight="1">
      <c r="W6146" s="413"/>
    </row>
    <row r="6147" spans="23:23" ht="24" customHeight="1">
      <c r="W6147" s="413"/>
    </row>
    <row r="6148" spans="23:23" ht="24" customHeight="1">
      <c r="W6148" s="413"/>
    </row>
    <row r="6149" spans="23:23" ht="24" customHeight="1">
      <c r="W6149" s="413"/>
    </row>
    <row r="6150" spans="23:23" ht="24" customHeight="1">
      <c r="W6150" s="413"/>
    </row>
    <row r="6151" spans="23:23" ht="24" customHeight="1">
      <c r="W6151" s="413"/>
    </row>
    <row r="6152" spans="23:23" ht="24" customHeight="1">
      <c r="W6152" s="413"/>
    </row>
    <row r="6153" spans="23:23" ht="24" customHeight="1">
      <c r="W6153" s="413"/>
    </row>
    <row r="6154" spans="23:23" ht="24" customHeight="1">
      <c r="W6154" s="413"/>
    </row>
    <row r="6155" spans="23:23" ht="24" customHeight="1">
      <c r="W6155" s="413"/>
    </row>
    <row r="6156" spans="23:23" ht="24" customHeight="1">
      <c r="W6156" s="413"/>
    </row>
    <row r="6157" spans="23:23" ht="24" customHeight="1">
      <c r="W6157" s="413"/>
    </row>
    <row r="6158" spans="23:23" ht="24" customHeight="1">
      <c r="W6158" s="413"/>
    </row>
    <row r="6159" spans="23:23" ht="24" customHeight="1">
      <c r="W6159" s="413"/>
    </row>
    <row r="6160" spans="23:23" ht="24" customHeight="1">
      <c r="W6160" s="413"/>
    </row>
    <row r="6161" spans="23:23" ht="24" customHeight="1">
      <c r="W6161" s="413"/>
    </row>
    <row r="6162" spans="23:23" ht="24" customHeight="1">
      <c r="W6162" s="413"/>
    </row>
    <row r="6163" spans="23:23" ht="24" customHeight="1">
      <c r="W6163" s="413"/>
    </row>
    <row r="6164" spans="23:23" ht="24" customHeight="1">
      <c r="W6164" s="413"/>
    </row>
    <row r="6165" spans="23:23" ht="24" customHeight="1">
      <c r="W6165" s="413"/>
    </row>
    <row r="6166" spans="23:23" ht="24" customHeight="1">
      <c r="W6166" s="413"/>
    </row>
    <row r="6167" spans="23:23" ht="24" customHeight="1">
      <c r="W6167" s="413"/>
    </row>
    <row r="6168" spans="23:23" ht="24" customHeight="1">
      <c r="W6168" s="413"/>
    </row>
    <row r="6169" spans="23:23" ht="24" customHeight="1">
      <c r="W6169" s="413"/>
    </row>
    <row r="6170" spans="23:23" ht="24" customHeight="1">
      <c r="W6170" s="413"/>
    </row>
    <row r="6171" spans="23:23" ht="24" customHeight="1">
      <c r="W6171" s="413"/>
    </row>
    <row r="6172" spans="23:23" ht="24" customHeight="1">
      <c r="W6172" s="413"/>
    </row>
    <row r="6173" spans="23:23" ht="24" customHeight="1">
      <c r="W6173" s="413"/>
    </row>
    <row r="6174" spans="23:23" ht="24" customHeight="1">
      <c r="W6174" s="413"/>
    </row>
    <row r="6175" spans="23:23" ht="24" customHeight="1">
      <c r="W6175" s="413"/>
    </row>
    <row r="6176" spans="23:23" ht="24" customHeight="1">
      <c r="W6176" s="413"/>
    </row>
    <row r="6177" spans="23:23" ht="24" customHeight="1">
      <c r="W6177" s="413"/>
    </row>
    <row r="6178" spans="23:23" ht="24" customHeight="1">
      <c r="W6178" s="413"/>
    </row>
    <row r="6179" spans="23:23" ht="24" customHeight="1">
      <c r="W6179" s="413"/>
    </row>
    <row r="6180" spans="23:23" ht="24" customHeight="1">
      <c r="W6180" s="413"/>
    </row>
    <row r="6181" spans="23:23" ht="24" customHeight="1">
      <c r="W6181" s="413"/>
    </row>
    <row r="6182" spans="23:23" ht="24" customHeight="1">
      <c r="W6182" s="413"/>
    </row>
    <row r="6183" spans="23:23" ht="24" customHeight="1">
      <c r="W6183" s="413"/>
    </row>
    <row r="6184" spans="23:23" ht="24" customHeight="1">
      <c r="W6184" s="413"/>
    </row>
    <row r="6185" spans="23:23" ht="24" customHeight="1">
      <c r="W6185" s="413"/>
    </row>
    <row r="6186" spans="23:23" ht="24" customHeight="1">
      <c r="W6186" s="413"/>
    </row>
    <row r="6187" spans="23:23" ht="24" customHeight="1">
      <c r="W6187" s="413"/>
    </row>
    <row r="6188" spans="23:23" ht="24" customHeight="1">
      <c r="W6188" s="413"/>
    </row>
    <row r="6189" spans="23:23" ht="24" customHeight="1">
      <c r="W6189" s="413"/>
    </row>
    <row r="6190" spans="23:23" ht="24" customHeight="1">
      <c r="W6190" s="413"/>
    </row>
    <row r="6191" spans="23:23" ht="24" customHeight="1">
      <c r="W6191" s="413"/>
    </row>
    <row r="6192" spans="23:23" ht="24" customHeight="1">
      <c r="W6192" s="413"/>
    </row>
    <row r="6193" spans="23:23" ht="24" customHeight="1">
      <c r="W6193" s="413"/>
    </row>
    <row r="6194" spans="23:23" ht="24" customHeight="1">
      <c r="W6194" s="413"/>
    </row>
    <row r="6195" spans="23:23" ht="24" customHeight="1">
      <c r="W6195" s="413"/>
    </row>
    <row r="6196" spans="23:23" ht="24" customHeight="1">
      <c r="W6196" s="413"/>
    </row>
    <row r="6197" spans="23:23" ht="24" customHeight="1">
      <c r="W6197" s="413"/>
    </row>
    <row r="6198" spans="23:23" ht="24" customHeight="1">
      <c r="W6198" s="413"/>
    </row>
    <row r="6199" spans="23:23" ht="24" customHeight="1">
      <c r="W6199" s="413"/>
    </row>
    <row r="6200" spans="23:23" ht="24" customHeight="1">
      <c r="W6200" s="413"/>
    </row>
    <row r="6201" spans="23:23" ht="24" customHeight="1">
      <c r="W6201" s="413"/>
    </row>
    <row r="6202" spans="23:23" ht="24" customHeight="1">
      <c r="W6202" s="413"/>
    </row>
    <row r="6203" spans="23:23" ht="24" customHeight="1">
      <c r="W6203" s="413"/>
    </row>
    <row r="6204" spans="23:23" ht="24" customHeight="1">
      <c r="W6204" s="413"/>
    </row>
    <row r="6205" spans="23:23" ht="24" customHeight="1">
      <c r="W6205" s="413"/>
    </row>
    <row r="6206" spans="23:23" ht="24" customHeight="1">
      <c r="W6206" s="413"/>
    </row>
    <row r="6207" spans="23:23" ht="24" customHeight="1">
      <c r="W6207" s="413"/>
    </row>
    <row r="6208" spans="23:23" ht="24" customHeight="1">
      <c r="W6208" s="413"/>
    </row>
    <row r="6209" spans="23:23" ht="24" customHeight="1">
      <c r="W6209" s="413"/>
    </row>
    <row r="6210" spans="23:23" ht="24" customHeight="1">
      <c r="W6210" s="413"/>
    </row>
    <row r="6211" spans="23:23" ht="24" customHeight="1">
      <c r="W6211" s="413"/>
    </row>
    <row r="6212" spans="23:23" ht="24" customHeight="1">
      <c r="W6212" s="413"/>
    </row>
    <row r="6213" spans="23:23" ht="24" customHeight="1">
      <c r="W6213" s="413"/>
    </row>
    <row r="6214" spans="23:23" ht="24" customHeight="1">
      <c r="W6214" s="413"/>
    </row>
    <row r="6215" spans="23:23" ht="24" customHeight="1">
      <c r="W6215" s="413"/>
    </row>
    <row r="6216" spans="23:23" ht="24" customHeight="1">
      <c r="W6216" s="413"/>
    </row>
    <row r="6217" spans="23:23" ht="24" customHeight="1">
      <c r="W6217" s="413"/>
    </row>
    <row r="6218" spans="23:23" ht="24" customHeight="1">
      <c r="W6218" s="413"/>
    </row>
    <row r="6219" spans="23:23" ht="24" customHeight="1">
      <c r="W6219" s="413"/>
    </row>
    <row r="6220" spans="23:23" ht="24" customHeight="1">
      <c r="W6220" s="413"/>
    </row>
    <row r="6221" spans="23:23" ht="24" customHeight="1">
      <c r="W6221" s="413"/>
    </row>
    <row r="6222" spans="23:23" ht="24" customHeight="1">
      <c r="W6222" s="413"/>
    </row>
    <row r="6223" spans="23:23" ht="24" customHeight="1">
      <c r="W6223" s="413"/>
    </row>
    <row r="6224" spans="23:23" ht="24" customHeight="1">
      <c r="W6224" s="413"/>
    </row>
    <row r="6225" spans="23:23" ht="24" customHeight="1">
      <c r="W6225" s="413"/>
    </row>
    <row r="6226" spans="23:23" ht="24" customHeight="1">
      <c r="W6226" s="413"/>
    </row>
    <row r="6227" spans="23:23" ht="24" customHeight="1">
      <c r="W6227" s="413"/>
    </row>
    <row r="6228" spans="23:23" ht="24" customHeight="1">
      <c r="W6228" s="413"/>
    </row>
    <row r="6229" spans="23:23" ht="24" customHeight="1">
      <c r="W6229" s="413"/>
    </row>
    <row r="6230" spans="23:23" ht="24" customHeight="1">
      <c r="W6230" s="413"/>
    </row>
    <row r="6231" spans="23:23" ht="24" customHeight="1">
      <c r="W6231" s="413"/>
    </row>
    <row r="6232" spans="23:23" ht="24" customHeight="1">
      <c r="W6232" s="413"/>
    </row>
    <row r="6233" spans="23:23" ht="24" customHeight="1">
      <c r="W6233" s="413"/>
    </row>
    <row r="6234" spans="23:23" ht="24" customHeight="1">
      <c r="W6234" s="413"/>
    </row>
    <row r="6235" spans="23:23" ht="24" customHeight="1">
      <c r="W6235" s="413"/>
    </row>
    <row r="6236" spans="23:23" ht="24" customHeight="1">
      <c r="W6236" s="413"/>
    </row>
    <row r="6237" spans="23:23" ht="24" customHeight="1">
      <c r="W6237" s="413"/>
    </row>
    <row r="6238" spans="23:23" ht="24" customHeight="1">
      <c r="W6238" s="413"/>
    </row>
    <row r="6239" spans="23:23" ht="24" customHeight="1">
      <c r="W6239" s="413"/>
    </row>
    <row r="6240" spans="23:23" ht="24" customHeight="1">
      <c r="W6240" s="413"/>
    </row>
    <row r="6241" spans="23:23" ht="24" customHeight="1">
      <c r="W6241" s="413"/>
    </row>
    <row r="6242" spans="23:23" ht="24" customHeight="1">
      <c r="W6242" s="413"/>
    </row>
    <row r="6243" spans="23:23" ht="24" customHeight="1">
      <c r="W6243" s="413"/>
    </row>
    <row r="6244" spans="23:23" ht="24" customHeight="1">
      <c r="W6244" s="413"/>
    </row>
    <row r="6245" spans="23:23" ht="24" customHeight="1">
      <c r="W6245" s="413"/>
    </row>
    <row r="6246" spans="23:23" ht="24" customHeight="1">
      <c r="W6246" s="413"/>
    </row>
    <row r="6247" spans="23:23" ht="24" customHeight="1">
      <c r="W6247" s="413"/>
    </row>
    <row r="6248" spans="23:23" ht="24" customHeight="1">
      <c r="W6248" s="413"/>
    </row>
    <row r="6249" spans="23:23" ht="24" customHeight="1">
      <c r="W6249" s="413"/>
    </row>
    <row r="6250" spans="23:23" ht="24" customHeight="1">
      <c r="W6250" s="413"/>
    </row>
    <row r="6251" spans="23:23" ht="24" customHeight="1">
      <c r="W6251" s="413"/>
    </row>
    <row r="6252" spans="23:23" ht="24" customHeight="1">
      <c r="W6252" s="413"/>
    </row>
    <row r="6253" spans="23:23" ht="24" customHeight="1">
      <c r="W6253" s="413"/>
    </row>
    <row r="6254" spans="23:23" ht="24" customHeight="1">
      <c r="W6254" s="413"/>
    </row>
    <row r="6255" spans="23:23" ht="24" customHeight="1">
      <c r="W6255" s="413"/>
    </row>
    <row r="6256" spans="23:23" ht="24" customHeight="1">
      <c r="W6256" s="413"/>
    </row>
    <row r="6257" spans="23:23" ht="24" customHeight="1">
      <c r="W6257" s="413"/>
    </row>
    <row r="6258" spans="23:23" ht="24" customHeight="1">
      <c r="W6258" s="413"/>
    </row>
    <row r="6259" spans="23:23" ht="24" customHeight="1">
      <c r="W6259" s="413"/>
    </row>
    <row r="6260" spans="23:23" ht="24" customHeight="1">
      <c r="W6260" s="413"/>
    </row>
    <row r="6261" spans="23:23" ht="24" customHeight="1">
      <c r="W6261" s="413"/>
    </row>
    <row r="6262" spans="23:23" ht="24" customHeight="1">
      <c r="W6262" s="413"/>
    </row>
    <row r="6263" spans="23:23" ht="24" customHeight="1">
      <c r="W6263" s="413"/>
    </row>
    <row r="6264" spans="23:23" ht="24" customHeight="1">
      <c r="W6264" s="413"/>
    </row>
    <row r="6265" spans="23:23" ht="24" customHeight="1">
      <c r="W6265" s="413"/>
    </row>
    <row r="6266" spans="23:23" ht="24" customHeight="1">
      <c r="W6266" s="413"/>
    </row>
    <row r="6267" spans="23:23" ht="24" customHeight="1">
      <c r="W6267" s="413"/>
    </row>
    <row r="6268" spans="23:23" ht="24" customHeight="1">
      <c r="W6268" s="413"/>
    </row>
    <row r="6269" spans="23:23" ht="24" customHeight="1">
      <c r="W6269" s="413"/>
    </row>
    <row r="6270" spans="23:23" ht="24" customHeight="1">
      <c r="W6270" s="413"/>
    </row>
    <row r="6271" spans="23:23" ht="24" customHeight="1">
      <c r="W6271" s="413"/>
    </row>
    <row r="6272" spans="23:23" ht="24" customHeight="1">
      <c r="W6272" s="413"/>
    </row>
    <row r="6273" spans="23:23" ht="24" customHeight="1">
      <c r="W6273" s="413"/>
    </row>
    <row r="6274" spans="23:23" ht="24" customHeight="1">
      <c r="W6274" s="413"/>
    </row>
    <row r="6275" spans="23:23" ht="24" customHeight="1">
      <c r="W6275" s="413"/>
    </row>
    <row r="6276" spans="23:23" ht="24" customHeight="1">
      <c r="W6276" s="413"/>
    </row>
    <row r="6277" spans="23:23" ht="24" customHeight="1">
      <c r="W6277" s="413"/>
    </row>
    <row r="6278" spans="23:23" ht="24" customHeight="1">
      <c r="W6278" s="413"/>
    </row>
    <row r="6279" spans="23:23" ht="24" customHeight="1">
      <c r="W6279" s="413"/>
    </row>
    <row r="6280" spans="23:23" ht="24" customHeight="1">
      <c r="W6280" s="413"/>
    </row>
    <row r="6281" spans="23:23" ht="24" customHeight="1">
      <c r="W6281" s="413"/>
    </row>
    <row r="6282" spans="23:23" ht="24" customHeight="1">
      <c r="W6282" s="413"/>
    </row>
    <row r="6283" spans="23:23" ht="24" customHeight="1">
      <c r="W6283" s="413"/>
    </row>
    <row r="6284" spans="23:23" ht="24" customHeight="1">
      <c r="W6284" s="413"/>
    </row>
    <row r="6285" spans="23:23" ht="24" customHeight="1">
      <c r="W6285" s="413"/>
    </row>
    <row r="6286" spans="23:23" ht="24" customHeight="1">
      <c r="W6286" s="413"/>
    </row>
    <row r="6287" spans="23:23" ht="24" customHeight="1">
      <c r="W6287" s="413"/>
    </row>
    <row r="6288" spans="23:23" ht="24" customHeight="1">
      <c r="W6288" s="413"/>
    </row>
    <row r="6289" spans="23:23" ht="24" customHeight="1">
      <c r="W6289" s="413"/>
    </row>
    <row r="6290" spans="23:23" ht="24" customHeight="1">
      <c r="W6290" s="413"/>
    </row>
    <row r="6291" spans="23:23" ht="24" customHeight="1">
      <c r="W6291" s="413"/>
    </row>
    <row r="6292" spans="23:23" ht="24" customHeight="1">
      <c r="W6292" s="413"/>
    </row>
    <row r="6293" spans="23:23" ht="24" customHeight="1">
      <c r="W6293" s="413"/>
    </row>
    <row r="6294" spans="23:23" ht="24" customHeight="1">
      <c r="W6294" s="413"/>
    </row>
    <row r="6295" spans="23:23" ht="24" customHeight="1">
      <c r="W6295" s="413"/>
    </row>
    <row r="6296" spans="23:23" ht="24" customHeight="1">
      <c r="W6296" s="413"/>
    </row>
    <row r="6297" spans="23:23" ht="24" customHeight="1">
      <c r="W6297" s="413"/>
    </row>
    <row r="6298" spans="23:23" ht="24" customHeight="1">
      <c r="W6298" s="413"/>
    </row>
    <row r="6299" spans="23:23" ht="24" customHeight="1">
      <c r="W6299" s="413"/>
    </row>
    <row r="6300" spans="23:23" ht="24" customHeight="1">
      <c r="W6300" s="413"/>
    </row>
    <row r="6301" spans="23:23" ht="24" customHeight="1">
      <c r="W6301" s="413"/>
    </row>
    <row r="6302" spans="23:23" ht="24" customHeight="1">
      <c r="W6302" s="413"/>
    </row>
    <row r="6303" spans="23:23" ht="24" customHeight="1">
      <c r="W6303" s="413"/>
    </row>
    <row r="6304" spans="23:23" ht="24" customHeight="1">
      <c r="W6304" s="413"/>
    </row>
    <row r="6305" spans="23:23" ht="24" customHeight="1">
      <c r="W6305" s="413"/>
    </row>
    <row r="6306" spans="23:23" ht="24" customHeight="1">
      <c r="W6306" s="413"/>
    </row>
    <row r="6307" spans="23:23" ht="24" customHeight="1">
      <c r="W6307" s="413"/>
    </row>
    <row r="6308" spans="23:23" ht="24" customHeight="1">
      <c r="W6308" s="413"/>
    </row>
    <row r="6309" spans="23:23" ht="24" customHeight="1">
      <c r="W6309" s="413"/>
    </row>
    <row r="6310" spans="23:23" ht="24" customHeight="1">
      <c r="W6310" s="413"/>
    </row>
    <row r="6311" spans="23:23" ht="24" customHeight="1">
      <c r="W6311" s="413"/>
    </row>
    <row r="6312" spans="23:23" ht="24" customHeight="1">
      <c r="W6312" s="413"/>
    </row>
    <row r="6313" spans="23:23" ht="24" customHeight="1">
      <c r="W6313" s="413"/>
    </row>
    <row r="6314" spans="23:23" ht="24" customHeight="1">
      <c r="W6314" s="413"/>
    </row>
    <row r="6315" spans="23:23" ht="24" customHeight="1">
      <c r="W6315" s="413"/>
    </row>
    <row r="6316" spans="23:23" ht="24" customHeight="1">
      <c r="W6316" s="413"/>
    </row>
    <row r="6317" spans="23:23" ht="24" customHeight="1">
      <c r="W6317" s="413"/>
    </row>
    <row r="6318" spans="23:23" ht="24" customHeight="1">
      <c r="W6318" s="413"/>
    </row>
    <row r="6319" spans="23:23" ht="24" customHeight="1">
      <c r="W6319" s="413"/>
    </row>
    <row r="6320" spans="23:23" ht="24" customHeight="1">
      <c r="W6320" s="413"/>
    </row>
    <row r="6321" spans="23:23" ht="24" customHeight="1">
      <c r="W6321" s="413"/>
    </row>
    <row r="6322" spans="23:23" ht="24" customHeight="1">
      <c r="W6322" s="413"/>
    </row>
    <row r="6323" spans="23:23" ht="24" customHeight="1">
      <c r="W6323" s="413"/>
    </row>
    <row r="6324" spans="23:23" ht="24" customHeight="1">
      <c r="W6324" s="413"/>
    </row>
    <row r="6325" spans="23:23" ht="24" customHeight="1">
      <c r="W6325" s="413"/>
    </row>
    <row r="6326" spans="23:23" ht="24" customHeight="1">
      <c r="W6326" s="413"/>
    </row>
    <row r="6327" spans="23:23" ht="24" customHeight="1">
      <c r="W6327" s="413"/>
    </row>
    <row r="6328" spans="23:23" ht="24" customHeight="1">
      <c r="W6328" s="413"/>
    </row>
    <row r="6329" spans="23:23" ht="24" customHeight="1">
      <c r="W6329" s="413"/>
    </row>
    <row r="6330" spans="23:23" ht="24" customHeight="1">
      <c r="W6330" s="413"/>
    </row>
    <row r="6331" spans="23:23" ht="24" customHeight="1">
      <c r="W6331" s="413"/>
    </row>
    <row r="6332" spans="23:23" ht="24" customHeight="1">
      <c r="W6332" s="413"/>
    </row>
    <row r="6333" spans="23:23" ht="24" customHeight="1">
      <c r="W6333" s="413"/>
    </row>
    <row r="6334" spans="23:23" ht="24" customHeight="1">
      <c r="W6334" s="413"/>
    </row>
    <row r="6335" spans="23:23" ht="24" customHeight="1">
      <c r="W6335" s="413"/>
    </row>
    <row r="6336" spans="23:23" ht="24" customHeight="1">
      <c r="W6336" s="413"/>
    </row>
    <row r="6337" spans="23:23" ht="24" customHeight="1">
      <c r="W6337" s="413"/>
    </row>
    <row r="6338" spans="23:23" ht="24" customHeight="1">
      <c r="W6338" s="413"/>
    </row>
    <row r="6339" spans="23:23" ht="24" customHeight="1">
      <c r="W6339" s="413"/>
    </row>
    <row r="6340" spans="23:23" ht="24" customHeight="1">
      <c r="W6340" s="413"/>
    </row>
    <row r="6341" spans="23:23" ht="24" customHeight="1">
      <c r="W6341" s="413"/>
    </row>
    <row r="6342" spans="23:23" ht="24" customHeight="1">
      <c r="W6342" s="413"/>
    </row>
    <row r="6343" spans="23:23" ht="24" customHeight="1">
      <c r="W6343" s="413"/>
    </row>
    <row r="6344" spans="23:23" ht="24" customHeight="1">
      <c r="W6344" s="413"/>
    </row>
    <row r="6345" spans="23:23" ht="24" customHeight="1">
      <c r="W6345" s="413"/>
    </row>
    <row r="6346" spans="23:23" ht="24" customHeight="1">
      <c r="W6346" s="413"/>
    </row>
    <row r="6347" spans="23:23" ht="24" customHeight="1">
      <c r="W6347" s="413"/>
    </row>
    <row r="6348" spans="23:23" ht="24" customHeight="1">
      <c r="W6348" s="413"/>
    </row>
    <row r="6349" spans="23:23" ht="24" customHeight="1">
      <c r="W6349" s="413"/>
    </row>
    <row r="6350" spans="23:23" ht="24" customHeight="1">
      <c r="W6350" s="413"/>
    </row>
    <row r="6351" spans="23:23" ht="24" customHeight="1">
      <c r="W6351" s="413"/>
    </row>
    <row r="6352" spans="23:23" ht="24" customHeight="1">
      <c r="W6352" s="413"/>
    </row>
    <row r="6353" spans="23:23" ht="24" customHeight="1">
      <c r="W6353" s="413"/>
    </row>
    <row r="6354" spans="23:23" ht="24" customHeight="1">
      <c r="W6354" s="413"/>
    </row>
    <row r="6355" spans="23:23" ht="24" customHeight="1">
      <c r="W6355" s="413"/>
    </row>
    <row r="6356" spans="23:23" ht="24" customHeight="1">
      <c r="W6356" s="413"/>
    </row>
    <row r="6357" spans="23:23" ht="24" customHeight="1">
      <c r="W6357" s="413"/>
    </row>
    <row r="6358" spans="23:23" ht="24" customHeight="1">
      <c r="W6358" s="413"/>
    </row>
    <row r="6359" spans="23:23" ht="24" customHeight="1">
      <c r="W6359" s="413"/>
    </row>
    <row r="6360" spans="23:23" ht="24" customHeight="1">
      <c r="W6360" s="413"/>
    </row>
    <row r="6361" spans="23:23" ht="24" customHeight="1">
      <c r="W6361" s="413"/>
    </row>
    <row r="6362" spans="23:23" ht="24" customHeight="1">
      <c r="W6362" s="413"/>
    </row>
    <row r="6363" spans="23:23" ht="24" customHeight="1">
      <c r="W6363" s="413"/>
    </row>
    <row r="6364" spans="23:23" ht="24" customHeight="1">
      <c r="W6364" s="413"/>
    </row>
    <row r="6365" spans="23:23" ht="24" customHeight="1">
      <c r="W6365" s="413"/>
    </row>
    <row r="6366" spans="23:23" ht="24" customHeight="1">
      <c r="W6366" s="413"/>
    </row>
    <row r="6367" spans="23:23" ht="24" customHeight="1">
      <c r="W6367" s="413"/>
    </row>
    <row r="6368" spans="23:23" ht="24" customHeight="1">
      <c r="W6368" s="413"/>
    </row>
    <row r="6369" spans="23:23" ht="24" customHeight="1">
      <c r="W6369" s="413"/>
    </row>
    <row r="6370" spans="23:23" ht="24" customHeight="1">
      <c r="W6370" s="413"/>
    </row>
    <row r="6371" spans="23:23" ht="24" customHeight="1">
      <c r="W6371" s="413"/>
    </row>
    <row r="6372" spans="23:23" ht="24" customHeight="1">
      <c r="W6372" s="413"/>
    </row>
    <row r="6373" spans="23:23" ht="24" customHeight="1">
      <c r="W6373" s="413"/>
    </row>
    <row r="6374" spans="23:23" ht="24" customHeight="1">
      <c r="W6374" s="413"/>
    </row>
    <row r="6375" spans="23:23" ht="24" customHeight="1">
      <c r="W6375" s="413"/>
    </row>
    <row r="6376" spans="23:23" ht="24" customHeight="1">
      <c r="W6376" s="413"/>
    </row>
    <row r="6377" spans="23:23" ht="24" customHeight="1">
      <c r="W6377" s="413"/>
    </row>
    <row r="6378" spans="23:23" ht="24" customHeight="1">
      <c r="W6378" s="413"/>
    </row>
    <row r="6379" spans="23:23" ht="24" customHeight="1">
      <c r="W6379" s="413"/>
    </row>
    <row r="6380" spans="23:23" ht="24" customHeight="1">
      <c r="W6380" s="413"/>
    </row>
    <row r="6381" spans="23:23" ht="24" customHeight="1">
      <c r="W6381" s="413"/>
    </row>
    <row r="6382" spans="23:23" ht="24" customHeight="1">
      <c r="W6382" s="413"/>
    </row>
    <row r="6383" spans="23:23" ht="24" customHeight="1">
      <c r="W6383" s="413"/>
    </row>
    <row r="6384" spans="23:23" ht="24" customHeight="1">
      <c r="W6384" s="413"/>
    </row>
    <row r="6385" spans="23:23" ht="24" customHeight="1">
      <c r="W6385" s="413"/>
    </row>
    <row r="6386" spans="23:23" ht="24" customHeight="1">
      <c r="W6386" s="413"/>
    </row>
    <row r="6387" spans="23:23" ht="24" customHeight="1">
      <c r="W6387" s="413"/>
    </row>
    <row r="6388" spans="23:23" ht="24" customHeight="1">
      <c r="W6388" s="413"/>
    </row>
    <row r="6389" spans="23:23" ht="24" customHeight="1">
      <c r="W6389" s="413"/>
    </row>
    <row r="6390" spans="23:23" ht="24" customHeight="1">
      <c r="W6390" s="413"/>
    </row>
    <row r="6391" spans="23:23" ht="24" customHeight="1">
      <c r="W6391" s="413"/>
    </row>
    <row r="6392" spans="23:23" ht="24" customHeight="1">
      <c r="W6392" s="413"/>
    </row>
    <row r="6393" spans="23:23" ht="24" customHeight="1">
      <c r="W6393" s="413"/>
    </row>
    <row r="6394" spans="23:23" ht="24" customHeight="1">
      <c r="W6394" s="413"/>
    </row>
    <row r="6395" spans="23:23" ht="24" customHeight="1">
      <c r="W6395" s="413"/>
    </row>
    <row r="6396" spans="23:23" ht="24" customHeight="1">
      <c r="W6396" s="413"/>
    </row>
    <row r="6397" spans="23:23" ht="24" customHeight="1">
      <c r="W6397" s="413"/>
    </row>
    <row r="6398" spans="23:23" ht="24" customHeight="1">
      <c r="W6398" s="413"/>
    </row>
    <row r="6399" spans="23:23" ht="24" customHeight="1">
      <c r="W6399" s="413"/>
    </row>
    <row r="6400" spans="23:23" ht="24" customHeight="1">
      <c r="W6400" s="413"/>
    </row>
    <row r="6401" spans="23:23" ht="24" customHeight="1">
      <c r="W6401" s="413"/>
    </row>
    <row r="6402" spans="23:23" ht="24" customHeight="1">
      <c r="W6402" s="413"/>
    </row>
    <row r="6403" spans="23:23" ht="24" customHeight="1">
      <c r="W6403" s="413"/>
    </row>
    <row r="6404" spans="23:23" ht="24" customHeight="1">
      <c r="W6404" s="413"/>
    </row>
    <row r="6405" spans="23:23" ht="24" customHeight="1">
      <c r="W6405" s="413"/>
    </row>
    <row r="6406" spans="23:23" ht="24" customHeight="1">
      <c r="W6406" s="413"/>
    </row>
    <row r="6407" spans="23:23" ht="24" customHeight="1">
      <c r="W6407" s="413"/>
    </row>
    <row r="6408" spans="23:23" ht="24" customHeight="1">
      <c r="W6408" s="413"/>
    </row>
    <row r="6409" spans="23:23" ht="24" customHeight="1">
      <c r="W6409" s="413"/>
    </row>
    <row r="6410" spans="23:23" ht="24" customHeight="1">
      <c r="W6410" s="413"/>
    </row>
    <row r="6411" spans="23:23" ht="24" customHeight="1">
      <c r="W6411" s="413"/>
    </row>
    <row r="6412" spans="23:23" ht="24" customHeight="1">
      <c r="W6412" s="413"/>
    </row>
    <row r="6413" spans="23:23" ht="24" customHeight="1">
      <c r="W6413" s="413"/>
    </row>
    <row r="6414" spans="23:23" ht="24" customHeight="1">
      <c r="W6414" s="413"/>
    </row>
    <row r="6415" spans="23:23" ht="24" customHeight="1">
      <c r="W6415" s="413"/>
    </row>
    <row r="6416" spans="23:23" ht="24" customHeight="1">
      <c r="W6416" s="413"/>
    </row>
    <row r="6417" spans="23:23" ht="24" customHeight="1">
      <c r="W6417" s="413"/>
    </row>
    <row r="6418" spans="23:23" ht="24" customHeight="1">
      <c r="W6418" s="413"/>
    </row>
    <row r="6419" spans="23:23" ht="24" customHeight="1">
      <c r="W6419" s="413"/>
    </row>
    <row r="6420" spans="23:23" ht="24" customHeight="1">
      <c r="W6420" s="413"/>
    </row>
    <row r="6421" spans="23:23" ht="24" customHeight="1">
      <c r="W6421" s="413"/>
    </row>
    <row r="6422" spans="23:23" ht="24" customHeight="1">
      <c r="W6422" s="413"/>
    </row>
    <row r="6423" spans="23:23" ht="24" customHeight="1">
      <c r="W6423" s="413"/>
    </row>
    <row r="6424" spans="23:23" ht="24" customHeight="1">
      <c r="W6424" s="413"/>
    </row>
    <row r="6425" spans="23:23" ht="24" customHeight="1">
      <c r="W6425" s="413"/>
    </row>
    <row r="6426" spans="23:23" ht="24" customHeight="1">
      <c r="W6426" s="413"/>
    </row>
    <row r="6427" spans="23:23" ht="24" customHeight="1">
      <c r="W6427" s="413"/>
    </row>
    <row r="6428" spans="23:23" ht="24" customHeight="1">
      <c r="W6428" s="413"/>
    </row>
    <row r="6429" spans="23:23" ht="24" customHeight="1">
      <c r="W6429" s="413"/>
    </row>
    <row r="6430" spans="23:23" ht="24" customHeight="1">
      <c r="W6430" s="413"/>
    </row>
    <row r="6431" spans="23:23" ht="24" customHeight="1">
      <c r="W6431" s="413"/>
    </row>
    <row r="6432" spans="23:23" ht="24" customHeight="1">
      <c r="W6432" s="413"/>
    </row>
    <row r="6433" spans="23:23" ht="24" customHeight="1">
      <c r="W6433" s="413"/>
    </row>
    <row r="6434" spans="23:23" ht="24" customHeight="1">
      <c r="W6434" s="413"/>
    </row>
    <row r="6435" spans="23:23" ht="24" customHeight="1">
      <c r="W6435" s="413"/>
    </row>
    <row r="6436" spans="23:23" ht="24" customHeight="1">
      <c r="W6436" s="413"/>
    </row>
    <row r="6437" spans="23:23" ht="24" customHeight="1">
      <c r="W6437" s="413"/>
    </row>
    <row r="6438" spans="23:23" ht="24" customHeight="1">
      <c r="W6438" s="413"/>
    </row>
    <row r="6439" spans="23:23" ht="24" customHeight="1">
      <c r="W6439" s="413"/>
    </row>
    <row r="6440" spans="23:23" ht="24" customHeight="1">
      <c r="W6440" s="413"/>
    </row>
    <row r="6441" spans="23:23" ht="24" customHeight="1">
      <c r="W6441" s="413"/>
    </row>
    <row r="6442" spans="23:23" ht="24" customHeight="1">
      <c r="W6442" s="413"/>
    </row>
    <row r="6443" spans="23:23" ht="24" customHeight="1">
      <c r="W6443" s="413"/>
    </row>
    <row r="6444" spans="23:23" ht="24" customHeight="1">
      <c r="W6444" s="413"/>
    </row>
    <row r="6445" spans="23:23" ht="24" customHeight="1">
      <c r="W6445" s="413"/>
    </row>
    <row r="6446" spans="23:23" ht="24" customHeight="1">
      <c r="W6446" s="413"/>
    </row>
    <row r="6447" spans="23:23" ht="24" customHeight="1">
      <c r="W6447" s="413"/>
    </row>
    <row r="6448" spans="23:23" ht="24" customHeight="1">
      <c r="W6448" s="413"/>
    </row>
    <row r="6449" spans="23:23" ht="24" customHeight="1">
      <c r="W6449" s="413"/>
    </row>
    <row r="6450" spans="23:23" ht="24" customHeight="1">
      <c r="W6450" s="413"/>
    </row>
    <row r="6451" spans="23:23" ht="24" customHeight="1">
      <c r="W6451" s="413"/>
    </row>
    <row r="6452" spans="23:23" ht="24" customHeight="1">
      <c r="W6452" s="413"/>
    </row>
    <row r="6453" spans="23:23" ht="24" customHeight="1">
      <c r="W6453" s="413"/>
    </row>
    <row r="6454" spans="23:23" ht="24" customHeight="1">
      <c r="W6454" s="413"/>
    </row>
    <row r="6455" spans="23:23" ht="24" customHeight="1">
      <c r="W6455" s="413"/>
    </row>
    <row r="6456" spans="23:23" ht="24" customHeight="1">
      <c r="W6456" s="413"/>
    </row>
    <row r="6457" spans="23:23" ht="24" customHeight="1">
      <c r="W6457" s="413"/>
    </row>
    <row r="6458" spans="23:23" ht="24" customHeight="1">
      <c r="W6458" s="413"/>
    </row>
    <row r="6459" spans="23:23" ht="24" customHeight="1">
      <c r="W6459" s="413"/>
    </row>
    <row r="6460" spans="23:23" ht="24" customHeight="1">
      <c r="W6460" s="413"/>
    </row>
    <row r="6461" spans="23:23" ht="24" customHeight="1">
      <c r="W6461" s="413"/>
    </row>
    <row r="6462" spans="23:23" ht="24" customHeight="1">
      <c r="W6462" s="413"/>
    </row>
    <row r="6463" spans="23:23" ht="24" customHeight="1">
      <c r="W6463" s="413"/>
    </row>
    <row r="6464" spans="23:23" ht="24" customHeight="1">
      <c r="W6464" s="413"/>
    </row>
    <row r="6465" spans="23:23" ht="24" customHeight="1">
      <c r="W6465" s="413"/>
    </row>
    <row r="6466" spans="23:23" ht="24" customHeight="1">
      <c r="W6466" s="413"/>
    </row>
    <row r="6467" spans="23:23" ht="24" customHeight="1">
      <c r="W6467" s="413"/>
    </row>
    <row r="6468" spans="23:23" ht="24" customHeight="1">
      <c r="W6468" s="413"/>
    </row>
    <row r="6469" spans="23:23" ht="24" customHeight="1">
      <c r="W6469" s="413"/>
    </row>
    <row r="6470" spans="23:23" ht="24" customHeight="1">
      <c r="W6470" s="413"/>
    </row>
    <row r="6471" spans="23:23" ht="24" customHeight="1">
      <c r="W6471" s="413"/>
    </row>
    <row r="6472" spans="23:23" ht="24" customHeight="1">
      <c r="W6472" s="413"/>
    </row>
    <row r="6473" spans="23:23" ht="24" customHeight="1">
      <c r="W6473" s="413"/>
    </row>
    <row r="6474" spans="23:23" ht="24" customHeight="1">
      <c r="W6474" s="413"/>
    </row>
    <row r="6475" spans="23:23" ht="24" customHeight="1">
      <c r="W6475" s="413"/>
    </row>
    <row r="6476" spans="23:23" ht="24" customHeight="1">
      <c r="W6476" s="413"/>
    </row>
    <row r="6477" spans="23:23" ht="24" customHeight="1">
      <c r="W6477" s="413"/>
    </row>
    <row r="6478" spans="23:23" ht="24" customHeight="1">
      <c r="W6478" s="413"/>
    </row>
    <row r="6479" spans="23:23" ht="24" customHeight="1">
      <c r="W6479" s="413"/>
    </row>
    <row r="6480" spans="23:23" ht="24" customHeight="1">
      <c r="W6480" s="413"/>
    </row>
    <row r="6481" spans="23:23" ht="24" customHeight="1">
      <c r="W6481" s="413"/>
    </row>
    <row r="6482" spans="23:23" ht="24" customHeight="1">
      <c r="W6482" s="413"/>
    </row>
    <row r="6483" spans="23:23" ht="24" customHeight="1">
      <c r="W6483" s="413"/>
    </row>
    <row r="6484" spans="23:23" ht="24" customHeight="1">
      <c r="W6484" s="413"/>
    </row>
    <row r="6485" spans="23:23" ht="24" customHeight="1">
      <c r="W6485" s="413"/>
    </row>
    <row r="6486" spans="23:23" ht="24" customHeight="1">
      <c r="W6486" s="413"/>
    </row>
    <row r="6487" spans="23:23" ht="24" customHeight="1">
      <c r="W6487" s="413"/>
    </row>
    <row r="6488" spans="23:23" ht="24" customHeight="1">
      <c r="W6488" s="413"/>
    </row>
    <row r="6489" spans="23:23" ht="24" customHeight="1">
      <c r="W6489" s="413"/>
    </row>
    <row r="6490" spans="23:23" ht="24" customHeight="1">
      <c r="W6490" s="413"/>
    </row>
    <row r="6491" spans="23:23" ht="24" customHeight="1">
      <c r="W6491" s="413"/>
    </row>
    <row r="6492" spans="23:23" ht="24" customHeight="1">
      <c r="W6492" s="413"/>
    </row>
    <row r="6493" spans="23:23" ht="24" customHeight="1">
      <c r="W6493" s="413"/>
    </row>
    <row r="6494" spans="23:23" ht="24" customHeight="1">
      <c r="W6494" s="413"/>
    </row>
    <row r="6495" spans="23:23" ht="24" customHeight="1">
      <c r="W6495" s="413"/>
    </row>
    <row r="6496" spans="23:23" ht="24" customHeight="1">
      <c r="W6496" s="413"/>
    </row>
    <row r="6497" spans="23:23" ht="24" customHeight="1">
      <c r="W6497" s="413"/>
    </row>
    <row r="6498" spans="23:23" ht="24" customHeight="1">
      <c r="W6498" s="413"/>
    </row>
    <row r="6499" spans="23:23" ht="24" customHeight="1">
      <c r="W6499" s="413"/>
    </row>
    <row r="6500" spans="23:23" ht="24" customHeight="1">
      <c r="W6500" s="413"/>
    </row>
    <row r="6501" spans="23:23" ht="24" customHeight="1">
      <c r="W6501" s="413"/>
    </row>
    <row r="6502" spans="23:23" ht="24" customHeight="1">
      <c r="W6502" s="413"/>
    </row>
    <row r="6503" spans="23:23" ht="24" customHeight="1">
      <c r="W6503" s="413"/>
    </row>
    <row r="6504" spans="23:23" ht="24" customHeight="1">
      <c r="W6504" s="413"/>
    </row>
    <row r="6505" spans="23:23" ht="24" customHeight="1">
      <c r="W6505" s="413"/>
    </row>
    <row r="6506" spans="23:23" ht="24" customHeight="1">
      <c r="W6506" s="413"/>
    </row>
    <row r="6507" spans="23:23" ht="24" customHeight="1">
      <c r="W6507" s="413"/>
    </row>
    <row r="6508" spans="23:23" ht="24" customHeight="1">
      <c r="W6508" s="413"/>
    </row>
    <row r="6509" spans="23:23" ht="24" customHeight="1">
      <c r="W6509" s="413"/>
    </row>
    <row r="6510" spans="23:23" ht="24" customHeight="1">
      <c r="W6510" s="413"/>
    </row>
    <row r="6511" spans="23:23" ht="24" customHeight="1">
      <c r="W6511" s="413"/>
    </row>
    <row r="6512" spans="23:23" ht="24" customHeight="1">
      <c r="W6512" s="413"/>
    </row>
    <row r="6513" spans="23:23" ht="24" customHeight="1">
      <c r="W6513" s="413"/>
    </row>
    <row r="6514" spans="23:23" ht="24" customHeight="1">
      <c r="W6514" s="413"/>
    </row>
    <row r="6515" spans="23:23" ht="24" customHeight="1">
      <c r="W6515" s="413"/>
    </row>
    <row r="6516" spans="23:23" ht="24" customHeight="1">
      <c r="W6516" s="413"/>
    </row>
    <row r="6517" spans="23:23" ht="24" customHeight="1">
      <c r="W6517" s="413"/>
    </row>
    <row r="6518" spans="23:23" ht="24" customHeight="1">
      <c r="W6518" s="413"/>
    </row>
    <row r="6519" spans="23:23" ht="24" customHeight="1">
      <c r="W6519" s="413"/>
    </row>
    <row r="6520" spans="23:23" ht="24" customHeight="1">
      <c r="W6520" s="413"/>
    </row>
    <row r="6521" spans="23:23" ht="24" customHeight="1">
      <c r="W6521" s="413"/>
    </row>
    <row r="6522" spans="23:23" ht="24" customHeight="1">
      <c r="W6522" s="413"/>
    </row>
    <row r="6523" spans="23:23" ht="24" customHeight="1">
      <c r="W6523" s="413"/>
    </row>
    <row r="6524" spans="23:23" ht="24" customHeight="1">
      <c r="W6524" s="413"/>
    </row>
    <row r="6525" spans="23:23" ht="24" customHeight="1">
      <c r="W6525" s="413"/>
    </row>
    <row r="6526" spans="23:23" ht="24" customHeight="1">
      <c r="W6526" s="413"/>
    </row>
    <row r="6527" spans="23:23" ht="24" customHeight="1">
      <c r="W6527" s="413"/>
    </row>
    <row r="6528" spans="23:23" ht="24" customHeight="1">
      <c r="W6528" s="413"/>
    </row>
    <row r="6529" spans="23:23" ht="24" customHeight="1">
      <c r="W6529" s="413"/>
    </row>
    <row r="6530" spans="23:23" ht="24" customHeight="1">
      <c r="W6530" s="413"/>
    </row>
    <row r="6531" spans="23:23" ht="24" customHeight="1">
      <c r="W6531" s="413"/>
    </row>
    <row r="6532" spans="23:23" ht="24" customHeight="1">
      <c r="W6532" s="413"/>
    </row>
    <row r="6533" spans="23:23" ht="24" customHeight="1">
      <c r="W6533" s="413"/>
    </row>
    <row r="6534" spans="23:23" ht="24" customHeight="1">
      <c r="W6534" s="413"/>
    </row>
    <row r="6535" spans="23:23" ht="24" customHeight="1">
      <c r="W6535" s="413"/>
    </row>
    <row r="6536" spans="23:23" ht="24" customHeight="1">
      <c r="W6536" s="413"/>
    </row>
    <row r="6537" spans="23:23" ht="24" customHeight="1">
      <c r="W6537" s="413"/>
    </row>
    <row r="6538" spans="23:23" ht="24" customHeight="1">
      <c r="W6538" s="413"/>
    </row>
    <row r="6539" spans="23:23" ht="24" customHeight="1">
      <c r="W6539" s="413"/>
    </row>
    <row r="6540" spans="23:23" ht="24" customHeight="1">
      <c r="W6540" s="413"/>
    </row>
    <row r="6541" spans="23:23" ht="24" customHeight="1">
      <c r="W6541" s="413"/>
    </row>
    <row r="6542" spans="23:23" ht="24" customHeight="1">
      <c r="W6542" s="413"/>
    </row>
    <row r="6543" spans="23:23" ht="24" customHeight="1">
      <c r="W6543" s="413"/>
    </row>
    <row r="6544" spans="23:23" ht="24" customHeight="1">
      <c r="W6544" s="413"/>
    </row>
    <row r="6545" spans="23:23" ht="24" customHeight="1">
      <c r="W6545" s="413"/>
    </row>
    <row r="6546" spans="23:23" ht="24" customHeight="1">
      <c r="W6546" s="413"/>
    </row>
    <row r="6547" spans="23:23" ht="24" customHeight="1">
      <c r="W6547" s="413"/>
    </row>
    <row r="6548" spans="23:23" ht="24" customHeight="1">
      <c r="W6548" s="413"/>
    </row>
    <row r="6549" spans="23:23" ht="24" customHeight="1">
      <c r="W6549" s="413"/>
    </row>
    <row r="6550" spans="23:23" ht="24" customHeight="1">
      <c r="W6550" s="413"/>
    </row>
    <row r="6551" spans="23:23" ht="24" customHeight="1">
      <c r="W6551" s="413"/>
    </row>
    <row r="6552" spans="23:23" ht="24" customHeight="1">
      <c r="W6552" s="413"/>
    </row>
    <row r="6553" spans="23:23" ht="24" customHeight="1">
      <c r="W6553" s="413"/>
    </row>
    <row r="6554" spans="23:23" ht="24" customHeight="1">
      <c r="W6554" s="413"/>
    </row>
    <row r="6555" spans="23:23" ht="24" customHeight="1">
      <c r="W6555" s="413"/>
    </row>
    <row r="6556" spans="23:23" ht="24" customHeight="1">
      <c r="W6556" s="413"/>
    </row>
    <row r="6557" spans="23:23" ht="24" customHeight="1">
      <c r="W6557" s="413"/>
    </row>
    <row r="6558" spans="23:23" ht="24" customHeight="1">
      <c r="W6558" s="413"/>
    </row>
    <row r="6559" spans="23:23" ht="24" customHeight="1">
      <c r="W6559" s="413"/>
    </row>
    <row r="6560" spans="23:23" ht="24" customHeight="1">
      <c r="W6560" s="413"/>
    </row>
    <row r="6561" spans="23:23" ht="24" customHeight="1">
      <c r="W6561" s="413"/>
    </row>
    <row r="6562" spans="23:23" ht="24" customHeight="1">
      <c r="W6562" s="413"/>
    </row>
    <row r="6563" spans="23:23" ht="24" customHeight="1">
      <c r="W6563" s="413"/>
    </row>
    <row r="6564" spans="23:23" ht="24" customHeight="1">
      <c r="W6564" s="413"/>
    </row>
    <row r="6565" spans="23:23" ht="24" customHeight="1">
      <c r="W6565" s="413"/>
    </row>
    <row r="6566" spans="23:23" ht="24" customHeight="1">
      <c r="W6566" s="413"/>
    </row>
    <row r="6567" spans="23:23" ht="24" customHeight="1">
      <c r="W6567" s="413"/>
    </row>
    <row r="6568" spans="23:23" ht="24" customHeight="1">
      <c r="W6568" s="413"/>
    </row>
    <row r="6569" spans="23:23" ht="24" customHeight="1">
      <c r="W6569" s="413"/>
    </row>
    <row r="6570" spans="23:23" ht="24" customHeight="1">
      <c r="W6570" s="413"/>
    </row>
    <row r="6571" spans="23:23" ht="24" customHeight="1">
      <c r="W6571" s="413"/>
    </row>
    <row r="6572" spans="23:23" ht="24" customHeight="1">
      <c r="W6572" s="413"/>
    </row>
    <row r="6573" spans="23:23" ht="24" customHeight="1">
      <c r="W6573" s="413"/>
    </row>
    <row r="6574" spans="23:23" ht="24" customHeight="1">
      <c r="W6574" s="413"/>
    </row>
    <row r="6575" spans="23:23" ht="24" customHeight="1">
      <c r="W6575" s="413"/>
    </row>
    <row r="6576" spans="23:23" ht="24" customHeight="1">
      <c r="W6576" s="413"/>
    </row>
    <row r="6577" spans="23:23" ht="24" customHeight="1">
      <c r="W6577" s="413"/>
    </row>
    <row r="6578" spans="23:23" ht="24" customHeight="1">
      <c r="W6578" s="413"/>
    </row>
    <row r="6579" spans="23:23" ht="24" customHeight="1">
      <c r="W6579" s="413"/>
    </row>
    <row r="6580" spans="23:23" ht="24" customHeight="1">
      <c r="W6580" s="413"/>
    </row>
    <row r="6581" spans="23:23" ht="24" customHeight="1">
      <c r="W6581" s="413"/>
    </row>
    <row r="6582" spans="23:23" ht="24" customHeight="1">
      <c r="W6582" s="413"/>
    </row>
    <row r="6583" spans="23:23" ht="24" customHeight="1">
      <c r="W6583" s="413"/>
    </row>
    <row r="6584" spans="23:23" ht="24" customHeight="1">
      <c r="W6584" s="413"/>
    </row>
    <row r="6585" spans="23:23" ht="24" customHeight="1">
      <c r="W6585" s="413"/>
    </row>
    <row r="6586" spans="23:23" ht="24" customHeight="1">
      <c r="W6586" s="413"/>
    </row>
    <row r="6587" spans="23:23" ht="24" customHeight="1">
      <c r="W6587" s="413"/>
    </row>
    <row r="6588" spans="23:23" ht="24" customHeight="1">
      <c r="W6588" s="413"/>
    </row>
    <row r="6589" spans="23:23" ht="24" customHeight="1">
      <c r="W6589" s="413"/>
    </row>
    <row r="6590" spans="23:23" ht="24" customHeight="1">
      <c r="W6590" s="413"/>
    </row>
    <row r="6591" spans="23:23" ht="24" customHeight="1">
      <c r="W6591" s="413"/>
    </row>
    <row r="6592" spans="23:23" ht="24" customHeight="1">
      <c r="W6592" s="413"/>
    </row>
    <row r="6593" spans="23:23" ht="24" customHeight="1">
      <c r="W6593" s="413"/>
    </row>
    <row r="6594" spans="23:23" ht="24" customHeight="1">
      <c r="W6594" s="413"/>
    </row>
    <row r="6595" spans="23:23" ht="24" customHeight="1">
      <c r="W6595" s="413"/>
    </row>
    <row r="6596" spans="23:23" ht="24" customHeight="1">
      <c r="W6596" s="413"/>
    </row>
    <row r="6597" spans="23:23" ht="24" customHeight="1">
      <c r="W6597" s="413"/>
    </row>
    <row r="6598" spans="23:23" ht="24" customHeight="1">
      <c r="W6598" s="413"/>
    </row>
    <row r="6599" spans="23:23" ht="24" customHeight="1">
      <c r="W6599" s="413"/>
    </row>
    <row r="6600" spans="23:23" ht="24" customHeight="1">
      <c r="W6600" s="413"/>
    </row>
    <row r="6601" spans="23:23" ht="24" customHeight="1">
      <c r="W6601" s="413"/>
    </row>
    <row r="6602" spans="23:23" ht="24" customHeight="1">
      <c r="W6602" s="413"/>
    </row>
    <row r="6603" spans="23:23" ht="24" customHeight="1">
      <c r="W6603" s="413"/>
    </row>
    <row r="6604" spans="23:23" ht="24" customHeight="1">
      <c r="W6604" s="413"/>
    </row>
    <row r="6605" spans="23:23" ht="24" customHeight="1">
      <c r="W6605" s="413"/>
    </row>
    <row r="6606" spans="23:23" ht="24" customHeight="1">
      <c r="W6606" s="413"/>
    </row>
    <row r="6607" spans="23:23" ht="24" customHeight="1">
      <c r="W6607" s="413"/>
    </row>
    <row r="6608" spans="23:23" ht="24" customHeight="1">
      <c r="W6608" s="413"/>
    </row>
    <row r="6609" spans="23:23" ht="24" customHeight="1">
      <c r="W6609" s="413"/>
    </row>
    <row r="6610" spans="23:23" ht="24" customHeight="1">
      <c r="W6610" s="413"/>
    </row>
    <row r="6611" spans="23:23" ht="24" customHeight="1">
      <c r="W6611" s="413"/>
    </row>
    <row r="6612" spans="23:23" ht="24" customHeight="1">
      <c r="W6612" s="413"/>
    </row>
    <row r="6613" spans="23:23" ht="24" customHeight="1">
      <c r="W6613" s="413"/>
    </row>
    <row r="6614" spans="23:23" ht="24" customHeight="1">
      <c r="W6614" s="413"/>
    </row>
    <row r="6615" spans="23:23" ht="24" customHeight="1">
      <c r="W6615" s="413"/>
    </row>
    <row r="6616" spans="23:23" ht="24" customHeight="1">
      <c r="W6616" s="413"/>
    </row>
    <row r="6617" spans="23:23" ht="24" customHeight="1">
      <c r="W6617" s="413"/>
    </row>
    <row r="6618" spans="23:23" ht="24" customHeight="1">
      <c r="W6618" s="413"/>
    </row>
    <row r="6619" spans="23:23" ht="24" customHeight="1">
      <c r="W6619" s="413"/>
    </row>
    <row r="6620" spans="23:23" ht="24" customHeight="1">
      <c r="W6620" s="413"/>
    </row>
    <row r="6621" spans="23:23" ht="24" customHeight="1">
      <c r="W6621" s="413"/>
    </row>
    <row r="6622" spans="23:23" ht="24" customHeight="1">
      <c r="W6622" s="413"/>
    </row>
    <row r="6623" spans="23:23" ht="24" customHeight="1">
      <c r="W6623" s="413"/>
    </row>
    <row r="6624" spans="23:23" ht="24" customHeight="1">
      <c r="W6624" s="413"/>
    </row>
    <row r="6625" spans="23:23" ht="24" customHeight="1">
      <c r="W6625" s="413"/>
    </row>
    <row r="6626" spans="23:23" ht="24" customHeight="1">
      <c r="W6626" s="413"/>
    </row>
    <row r="6627" spans="23:23" ht="24" customHeight="1">
      <c r="W6627" s="413"/>
    </row>
    <row r="6628" spans="23:23" ht="24" customHeight="1">
      <c r="W6628" s="413"/>
    </row>
    <row r="6629" spans="23:23" ht="24" customHeight="1">
      <c r="W6629" s="413"/>
    </row>
    <row r="6630" spans="23:23" ht="24" customHeight="1">
      <c r="W6630" s="413"/>
    </row>
    <row r="6631" spans="23:23" ht="24" customHeight="1">
      <c r="W6631" s="413"/>
    </row>
    <row r="6632" spans="23:23" ht="24" customHeight="1">
      <c r="W6632" s="413"/>
    </row>
    <row r="6633" spans="23:23" ht="24" customHeight="1">
      <c r="W6633" s="413"/>
    </row>
    <row r="6634" spans="23:23" ht="24" customHeight="1">
      <c r="W6634" s="413"/>
    </row>
    <row r="6635" spans="23:23" ht="24" customHeight="1">
      <c r="W6635" s="413"/>
    </row>
    <row r="6636" spans="23:23" ht="24" customHeight="1">
      <c r="W6636" s="413"/>
    </row>
    <row r="6637" spans="23:23" ht="24" customHeight="1">
      <c r="W6637" s="413"/>
    </row>
    <row r="6638" spans="23:23" ht="24" customHeight="1">
      <c r="W6638" s="413"/>
    </row>
    <row r="6639" spans="23:23" ht="24" customHeight="1">
      <c r="W6639" s="413"/>
    </row>
    <row r="6640" spans="23:23" ht="24" customHeight="1">
      <c r="W6640" s="413"/>
    </row>
    <row r="6641" spans="23:23" ht="24" customHeight="1">
      <c r="W6641" s="413"/>
    </row>
    <row r="6642" spans="23:23" ht="24" customHeight="1">
      <c r="W6642" s="413"/>
    </row>
    <row r="6643" spans="23:23" ht="24" customHeight="1">
      <c r="W6643" s="413"/>
    </row>
    <row r="6644" spans="23:23" ht="24" customHeight="1">
      <c r="W6644" s="413"/>
    </row>
    <row r="6645" spans="23:23" ht="24" customHeight="1">
      <c r="W6645" s="413"/>
    </row>
    <row r="6646" spans="23:23" ht="24" customHeight="1">
      <c r="W6646" s="413"/>
    </row>
    <row r="6647" spans="23:23" ht="24" customHeight="1">
      <c r="W6647" s="413"/>
    </row>
    <row r="6648" spans="23:23" ht="24" customHeight="1">
      <c r="W6648" s="413"/>
    </row>
    <row r="6649" spans="23:23" ht="24" customHeight="1">
      <c r="W6649" s="413"/>
    </row>
    <row r="6650" spans="23:23" ht="24" customHeight="1">
      <c r="W6650" s="413"/>
    </row>
    <row r="6651" spans="23:23" ht="24" customHeight="1">
      <c r="W6651" s="413"/>
    </row>
    <row r="6652" spans="23:23" ht="24" customHeight="1">
      <c r="W6652" s="413"/>
    </row>
    <row r="6653" spans="23:23" ht="24" customHeight="1">
      <c r="W6653" s="413"/>
    </row>
    <row r="6654" spans="23:23" ht="24" customHeight="1">
      <c r="W6654" s="413"/>
    </row>
    <row r="6655" spans="23:23" ht="24" customHeight="1">
      <c r="W6655" s="413"/>
    </row>
    <row r="6656" spans="23:23" ht="24" customHeight="1">
      <c r="W6656" s="413"/>
    </row>
    <row r="6657" spans="23:23" ht="24" customHeight="1">
      <c r="W6657" s="413"/>
    </row>
    <row r="6658" spans="23:23" ht="24" customHeight="1">
      <c r="W6658" s="413"/>
    </row>
    <row r="6659" spans="23:23" ht="24" customHeight="1">
      <c r="W6659" s="413"/>
    </row>
    <row r="6660" spans="23:23" ht="24" customHeight="1">
      <c r="W6660" s="413"/>
    </row>
    <row r="6661" spans="23:23" ht="24" customHeight="1">
      <c r="W6661" s="413"/>
    </row>
    <row r="6662" spans="23:23" ht="24" customHeight="1">
      <c r="W6662" s="413"/>
    </row>
    <row r="6663" spans="23:23" ht="24" customHeight="1">
      <c r="W6663" s="413"/>
    </row>
    <row r="6664" spans="23:23" ht="24" customHeight="1">
      <c r="W6664" s="413"/>
    </row>
    <row r="6665" spans="23:23" ht="24" customHeight="1">
      <c r="W6665" s="413"/>
    </row>
    <row r="6666" spans="23:23" ht="24" customHeight="1">
      <c r="W6666" s="413"/>
    </row>
    <row r="6667" spans="23:23" ht="24" customHeight="1">
      <c r="W6667" s="413"/>
    </row>
    <row r="6668" spans="23:23" ht="24" customHeight="1">
      <c r="W6668" s="413"/>
    </row>
    <row r="6669" spans="23:23" ht="24" customHeight="1">
      <c r="W6669" s="413"/>
    </row>
    <row r="6670" spans="23:23" ht="24" customHeight="1">
      <c r="W6670" s="413"/>
    </row>
    <row r="6671" spans="23:23" ht="24" customHeight="1">
      <c r="W6671" s="413"/>
    </row>
    <row r="6672" spans="23:23" ht="24" customHeight="1">
      <c r="W6672" s="413"/>
    </row>
    <row r="6673" spans="23:23" ht="24" customHeight="1">
      <c r="W6673" s="413"/>
    </row>
    <row r="6674" spans="23:23" ht="24" customHeight="1">
      <c r="W6674" s="413"/>
    </row>
    <row r="6675" spans="23:23" ht="24" customHeight="1">
      <c r="W6675" s="413"/>
    </row>
    <row r="6676" spans="23:23" ht="24" customHeight="1">
      <c r="W6676" s="413"/>
    </row>
    <row r="6677" spans="23:23" ht="24" customHeight="1">
      <c r="W6677" s="413"/>
    </row>
    <row r="6678" spans="23:23" ht="24" customHeight="1">
      <c r="W6678" s="413"/>
    </row>
    <row r="6679" spans="23:23" ht="24" customHeight="1">
      <c r="W6679" s="413"/>
    </row>
    <row r="6680" spans="23:23" ht="24" customHeight="1">
      <c r="W6680" s="413"/>
    </row>
    <row r="6681" spans="23:23" ht="24" customHeight="1">
      <c r="W6681" s="413"/>
    </row>
    <row r="6682" spans="23:23" ht="24" customHeight="1">
      <c r="W6682" s="413"/>
    </row>
    <row r="6683" spans="23:23" ht="24" customHeight="1">
      <c r="W6683" s="413"/>
    </row>
    <row r="6684" spans="23:23" ht="24" customHeight="1">
      <c r="W6684" s="413"/>
    </row>
    <row r="6685" spans="23:23" ht="24" customHeight="1">
      <c r="W6685" s="413"/>
    </row>
    <row r="6686" spans="23:23" ht="24" customHeight="1">
      <c r="W6686" s="413"/>
    </row>
    <row r="6687" spans="23:23" ht="24" customHeight="1">
      <c r="W6687" s="413"/>
    </row>
    <row r="6688" spans="23:23" ht="24" customHeight="1">
      <c r="W6688" s="413"/>
    </row>
    <row r="6689" spans="23:23" ht="24" customHeight="1">
      <c r="W6689" s="413"/>
    </row>
    <row r="6690" spans="23:23" ht="24" customHeight="1">
      <c r="W6690" s="413"/>
    </row>
    <row r="6691" spans="23:23" ht="24" customHeight="1">
      <c r="W6691" s="413"/>
    </row>
    <row r="6692" spans="23:23" ht="24" customHeight="1">
      <c r="W6692" s="413"/>
    </row>
    <row r="6693" spans="23:23" ht="24" customHeight="1">
      <c r="W6693" s="413"/>
    </row>
    <row r="6694" spans="23:23" ht="24" customHeight="1">
      <c r="W6694" s="413"/>
    </row>
    <row r="6695" spans="23:23" ht="24" customHeight="1">
      <c r="W6695" s="413"/>
    </row>
    <row r="6696" spans="23:23" ht="24" customHeight="1">
      <c r="W6696" s="413"/>
    </row>
    <row r="6697" spans="23:23" ht="24" customHeight="1">
      <c r="W6697" s="413"/>
    </row>
    <row r="6698" spans="23:23" ht="24" customHeight="1">
      <c r="W6698" s="413"/>
    </row>
    <row r="6699" spans="23:23" ht="24" customHeight="1">
      <c r="W6699" s="413"/>
    </row>
    <row r="6700" spans="23:23" ht="24" customHeight="1">
      <c r="W6700" s="413"/>
    </row>
    <row r="6701" spans="23:23" ht="24" customHeight="1">
      <c r="W6701" s="413"/>
    </row>
    <row r="6702" spans="23:23" ht="24" customHeight="1">
      <c r="W6702" s="413"/>
    </row>
    <row r="6703" spans="23:23" ht="24" customHeight="1">
      <c r="W6703" s="413"/>
    </row>
    <row r="6704" spans="23:23" ht="24" customHeight="1">
      <c r="W6704" s="413"/>
    </row>
    <row r="6705" spans="23:23" ht="24" customHeight="1">
      <c r="W6705" s="413"/>
    </row>
    <row r="6706" spans="23:23" ht="24" customHeight="1">
      <c r="W6706" s="413"/>
    </row>
    <row r="6707" spans="23:23" ht="24" customHeight="1">
      <c r="W6707" s="413"/>
    </row>
    <row r="6708" spans="23:23" ht="24" customHeight="1">
      <c r="W6708" s="413"/>
    </row>
    <row r="6709" spans="23:23" ht="24" customHeight="1">
      <c r="W6709" s="413"/>
    </row>
    <row r="6710" spans="23:23" ht="24" customHeight="1">
      <c r="W6710" s="413"/>
    </row>
    <row r="6711" spans="23:23" ht="24" customHeight="1">
      <c r="W6711" s="413"/>
    </row>
    <row r="6712" spans="23:23" ht="24" customHeight="1">
      <c r="W6712" s="413"/>
    </row>
    <row r="6713" spans="23:23" ht="24" customHeight="1">
      <c r="W6713" s="413"/>
    </row>
    <row r="6714" spans="23:23" ht="24" customHeight="1">
      <c r="W6714" s="413"/>
    </row>
    <row r="6715" spans="23:23" ht="24" customHeight="1">
      <c r="W6715" s="413"/>
    </row>
    <row r="6716" spans="23:23" ht="24" customHeight="1">
      <c r="W6716" s="413"/>
    </row>
    <row r="6717" spans="23:23" ht="24" customHeight="1">
      <c r="W6717" s="413"/>
    </row>
    <row r="6718" spans="23:23" ht="24" customHeight="1">
      <c r="W6718" s="413"/>
    </row>
    <row r="6719" spans="23:23" ht="24" customHeight="1">
      <c r="W6719" s="413"/>
    </row>
    <row r="6720" spans="23:23" ht="24" customHeight="1">
      <c r="W6720" s="413"/>
    </row>
    <row r="6721" spans="23:23" ht="24" customHeight="1">
      <c r="W6721" s="413"/>
    </row>
    <row r="6722" spans="23:23" ht="24" customHeight="1">
      <c r="W6722" s="413"/>
    </row>
    <row r="6723" spans="23:23" ht="24" customHeight="1">
      <c r="W6723" s="413"/>
    </row>
    <row r="6724" spans="23:23" ht="24" customHeight="1">
      <c r="W6724" s="413"/>
    </row>
    <row r="6725" spans="23:23" ht="24" customHeight="1">
      <c r="W6725" s="413"/>
    </row>
    <row r="6726" spans="23:23" ht="24" customHeight="1">
      <c r="W6726" s="413"/>
    </row>
    <row r="6727" spans="23:23" ht="24" customHeight="1">
      <c r="W6727" s="413"/>
    </row>
    <row r="6728" spans="23:23" ht="24" customHeight="1">
      <c r="W6728" s="413"/>
    </row>
    <row r="6729" spans="23:23" ht="24" customHeight="1">
      <c r="W6729" s="413"/>
    </row>
    <row r="6730" spans="23:23" ht="24" customHeight="1">
      <c r="W6730" s="413"/>
    </row>
    <row r="6731" spans="23:23" ht="24" customHeight="1">
      <c r="W6731" s="413"/>
    </row>
    <row r="6732" spans="23:23" ht="24" customHeight="1">
      <c r="W6732" s="413"/>
    </row>
    <row r="6733" spans="23:23" ht="24" customHeight="1">
      <c r="W6733" s="413"/>
    </row>
    <row r="6734" spans="23:23" ht="24" customHeight="1">
      <c r="W6734" s="413"/>
    </row>
    <row r="6735" spans="23:23" ht="24" customHeight="1">
      <c r="W6735" s="413"/>
    </row>
    <row r="6736" spans="23:23" ht="24" customHeight="1">
      <c r="W6736" s="413"/>
    </row>
    <row r="6737" spans="23:23" ht="24" customHeight="1">
      <c r="W6737" s="413"/>
    </row>
    <row r="6738" spans="23:23" ht="24" customHeight="1">
      <c r="W6738" s="413"/>
    </row>
    <row r="6739" spans="23:23" ht="24" customHeight="1">
      <c r="W6739" s="413"/>
    </row>
    <row r="6740" spans="23:23" ht="24" customHeight="1">
      <c r="W6740" s="413"/>
    </row>
    <row r="6741" spans="23:23" ht="24" customHeight="1">
      <c r="W6741" s="413"/>
    </row>
    <row r="6742" spans="23:23" ht="24" customHeight="1">
      <c r="W6742" s="413"/>
    </row>
    <row r="6743" spans="23:23" ht="24" customHeight="1">
      <c r="W6743" s="413"/>
    </row>
    <row r="6744" spans="23:23" ht="24" customHeight="1">
      <c r="W6744" s="413"/>
    </row>
    <row r="6745" spans="23:23" ht="24" customHeight="1">
      <c r="W6745" s="413"/>
    </row>
    <row r="6746" spans="23:23" ht="24" customHeight="1">
      <c r="W6746" s="413"/>
    </row>
    <row r="6747" spans="23:23" ht="24" customHeight="1">
      <c r="W6747" s="413"/>
    </row>
    <row r="6748" spans="23:23" ht="24" customHeight="1">
      <c r="W6748" s="413"/>
    </row>
    <row r="6749" spans="23:23" ht="24" customHeight="1">
      <c r="W6749" s="413"/>
    </row>
    <row r="6750" spans="23:23" ht="24" customHeight="1">
      <c r="W6750" s="413"/>
    </row>
    <row r="6751" spans="23:23" ht="24" customHeight="1">
      <c r="W6751" s="413"/>
    </row>
    <row r="6752" spans="23:23" ht="24" customHeight="1">
      <c r="W6752" s="413"/>
    </row>
    <row r="6753" spans="23:23" ht="24" customHeight="1">
      <c r="W6753" s="413"/>
    </row>
    <row r="6754" spans="23:23" ht="24" customHeight="1">
      <c r="W6754" s="413"/>
    </row>
    <row r="6755" spans="23:23" ht="24" customHeight="1">
      <c r="W6755" s="413"/>
    </row>
    <row r="6756" spans="23:23" ht="24" customHeight="1">
      <c r="W6756" s="413"/>
    </row>
    <row r="6757" spans="23:23" ht="24" customHeight="1">
      <c r="W6757" s="413"/>
    </row>
    <row r="6758" spans="23:23" ht="24" customHeight="1">
      <c r="W6758" s="413"/>
    </row>
    <row r="6759" spans="23:23" ht="24" customHeight="1">
      <c r="W6759" s="413"/>
    </row>
    <row r="6760" spans="23:23" ht="24" customHeight="1">
      <c r="W6760" s="413"/>
    </row>
    <row r="6761" spans="23:23" ht="24" customHeight="1">
      <c r="W6761" s="413"/>
    </row>
    <row r="6762" spans="23:23" ht="24" customHeight="1">
      <c r="W6762" s="413"/>
    </row>
    <row r="6763" spans="23:23" ht="24" customHeight="1">
      <c r="W6763" s="413"/>
    </row>
    <row r="6764" spans="23:23" ht="24" customHeight="1">
      <c r="W6764" s="413"/>
    </row>
    <row r="6765" spans="23:23" ht="24" customHeight="1">
      <c r="W6765" s="413"/>
    </row>
    <row r="6766" spans="23:23" ht="24" customHeight="1">
      <c r="W6766" s="413"/>
    </row>
    <row r="6767" spans="23:23" ht="24" customHeight="1">
      <c r="W6767" s="413"/>
    </row>
    <row r="6768" spans="23:23" ht="24" customHeight="1">
      <c r="W6768" s="413"/>
    </row>
    <row r="6769" spans="23:23" ht="24" customHeight="1">
      <c r="W6769" s="413"/>
    </row>
    <row r="6770" spans="23:23" ht="24" customHeight="1">
      <c r="W6770" s="413"/>
    </row>
    <row r="6771" spans="23:23" ht="24" customHeight="1">
      <c r="W6771" s="413"/>
    </row>
    <row r="6772" spans="23:23" ht="24" customHeight="1">
      <c r="W6772" s="413"/>
    </row>
    <row r="6773" spans="23:23" ht="24" customHeight="1">
      <c r="W6773" s="413"/>
    </row>
    <row r="6774" spans="23:23" ht="24" customHeight="1">
      <c r="W6774" s="413"/>
    </row>
    <row r="6775" spans="23:23" ht="24" customHeight="1">
      <c r="W6775" s="413"/>
    </row>
    <row r="6776" spans="23:23" ht="24" customHeight="1">
      <c r="W6776" s="413"/>
    </row>
    <row r="6777" spans="23:23" ht="24" customHeight="1">
      <c r="W6777" s="413"/>
    </row>
    <row r="6778" spans="23:23" ht="24" customHeight="1">
      <c r="W6778" s="413"/>
    </row>
    <row r="6779" spans="23:23" ht="24" customHeight="1">
      <c r="W6779" s="413"/>
    </row>
    <row r="6780" spans="23:23" ht="24" customHeight="1">
      <c r="W6780" s="413"/>
    </row>
    <row r="6781" spans="23:23" ht="24" customHeight="1">
      <c r="W6781" s="413"/>
    </row>
    <row r="6782" spans="23:23" ht="24" customHeight="1">
      <c r="W6782" s="413"/>
    </row>
    <row r="6783" spans="23:23" ht="24" customHeight="1">
      <c r="W6783" s="413"/>
    </row>
    <row r="6784" spans="23:23" ht="24" customHeight="1">
      <c r="W6784" s="413"/>
    </row>
    <row r="6785" spans="23:23" ht="24" customHeight="1">
      <c r="W6785" s="413"/>
    </row>
    <row r="6786" spans="23:23" ht="24" customHeight="1">
      <c r="W6786" s="413"/>
    </row>
    <row r="6787" spans="23:23" ht="24" customHeight="1">
      <c r="W6787" s="413"/>
    </row>
    <row r="6788" spans="23:23" ht="24" customHeight="1">
      <c r="W6788" s="413"/>
    </row>
    <row r="6789" spans="23:23" ht="24" customHeight="1">
      <c r="W6789" s="413"/>
    </row>
    <row r="6790" spans="23:23" ht="24" customHeight="1">
      <c r="W6790" s="413"/>
    </row>
    <row r="6791" spans="23:23" ht="24" customHeight="1">
      <c r="W6791" s="413"/>
    </row>
    <row r="6792" spans="23:23" ht="24" customHeight="1">
      <c r="W6792" s="413"/>
    </row>
    <row r="6793" spans="23:23" ht="24" customHeight="1">
      <c r="W6793" s="413"/>
    </row>
    <row r="6794" spans="23:23" ht="24" customHeight="1">
      <c r="W6794" s="413"/>
    </row>
    <row r="6795" spans="23:23" ht="24" customHeight="1">
      <c r="W6795" s="413"/>
    </row>
    <row r="6796" spans="23:23" ht="24" customHeight="1">
      <c r="W6796" s="413"/>
    </row>
    <row r="6797" spans="23:23" ht="24" customHeight="1">
      <c r="W6797" s="413"/>
    </row>
    <row r="6798" spans="23:23" ht="24" customHeight="1">
      <c r="W6798" s="413"/>
    </row>
    <row r="6799" spans="23:23" ht="24" customHeight="1">
      <c r="W6799" s="413"/>
    </row>
    <row r="6800" spans="23:23" ht="24" customHeight="1">
      <c r="W6800" s="413"/>
    </row>
    <row r="6801" spans="23:23" ht="24" customHeight="1">
      <c r="W6801" s="413"/>
    </row>
    <row r="6802" spans="23:23" ht="24" customHeight="1">
      <c r="W6802" s="413"/>
    </row>
    <row r="6803" spans="23:23" ht="24" customHeight="1">
      <c r="W6803" s="413"/>
    </row>
    <row r="6804" spans="23:23" ht="24" customHeight="1">
      <c r="W6804" s="413"/>
    </row>
    <row r="6805" spans="23:23" ht="24" customHeight="1">
      <c r="W6805" s="413"/>
    </row>
    <row r="6806" spans="23:23" ht="24" customHeight="1">
      <c r="W6806" s="413"/>
    </row>
    <row r="6807" spans="23:23" ht="24" customHeight="1">
      <c r="W6807" s="413"/>
    </row>
    <row r="6808" spans="23:23" ht="24" customHeight="1">
      <c r="W6808" s="413"/>
    </row>
    <row r="6809" spans="23:23" ht="24" customHeight="1">
      <c r="W6809" s="413"/>
    </row>
    <row r="6810" spans="23:23" ht="24" customHeight="1">
      <c r="W6810" s="413"/>
    </row>
    <row r="6811" spans="23:23" ht="24" customHeight="1">
      <c r="W6811" s="413"/>
    </row>
    <row r="6812" spans="23:23" ht="24" customHeight="1">
      <c r="W6812" s="413"/>
    </row>
    <row r="6813" spans="23:23" ht="24" customHeight="1">
      <c r="W6813" s="413"/>
    </row>
    <row r="6814" spans="23:23" ht="24" customHeight="1">
      <c r="W6814" s="413"/>
    </row>
    <row r="6815" spans="23:23" ht="24" customHeight="1">
      <c r="W6815" s="413"/>
    </row>
    <row r="6816" spans="23:23" ht="24" customHeight="1">
      <c r="W6816" s="413"/>
    </row>
    <row r="6817" spans="23:23" ht="24" customHeight="1">
      <c r="W6817" s="413"/>
    </row>
    <row r="6818" spans="23:23" ht="24" customHeight="1">
      <c r="W6818" s="413"/>
    </row>
    <row r="6819" spans="23:23" ht="24" customHeight="1">
      <c r="W6819" s="413"/>
    </row>
    <row r="6820" spans="23:23" ht="24" customHeight="1">
      <c r="W6820" s="413"/>
    </row>
    <row r="6821" spans="23:23" ht="24" customHeight="1">
      <c r="W6821" s="413"/>
    </row>
    <row r="6822" spans="23:23" ht="24" customHeight="1">
      <c r="W6822" s="413"/>
    </row>
    <row r="6823" spans="23:23" ht="24" customHeight="1">
      <c r="W6823" s="413"/>
    </row>
    <row r="6824" spans="23:23" ht="24" customHeight="1">
      <c r="W6824" s="413"/>
    </row>
    <row r="6825" spans="23:23" ht="24" customHeight="1">
      <c r="W6825" s="413"/>
    </row>
    <row r="6826" spans="23:23" ht="24" customHeight="1">
      <c r="W6826" s="413"/>
    </row>
    <row r="6827" spans="23:23" ht="24" customHeight="1">
      <c r="W6827" s="413"/>
    </row>
    <row r="6828" spans="23:23" ht="24" customHeight="1">
      <c r="W6828" s="413"/>
    </row>
    <row r="6829" spans="23:23" ht="24" customHeight="1">
      <c r="W6829" s="413"/>
    </row>
    <row r="6830" spans="23:23" ht="24" customHeight="1">
      <c r="W6830" s="413"/>
    </row>
    <row r="6831" spans="23:23" ht="24" customHeight="1">
      <c r="W6831" s="413"/>
    </row>
    <row r="6832" spans="23:23" ht="24" customHeight="1">
      <c r="W6832" s="413"/>
    </row>
    <row r="6833" spans="23:23" ht="24" customHeight="1">
      <c r="W6833" s="413"/>
    </row>
    <row r="6834" spans="23:23" ht="24" customHeight="1">
      <c r="W6834" s="413"/>
    </row>
    <row r="6835" spans="23:23" ht="24" customHeight="1">
      <c r="W6835" s="413"/>
    </row>
    <row r="6836" spans="23:23" ht="24" customHeight="1">
      <c r="W6836" s="413"/>
    </row>
    <row r="6837" spans="23:23" ht="24" customHeight="1">
      <c r="W6837" s="413"/>
    </row>
    <row r="6838" spans="23:23" ht="24" customHeight="1">
      <c r="W6838" s="413"/>
    </row>
    <row r="6839" spans="23:23" ht="24" customHeight="1">
      <c r="W6839" s="413"/>
    </row>
    <row r="6840" spans="23:23" ht="24" customHeight="1">
      <c r="W6840" s="413"/>
    </row>
    <row r="6841" spans="23:23" ht="24" customHeight="1">
      <c r="W6841" s="413"/>
    </row>
    <row r="6842" spans="23:23" ht="24" customHeight="1">
      <c r="W6842" s="413"/>
    </row>
    <row r="6843" spans="23:23" ht="24" customHeight="1">
      <c r="W6843" s="413"/>
    </row>
    <row r="6844" spans="23:23" ht="24" customHeight="1">
      <c r="W6844" s="413"/>
    </row>
    <row r="6845" spans="23:23" ht="24" customHeight="1">
      <c r="W6845" s="413"/>
    </row>
    <row r="6846" spans="23:23" ht="24" customHeight="1">
      <c r="W6846" s="413"/>
    </row>
    <row r="6847" spans="23:23" ht="24" customHeight="1">
      <c r="W6847" s="413"/>
    </row>
    <row r="6848" spans="23:23" ht="24" customHeight="1">
      <c r="W6848" s="413"/>
    </row>
    <row r="6849" spans="23:23" ht="24" customHeight="1">
      <c r="W6849" s="413"/>
    </row>
    <row r="6850" spans="23:23" ht="24" customHeight="1">
      <c r="W6850" s="413"/>
    </row>
    <row r="6851" spans="23:23" ht="24" customHeight="1">
      <c r="W6851" s="413"/>
    </row>
    <row r="6852" spans="23:23" ht="24" customHeight="1">
      <c r="W6852" s="413"/>
    </row>
    <row r="6853" spans="23:23" ht="24" customHeight="1">
      <c r="W6853" s="413"/>
    </row>
    <row r="6854" spans="23:23" ht="24" customHeight="1">
      <c r="W6854" s="413"/>
    </row>
    <row r="6855" spans="23:23" ht="24" customHeight="1">
      <c r="W6855" s="413"/>
    </row>
    <row r="6856" spans="23:23" ht="24" customHeight="1">
      <c r="W6856" s="413"/>
    </row>
    <row r="6857" spans="23:23" ht="24" customHeight="1">
      <c r="W6857" s="413"/>
    </row>
    <row r="6858" spans="23:23" ht="24" customHeight="1">
      <c r="W6858" s="413"/>
    </row>
    <row r="6859" spans="23:23" ht="24" customHeight="1">
      <c r="W6859" s="413"/>
    </row>
    <row r="6860" spans="23:23" ht="24" customHeight="1">
      <c r="W6860" s="413"/>
    </row>
    <row r="6861" spans="23:23" ht="24" customHeight="1">
      <c r="W6861" s="413"/>
    </row>
    <row r="6862" spans="23:23" ht="24" customHeight="1">
      <c r="W6862" s="413"/>
    </row>
    <row r="6863" spans="23:23" ht="24" customHeight="1">
      <c r="W6863" s="413"/>
    </row>
    <row r="6864" spans="23:23" ht="24" customHeight="1">
      <c r="W6864" s="413"/>
    </row>
    <row r="6865" spans="23:23" ht="24" customHeight="1">
      <c r="W6865" s="413"/>
    </row>
    <row r="6866" spans="23:23" ht="24" customHeight="1">
      <c r="W6866" s="413"/>
    </row>
    <row r="6867" spans="23:23" ht="24" customHeight="1">
      <c r="W6867" s="413"/>
    </row>
    <row r="6868" spans="23:23" ht="24" customHeight="1">
      <c r="W6868" s="413"/>
    </row>
    <row r="6869" spans="23:23" ht="24" customHeight="1">
      <c r="W6869" s="413"/>
    </row>
    <row r="6870" spans="23:23" ht="24" customHeight="1">
      <c r="W6870" s="413"/>
    </row>
    <row r="6871" spans="23:23" ht="24" customHeight="1">
      <c r="W6871" s="413"/>
    </row>
    <row r="6872" spans="23:23" ht="24" customHeight="1">
      <c r="W6872" s="413"/>
    </row>
    <row r="6873" spans="23:23" ht="24" customHeight="1">
      <c r="W6873" s="413"/>
    </row>
    <row r="6874" spans="23:23" ht="24" customHeight="1">
      <c r="W6874" s="413"/>
    </row>
    <row r="6875" spans="23:23" ht="24" customHeight="1">
      <c r="W6875" s="413"/>
    </row>
    <row r="6876" spans="23:23" ht="24" customHeight="1">
      <c r="W6876" s="413"/>
    </row>
    <row r="6877" spans="23:23" ht="24" customHeight="1">
      <c r="W6877" s="413"/>
    </row>
    <row r="6878" spans="23:23" ht="24" customHeight="1">
      <c r="W6878" s="413"/>
    </row>
    <row r="6879" spans="23:23" ht="24" customHeight="1">
      <c r="W6879" s="413"/>
    </row>
    <row r="6880" spans="23:23" ht="24" customHeight="1">
      <c r="W6880" s="413"/>
    </row>
    <row r="6881" spans="23:23" ht="24" customHeight="1">
      <c r="W6881" s="413"/>
    </row>
    <row r="6882" spans="23:23" ht="24" customHeight="1">
      <c r="W6882" s="413"/>
    </row>
    <row r="6883" spans="23:23" ht="24" customHeight="1">
      <c r="W6883" s="413"/>
    </row>
    <row r="6884" spans="23:23" ht="24" customHeight="1">
      <c r="W6884" s="413"/>
    </row>
    <row r="6885" spans="23:23" ht="24" customHeight="1">
      <c r="W6885" s="413"/>
    </row>
    <row r="6886" spans="23:23" ht="24" customHeight="1">
      <c r="W6886" s="413"/>
    </row>
    <row r="6887" spans="23:23" ht="24" customHeight="1">
      <c r="W6887" s="413"/>
    </row>
    <row r="6888" spans="23:23" ht="24" customHeight="1">
      <c r="W6888" s="413"/>
    </row>
    <row r="6889" spans="23:23" ht="24" customHeight="1">
      <c r="W6889" s="413"/>
    </row>
    <row r="6890" spans="23:23" ht="24" customHeight="1">
      <c r="W6890" s="413"/>
    </row>
    <row r="6891" spans="23:23" ht="24" customHeight="1">
      <c r="W6891" s="413"/>
    </row>
    <row r="6892" spans="23:23" ht="24" customHeight="1">
      <c r="W6892" s="413"/>
    </row>
    <row r="6893" spans="23:23" ht="24" customHeight="1">
      <c r="W6893" s="413"/>
    </row>
    <row r="6894" spans="23:23" ht="24" customHeight="1">
      <c r="W6894" s="413"/>
    </row>
    <row r="6895" spans="23:23" ht="24" customHeight="1">
      <c r="W6895" s="413"/>
    </row>
    <row r="6896" spans="23:23" ht="24" customHeight="1">
      <c r="W6896" s="413"/>
    </row>
    <row r="6897" spans="23:23" ht="24" customHeight="1">
      <c r="W6897" s="413"/>
    </row>
    <row r="6898" spans="23:23" ht="24" customHeight="1">
      <c r="W6898" s="413"/>
    </row>
    <row r="6899" spans="23:23" ht="24" customHeight="1">
      <c r="W6899" s="413"/>
    </row>
    <row r="6900" spans="23:23" ht="24" customHeight="1">
      <c r="W6900" s="413"/>
    </row>
    <row r="6901" spans="23:23" ht="24" customHeight="1">
      <c r="W6901" s="413"/>
    </row>
    <row r="6902" spans="23:23" ht="24" customHeight="1">
      <c r="W6902" s="413"/>
    </row>
    <row r="6903" spans="23:23" ht="24" customHeight="1">
      <c r="W6903" s="413"/>
    </row>
    <row r="6904" spans="23:23" ht="24" customHeight="1">
      <c r="W6904" s="413"/>
    </row>
    <row r="6905" spans="23:23" ht="24" customHeight="1">
      <c r="W6905" s="413"/>
    </row>
    <row r="6906" spans="23:23" ht="24" customHeight="1">
      <c r="W6906" s="413"/>
    </row>
    <row r="6907" spans="23:23" ht="24" customHeight="1">
      <c r="W6907" s="413"/>
    </row>
    <row r="6908" spans="23:23" ht="24" customHeight="1">
      <c r="W6908" s="413"/>
    </row>
    <row r="6909" spans="23:23" ht="24" customHeight="1">
      <c r="W6909" s="413"/>
    </row>
    <row r="6910" spans="23:23" ht="24" customHeight="1">
      <c r="W6910" s="413"/>
    </row>
    <row r="6911" spans="23:23" ht="24" customHeight="1">
      <c r="W6911" s="413"/>
    </row>
    <row r="6912" spans="23:23" ht="24" customHeight="1">
      <c r="W6912" s="413"/>
    </row>
    <row r="6913" spans="23:23" ht="24" customHeight="1">
      <c r="W6913" s="413"/>
    </row>
    <row r="6914" spans="23:23" ht="24" customHeight="1">
      <c r="W6914" s="413"/>
    </row>
    <row r="6915" spans="23:23" ht="24" customHeight="1">
      <c r="W6915" s="413"/>
    </row>
    <row r="6916" spans="23:23" ht="24" customHeight="1">
      <c r="W6916" s="413"/>
    </row>
    <row r="6917" spans="23:23" ht="24" customHeight="1">
      <c r="W6917" s="413"/>
    </row>
    <row r="6918" spans="23:23" ht="24" customHeight="1">
      <c r="W6918" s="413"/>
    </row>
    <row r="6919" spans="23:23" ht="24" customHeight="1">
      <c r="W6919" s="413"/>
    </row>
    <row r="6920" spans="23:23" ht="24" customHeight="1">
      <c r="W6920" s="413"/>
    </row>
    <row r="6921" spans="23:23" ht="24" customHeight="1">
      <c r="W6921" s="413"/>
    </row>
    <row r="6922" spans="23:23" ht="24" customHeight="1">
      <c r="W6922" s="413"/>
    </row>
    <row r="6923" spans="23:23" ht="24" customHeight="1">
      <c r="W6923" s="413"/>
    </row>
    <row r="6924" spans="23:23" ht="24" customHeight="1">
      <c r="W6924" s="413"/>
    </row>
    <row r="6925" spans="23:23" ht="24" customHeight="1">
      <c r="W6925" s="413"/>
    </row>
    <row r="6926" spans="23:23" ht="24" customHeight="1">
      <c r="W6926" s="413"/>
    </row>
    <row r="6927" spans="23:23" ht="24" customHeight="1">
      <c r="W6927" s="413"/>
    </row>
    <row r="6928" spans="23:23" ht="24" customHeight="1">
      <c r="W6928" s="413"/>
    </row>
    <row r="6929" spans="23:23" ht="24" customHeight="1">
      <c r="W6929" s="413"/>
    </row>
    <row r="6930" spans="23:23" ht="24" customHeight="1">
      <c r="W6930" s="413"/>
    </row>
    <row r="6931" spans="23:23" ht="24" customHeight="1">
      <c r="W6931" s="413"/>
    </row>
    <row r="6932" spans="23:23" ht="24" customHeight="1">
      <c r="W6932" s="413"/>
    </row>
    <row r="6933" spans="23:23" ht="24" customHeight="1">
      <c r="W6933" s="413"/>
    </row>
    <row r="6934" spans="23:23" ht="24" customHeight="1">
      <c r="W6934" s="413"/>
    </row>
    <row r="6935" spans="23:23" ht="24" customHeight="1">
      <c r="W6935" s="413"/>
    </row>
    <row r="6936" spans="23:23" ht="24" customHeight="1">
      <c r="W6936" s="413"/>
    </row>
    <row r="6937" spans="23:23" ht="24" customHeight="1">
      <c r="W6937" s="413"/>
    </row>
    <row r="6938" spans="23:23" ht="24" customHeight="1">
      <c r="W6938" s="413"/>
    </row>
    <row r="6939" spans="23:23" ht="24" customHeight="1">
      <c r="W6939" s="413"/>
    </row>
    <row r="6940" spans="23:23" ht="24" customHeight="1">
      <c r="W6940" s="413"/>
    </row>
    <row r="6941" spans="23:23" ht="24" customHeight="1">
      <c r="W6941" s="413"/>
    </row>
    <row r="6942" spans="23:23" ht="24" customHeight="1">
      <c r="W6942" s="413"/>
    </row>
    <row r="6943" spans="23:23" ht="24" customHeight="1">
      <c r="W6943" s="413"/>
    </row>
    <row r="6944" spans="23:23" ht="24" customHeight="1">
      <c r="W6944" s="413"/>
    </row>
    <row r="6945" spans="23:23" ht="24" customHeight="1">
      <c r="W6945" s="413"/>
    </row>
    <row r="6946" spans="23:23" ht="24" customHeight="1">
      <c r="W6946" s="413"/>
    </row>
    <row r="6947" spans="23:23" ht="24" customHeight="1">
      <c r="W6947" s="413"/>
    </row>
    <row r="6948" spans="23:23" ht="24" customHeight="1">
      <c r="W6948" s="413"/>
    </row>
    <row r="6949" spans="23:23" ht="24" customHeight="1">
      <c r="W6949" s="413"/>
    </row>
    <row r="6950" spans="23:23" ht="24" customHeight="1">
      <c r="W6950" s="413"/>
    </row>
    <row r="6951" spans="23:23" ht="24" customHeight="1">
      <c r="W6951" s="413"/>
    </row>
    <row r="6952" spans="23:23" ht="24" customHeight="1">
      <c r="W6952" s="413"/>
    </row>
    <row r="6953" spans="23:23" ht="24" customHeight="1">
      <c r="W6953" s="413"/>
    </row>
    <row r="6954" spans="23:23" ht="24" customHeight="1">
      <c r="W6954" s="413"/>
    </row>
    <row r="6955" spans="23:23" ht="24" customHeight="1">
      <c r="W6955" s="413"/>
    </row>
    <row r="6956" spans="23:23" ht="24" customHeight="1">
      <c r="W6956" s="413"/>
    </row>
    <row r="6957" spans="23:23" ht="24" customHeight="1">
      <c r="W6957" s="413"/>
    </row>
    <row r="6958" spans="23:23" ht="24" customHeight="1">
      <c r="W6958" s="413"/>
    </row>
    <row r="6959" spans="23:23" ht="24" customHeight="1">
      <c r="W6959" s="413"/>
    </row>
    <row r="6960" spans="23:23" ht="24" customHeight="1">
      <c r="W6960" s="413"/>
    </row>
    <row r="6961" spans="23:23" ht="24" customHeight="1">
      <c r="W6961" s="413"/>
    </row>
    <row r="6962" spans="23:23" ht="24" customHeight="1">
      <c r="W6962" s="413"/>
    </row>
    <row r="6963" spans="23:23" ht="24" customHeight="1">
      <c r="W6963" s="413"/>
    </row>
    <row r="6964" spans="23:23" ht="24" customHeight="1">
      <c r="W6964" s="413"/>
    </row>
    <row r="6965" spans="23:23" ht="24" customHeight="1">
      <c r="W6965" s="413"/>
    </row>
    <row r="6966" spans="23:23" ht="24" customHeight="1">
      <c r="W6966" s="413"/>
    </row>
    <row r="6967" spans="23:23" ht="24" customHeight="1">
      <c r="W6967" s="413"/>
    </row>
    <row r="6968" spans="23:23" ht="24" customHeight="1">
      <c r="W6968" s="413"/>
    </row>
    <row r="6969" spans="23:23" ht="24" customHeight="1">
      <c r="W6969" s="413"/>
    </row>
    <row r="6970" spans="23:23" ht="24" customHeight="1">
      <c r="W6970" s="413"/>
    </row>
    <row r="6971" spans="23:23" ht="24" customHeight="1">
      <c r="W6971" s="413"/>
    </row>
    <row r="6972" spans="23:23" ht="24" customHeight="1">
      <c r="W6972" s="413"/>
    </row>
    <row r="6973" spans="23:23" ht="24" customHeight="1">
      <c r="W6973" s="413"/>
    </row>
    <row r="6974" spans="23:23" ht="24" customHeight="1">
      <c r="W6974" s="413"/>
    </row>
    <row r="6975" spans="23:23" ht="24" customHeight="1">
      <c r="W6975" s="413"/>
    </row>
    <row r="6976" spans="23:23" ht="24" customHeight="1">
      <c r="W6976" s="413"/>
    </row>
    <row r="6977" spans="23:23" ht="24" customHeight="1">
      <c r="W6977" s="413"/>
    </row>
    <row r="6978" spans="23:23" ht="24" customHeight="1">
      <c r="W6978" s="413"/>
    </row>
    <row r="6979" spans="23:23" ht="24" customHeight="1">
      <c r="W6979" s="413"/>
    </row>
    <row r="6980" spans="23:23" ht="24" customHeight="1">
      <c r="W6980" s="413"/>
    </row>
    <row r="6981" spans="23:23" ht="24" customHeight="1">
      <c r="W6981" s="413"/>
    </row>
    <row r="6982" spans="23:23" ht="24" customHeight="1">
      <c r="W6982" s="413"/>
    </row>
    <row r="6983" spans="23:23" ht="24" customHeight="1">
      <c r="W6983" s="413"/>
    </row>
    <row r="6984" spans="23:23" ht="24" customHeight="1">
      <c r="W6984" s="413"/>
    </row>
    <row r="6985" spans="23:23" ht="24" customHeight="1">
      <c r="W6985" s="413"/>
    </row>
    <row r="6986" spans="23:23" ht="24" customHeight="1">
      <c r="W6986" s="413"/>
    </row>
    <row r="6987" spans="23:23" ht="24" customHeight="1">
      <c r="W6987" s="413"/>
    </row>
    <row r="6988" spans="23:23" ht="24" customHeight="1">
      <c r="W6988" s="413"/>
    </row>
    <row r="6989" spans="23:23" ht="24" customHeight="1">
      <c r="W6989" s="413"/>
    </row>
    <row r="6990" spans="23:23" ht="24" customHeight="1">
      <c r="W6990" s="413"/>
    </row>
    <row r="6991" spans="23:23" ht="24" customHeight="1">
      <c r="W6991" s="413"/>
    </row>
    <row r="6992" spans="23:23" ht="24" customHeight="1">
      <c r="W6992" s="413"/>
    </row>
    <row r="6993" spans="23:23" ht="24" customHeight="1">
      <c r="W6993" s="413"/>
    </row>
    <row r="6994" spans="23:23" ht="24" customHeight="1">
      <c r="W6994" s="413"/>
    </row>
    <row r="6995" spans="23:23" ht="24" customHeight="1">
      <c r="W6995" s="413"/>
    </row>
    <row r="6996" spans="23:23" ht="24" customHeight="1">
      <c r="W6996" s="413"/>
    </row>
    <row r="6997" spans="23:23" ht="24" customHeight="1">
      <c r="W6997" s="413"/>
    </row>
    <row r="6998" spans="23:23" ht="24" customHeight="1">
      <c r="W6998" s="413"/>
    </row>
    <row r="6999" spans="23:23" ht="24" customHeight="1">
      <c r="W6999" s="413"/>
    </row>
    <row r="7000" spans="23:23" ht="24" customHeight="1">
      <c r="W7000" s="413"/>
    </row>
    <row r="7001" spans="23:23" ht="24" customHeight="1">
      <c r="W7001" s="413"/>
    </row>
    <row r="7002" spans="23:23" ht="24" customHeight="1">
      <c r="W7002" s="413"/>
    </row>
    <row r="7003" spans="23:23" ht="24" customHeight="1">
      <c r="W7003" s="413"/>
    </row>
    <row r="7004" spans="23:23" ht="24" customHeight="1">
      <c r="W7004" s="413"/>
    </row>
    <row r="7005" spans="23:23" ht="24" customHeight="1">
      <c r="W7005" s="413"/>
    </row>
    <row r="7006" spans="23:23" ht="24" customHeight="1">
      <c r="W7006" s="413"/>
    </row>
    <row r="7007" spans="23:23" ht="24" customHeight="1">
      <c r="W7007" s="413"/>
    </row>
    <row r="7008" spans="23:23" ht="24" customHeight="1">
      <c r="W7008" s="413"/>
    </row>
    <row r="7009" spans="23:23" ht="24" customHeight="1">
      <c r="W7009" s="413"/>
    </row>
    <row r="7010" spans="23:23" ht="24" customHeight="1">
      <c r="W7010" s="413"/>
    </row>
    <row r="7011" spans="23:23" ht="24" customHeight="1">
      <c r="W7011" s="413"/>
    </row>
    <row r="7012" spans="23:23" ht="24" customHeight="1">
      <c r="W7012" s="413"/>
    </row>
    <row r="7013" spans="23:23" ht="24" customHeight="1">
      <c r="W7013" s="413"/>
    </row>
    <row r="7014" spans="23:23" ht="24" customHeight="1">
      <c r="W7014" s="413"/>
    </row>
    <row r="7015" spans="23:23" ht="24" customHeight="1">
      <c r="W7015" s="413"/>
    </row>
    <row r="7016" spans="23:23" ht="24" customHeight="1">
      <c r="W7016" s="413"/>
    </row>
    <row r="7017" spans="23:23" ht="24" customHeight="1">
      <c r="W7017" s="413"/>
    </row>
    <row r="7018" spans="23:23" ht="24" customHeight="1">
      <c r="W7018" s="413"/>
    </row>
    <row r="7019" spans="23:23" ht="24" customHeight="1">
      <c r="W7019" s="413"/>
    </row>
    <row r="7020" spans="23:23" ht="24" customHeight="1">
      <c r="W7020" s="413"/>
    </row>
    <row r="7021" spans="23:23" ht="24" customHeight="1">
      <c r="W7021" s="413"/>
    </row>
    <row r="7022" spans="23:23" ht="24" customHeight="1">
      <c r="W7022" s="413"/>
    </row>
    <row r="7023" spans="23:23" ht="24" customHeight="1">
      <c r="W7023" s="413"/>
    </row>
    <row r="7024" spans="23:23" ht="24" customHeight="1">
      <c r="W7024" s="413"/>
    </row>
    <row r="7025" spans="23:23" ht="24" customHeight="1">
      <c r="W7025" s="413"/>
    </row>
    <row r="7026" spans="23:23" ht="24" customHeight="1">
      <c r="W7026" s="413"/>
    </row>
    <row r="7027" spans="23:23" ht="24" customHeight="1">
      <c r="W7027" s="413"/>
    </row>
    <row r="7028" spans="23:23" ht="24" customHeight="1">
      <c r="W7028" s="413"/>
    </row>
    <row r="7029" spans="23:23" ht="24" customHeight="1">
      <c r="W7029" s="413"/>
    </row>
    <row r="7030" spans="23:23" ht="24" customHeight="1">
      <c r="W7030" s="413"/>
    </row>
    <row r="7031" spans="23:23" ht="24" customHeight="1">
      <c r="W7031" s="413"/>
    </row>
    <row r="7032" spans="23:23" ht="24" customHeight="1">
      <c r="W7032" s="413"/>
    </row>
    <row r="7033" spans="23:23" ht="24" customHeight="1">
      <c r="W7033" s="413"/>
    </row>
    <row r="7034" spans="23:23" ht="24" customHeight="1">
      <c r="W7034" s="413"/>
    </row>
    <row r="7035" spans="23:23" ht="24" customHeight="1">
      <c r="W7035" s="413"/>
    </row>
    <row r="7036" spans="23:23" ht="24" customHeight="1">
      <c r="W7036" s="413"/>
    </row>
    <row r="7037" spans="23:23" ht="24" customHeight="1">
      <c r="W7037" s="413"/>
    </row>
    <row r="7038" spans="23:23" ht="24" customHeight="1">
      <c r="W7038" s="413"/>
    </row>
    <row r="7039" spans="23:23" ht="24" customHeight="1">
      <c r="W7039" s="413"/>
    </row>
    <row r="7040" spans="23:23" ht="24" customHeight="1">
      <c r="W7040" s="413"/>
    </row>
    <row r="7041" spans="23:23" ht="24" customHeight="1">
      <c r="W7041" s="413"/>
    </row>
    <row r="7042" spans="23:23" ht="24" customHeight="1">
      <c r="W7042" s="413"/>
    </row>
    <row r="7043" spans="23:23" ht="24" customHeight="1">
      <c r="W7043" s="413"/>
    </row>
    <row r="7044" spans="23:23" ht="24" customHeight="1">
      <c r="W7044" s="413"/>
    </row>
    <row r="7045" spans="23:23" ht="24" customHeight="1">
      <c r="W7045" s="413"/>
    </row>
    <row r="7046" spans="23:23" ht="24" customHeight="1">
      <c r="W7046" s="413"/>
    </row>
    <row r="7047" spans="23:23" ht="24" customHeight="1">
      <c r="W7047" s="413"/>
    </row>
    <row r="7048" spans="23:23" ht="24" customHeight="1">
      <c r="W7048" s="413"/>
    </row>
    <row r="7049" spans="23:23" ht="24" customHeight="1">
      <c r="W7049" s="413"/>
    </row>
    <row r="7050" spans="23:23" ht="24" customHeight="1">
      <c r="W7050" s="413"/>
    </row>
    <row r="7051" spans="23:23" ht="24" customHeight="1">
      <c r="W7051" s="413"/>
    </row>
    <row r="7052" spans="23:23" ht="24" customHeight="1">
      <c r="W7052" s="413"/>
    </row>
    <row r="7053" spans="23:23" ht="24" customHeight="1">
      <c r="W7053" s="413"/>
    </row>
    <row r="7054" spans="23:23" ht="24" customHeight="1">
      <c r="W7054" s="413"/>
    </row>
    <row r="7055" spans="23:23" ht="24" customHeight="1">
      <c r="W7055" s="413"/>
    </row>
    <row r="7056" spans="23:23" ht="24" customHeight="1">
      <c r="W7056" s="413"/>
    </row>
    <row r="7057" spans="23:23" ht="24" customHeight="1">
      <c r="W7057" s="413"/>
    </row>
    <row r="7058" spans="23:23" ht="24" customHeight="1">
      <c r="W7058" s="413"/>
    </row>
    <row r="7059" spans="23:23" ht="24" customHeight="1">
      <c r="W7059" s="413"/>
    </row>
    <row r="7060" spans="23:23" ht="24" customHeight="1">
      <c r="W7060" s="413"/>
    </row>
    <row r="7061" spans="23:23" ht="24" customHeight="1">
      <c r="W7061" s="413"/>
    </row>
    <row r="7062" spans="23:23" ht="24" customHeight="1">
      <c r="W7062" s="413"/>
    </row>
    <row r="7063" spans="23:23" ht="24" customHeight="1">
      <c r="W7063" s="413"/>
    </row>
    <row r="7064" spans="23:23" ht="24" customHeight="1">
      <c r="W7064" s="413"/>
    </row>
    <row r="7065" spans="23:23" ht="24" customHeight="1">
      <c r="W7065" s="413"/>
    </row>
    <row r="7066" spans="23:23" ht="24" customHeight="1">
      <c r="W7066" s="413"/>
    </row>
    <row r="7067" spans="23:23" ht="24" customHeight="1">
      <c r="W7067" s="413"/>
    </row>
    <row r="7068" spans="23:23" ht="24" customHeight="1">
      <c r="W7068" s="413"/>
    </row>
    <row r="7069" spans="23:23" ht="24" customHeight="1">
      <c r="W7069" s="413"/>
    </row>
    <row r="7070" spans="23:23" ht="24" customHeight="1">
      <c r="W7070" s="413"/>
    </row>
    <row r="7071" spans="23:23" ht="24" customHeight="1">
      <c r="W7071" s="413"/>
    </row>
    <row r="7072" spans="23:23" ht="24" customHeight="1">
      <c r="W7072" s="413"/>
    </row>
    <row r="7073" spans="23:23" ht="24" customHeight="1">
      <c r="W7073" s="413"/>
    </row>
    <row r="7074" spans="23:23" ht="24" customHeight="1">
      <c r="W7074" s="413"/>
    </row>
    <row r="7075" spans="23:23" ht="24" customHeight="1">
      <c r="W7075" s="413"/>
    </row>
    <row r="7076" spans="23:23" ht="24" customHeight="1">
      <c r="W7076" s="413"/>
    </row>
    <row r="7077" spans="23:23" ht="24" customHeight="1">
      <c r="W7077" s="413"/>
    </row>
    <row r="7078" spans="23:23" ht="24" customHeight="1">
      <c r="W7078" s="413"/>
    </row>
    <row r="7079" spans="23:23" ht="24" customHeight="1">
      <c r="W7079" s="413"/>
    </row>
    <row r="7080" spans="23:23" ht="24" customHeight="1">
      <c r="W7080" s="413"/>
    </row>
    <row r="7081" spans="23:23" ht="24" customHeight="1">
      <c r="W7081" s="413"/>
    </row>
    <row r="7082" spans="23:23" ht="24" customHeight="1">
      <c r="W7082" s="413"/>
    </row>
    <row r="7083" spans="23:23" ht="24" customHeight="1">
      <c r="W7083" s="413"/>
    </row>
    <row r="7084" spans="23:23" ht="24" customHeight="1">
      <c r="W7084" s="413"/>
    </row>
    <row r="7085" spans="23:23" ht="24" customHeight="1">
      <c r="W7085" s="413"/>
    </row>
    <row r="7086" spans="23:23" ht="24" customHeight="1">
      <c r="W7086" s="413"/>
    </row>
    <row r="7087" spans="23:23" ht="24" customHeight="1">
      <c r="W7087" s="413"/>
    </row>
    <row r="7088" spans="23:23" ht="24" customHeight="1">
      <c r="W7088" s="413"/>
    </row>
    <row r="7089" spans="23:23" ht="24" customHeight="1">
      <c r="W7089" s="413"/>
    </row>
    <row r="7090" spans="23:23" ht="24" customHeight="1">
      <c r="W7090" s="413"/>
    </row>
    <row r="7091" spans="23:23" ht="24" customHeight="1">
      <c r="W7091" s="413"/>
    </row>
    <row r="7092" spans="23:23" ht="24" customHeight="1">
      <c r="W7092" s="413"/>
    </row>
    <row r="7093" spans="23:23" ht="24" customHeight="1">
      <c r="W7093" s="413"/>
    </row>
    <row r="7094" spans="23:23" ht="24" customHeight="1">
      <c r="W7094" s="413"/>
    </row>
    <row r="7095" spans="23:23" ht="24" customHeight="1">
      <c r="W7095" s="413"/>
    </row>
    <row r="7096" spans="23:23" ht="24" customHeight="1">
      <c r="W7096" s="413"/>
    </row>
    <row r="7097" spans="23:23" ht="24" customHeight="1">
      <c r="W7097" s="413"/>
    </row>
    <row r="7098" spans="23:23" ht="24" customHeight="1">
      <c r="W7098" s="413"/>
    </row>
    <row r="7099" spans="23:23" ht="24" customHeight="1">
      <c r="W7099" s="413"/>
    </row>
    <row r="7100" spans="23:23" ht="24" customHeight="1">
      <c r="W7100" s="413"/>
    </row>
    <row r="7101" spans="23:23" ht="24" customHeight="1">
      <c r="W7101" s="413"/>
    </row>
    <row r="7102" spans="23:23" ht="24" customHeight="1">
      <c r="W7102" s="413"/>
    </row>
    <row r="7103" spans="23:23" ht="24" customHeight="1">
      <c r="W7103" s="413"/>
    </row>
    <row r="7104" spans="23:23" ht="24" customHeight="1">
      <c r="W7104" s="413"/>
    </row>
    <row r="7105" spans="23:23" ht="24" customHeight="1">
      <c r="W7105" s="413"/>
    </row>
    <row r="7106" spans="23:23" ht="24" customHeight="1">
      <c r="W7106" s="413"/>
    </row>
    <row r="7107" spans="23:23" ht="24" customHeight="1">
      <c r="W7107" s="413"/>
    </row>
    <row r="7108" spans="23:23" ht="24" customHeight="1">
      <c r="W7108" s="413"/>
    </row>
    <row r="7109" spans="23:23" ht="24" customHeight="1">
      <c r="W7109" s="413"/>
    </row>
    <row r="7110" spans="23:23" ht="24" customHeight="1">
      <c r="W7110" s="413"/>
    </row>
    <row r="7111" spans="23:23" ht="24" customHeight="1">
      <c r="W7111" s="413"/>
    </row>
    <row r="7112" spans="23:23" ht="24" customHeight="1">
      <c r="W7112" s="413"/>
    </row>
    <row r="7113" spans="23:23" ht="24" customHeight="1">
      <c r="W7113" s="413"/>
    </row>
    <row r="7114" spans="23:23" ht="24" customHeight="1">
      <c r="W7114" s="413"/>
    </row>
    <row r="7115" spans="23:23" ht="24" customHeight="1">
      <c r="W7115" s="413"/>
    </row>
    <row r="7116" spans="23:23" ht="24" customHeight="1">
      <c r="W7116" s="413"/>
    </row>
    <row r="7117" spans="23:23" ht="24" customHeight="1">
      <c r="W7117" s="413"/>
    </row>
    <row r="7118" spans="23:23" ht="24" customHeight="1">
      <c r="W7118" s="413"/>
    </row>
    <row r="7119" spans="23:23" ht="24" customHeight="1">
      <c r="W7119" s="413"/>
    </row>
    <row r="7120" spans="23:23" ht="24" customHeight="1">
      <c r="W7120" s="413"/>
    </row>
    <row r="7121" spans="23:23" ht="24" customHeight="1">
      <c r="W7121" s="413"/>
    </row>
    <row r="7122" spans="23:23" ht="24" customHeight="1">
      <c r="W7122" s="413"/>
    </row>
    <row r="7123" spans="23:23" ht="24" customHeight="1">
      <c r="W7123" s="413"/>
    </row>
    <row r="7124" spans="23:23" ht="24" customHeight="1">
      <c r="W7124" s="413"/>
    </row>
    <row r="7125" spans="23:23" ht="24" customHeight="1">
      <c r="W7125" s="413"/>
    </row>
    <row r="7126" spans="23:23" ht="24" customHeight="1">
      <c r="W7126" s="413"/>
    </row>
    <row r="7127" spans="23:23" ht="24" customHeight="1">
      <c r="W7127" s="413"/>
    </row>
    <row r="7128" spans="23:23" ht="24" customHeight="1">
      <c r="W7128" s="413"/>
    </row>
    <row r="7129" spans="23:23" ht="24" customHeight="1">
      <c r="W7129" s="413"/>
    </row>
    <row r="7130" spans="23:23" ht="24" customHeight="1">
      <c r="W7130" s="413"/>
    </row>
    <row r="7131" spans="23:23" ht="24" customHeight="1">
      <c r="W7131" s="413"/>
    </row>
    <row r="7132" spans="23:23" ht="24" customHeight="1">
      <c r="W7132" s="413"/>
    </row>
    <row r="7133" spans="23:23" ht="24" customHeight="1">
      <c r="W7133" s="413"/>
    </row>
    <row r="7134" spans="23:23" ht="24" customHeight="1">
      <c r="W7134" s="413"/>
    </row>
    <row r="7135" spans="23:23" ht="24" customHeight="1">
      <c r="W7135" s="413"/>
    </row>
    <row r="7136" spans="23:23" ht="24" customHeight="1">
      <c r="W7136" s="413"/>
    </row>
    <row r="7137" spans="23:23" ht="24" customHeight="1">
      <c r="W7137" s="413"/>
    </row>
    <row r="7138" spans="23:23" ht="24" customHeight="1">
      <c r="W7138" s="413"/>
    </row>
    <row r="7139" spans="23:23" ht="24" customHeight="1">
      <c r="W7139" s="413"/>
    </row>
    <row r="7140" spans="23:23" ht="24" customHeight="1">
      <c r="W7140" s="413"/>
    </row>
    <row r="7141" spans="23:23" ht="24" customHeight="1">
      <c r="W7141" s="413"/>
    </row>
    <row r="7142" spans="23:23" ht="24" customHeight="1">
      <c r="W7142" s="413"/>
    </row>
    <row r="7143" spans="23:23" ht="24" customHeight="1">
      <c r="W7143" s="413"/>
    </row>
    <row r="7144" spans="23:23" ht="24" customHeight="1">
      <c r="W7144" s="413"/>
    </row>
    <row r="7145" spans="23:23" ht="24" customHeight="1">
      <c r="W7145" s="413"/>
    </row>
    <row r="7146" spans="23:23" ht="24" customHeight="1">
      <c r="W7146" s="413"/>
    </row>
    <row r="7147" spans="23:23" ht="24" customHeight="1">
      <c r="W7147" s="413"/>
    </row>
    <row r="7148" spans="23:23" ht="24" customHeight="1">
      <c r="W7148" s="413"/>
    </row>
    <row r="7149" spans="23:23" ht="24" customHeight="1">
      <c r="W7149" s="413"/>
    </row>
    <row r="7150" spans="23:23" ht="24" customHeight="1">
      <c r="W7150" s="413"/>
    </row>
    <row r="7151" spans="23:23" ht="24" customHeight="1">
      <c r="W7151" s="413"/>
    </row>
    <row r="7152" spans="23:23" ht="24" customHeight="1">
      <c r="W7152" s="413"/>
    </row>
    <row r="7153" spans="23:23" ht="24" customHeight="1">
      <c r="W7153" s="413"/>
    </row>
    <row r="7154" spans="23:23" ht="24" customHeight="1">
      <c r="W7154" s="413"/>
    </row>
    <row r="7155" spans="23:23" ht="24" customHeight="1">
      <c r="W7155" s="413"/>
    </row>
    <row r="7156" spans="23:23" ht="24" customHeight="1">
      <c r="W7156" s="413"/>
    </row>
    <row r="7157" spans="23:23" ht="24" customHeight="1">
      <c r="W7157" s="413"/>
    </row>
    <row r="7158" spans="23:23" ht="24" customHeight="1">
      <c r="W7158" s="413"/>
    </row>
    <row r="7159" spans="23:23" ht="24" customHeight="1">
      <c r="W7159" s="413"/>
    </row>
    <row r="7160" spans="23:23" ht="24" customHeight="1">
      <c r="W7160" s="413"/>
    </row>
    <row r="7161" spans="23:23" ht="24" customHeight="1">
      <c r="W7161" s="413"/>
    </row>
    <row r="7162" spans="23:23" ht="24" customHeight="1">
      <c r="W7162" s="413"/>
    </row>
    <row r="7163" spans="23:23" ht="24" customHeight="1">
      <c r="W7163" s="413"/>
    </row>
    <row r="7164" spans="23:23" ht="24" customHeight="1">
      <c r="W7164" s="413"/>
    </row>
    <row r="7165" spans="23:23" ht="24" customHeight="1">
      <c r="W7165" s="413"/>
    </row>
    <row r="7166" spans="23:23" ht="24" customHeight="1">
      <c r="W7166" s="413"/>
    </row>
    <row r="7167" spans="23:23" ht="24" customHeight="1">
      <c r="W7167" s="413"/>
    </row>
    <row r="7168" spans="23:23" ht="24" customHeight="1">
      <c r="W7168" s="413"/>
    </row>
    <row r="7169" spans="23:23" ht="24" customHeight="1">
      <c r="W7169" s="413"/>
    </row>
    <row r="7170" spans="23:23" ht="24" customHeight="1">
      <c r="W7170" s="413"/>
    </row>
    <row r="7171" spans="23:23" ht="24" customHeight="1">
      <c r="W7171" s="413"/>
    </row>
    <row r="7172" spans="23:23" ht="24" customHeight="1">
      <c r="W7172" s="413"/>
    </row>
    <row r="7173" spans="23:23" ht="24" customHeight="1">
      <c r="W7173" s="413"/>
    </row>
    <row r="7174" spans="23:23" ht="24" customHeight="1">
      <c r="W7174" s="413"/>
    </row>
    <row r="7175" spans="23:23" ht="24" customHeight="1">
      <c r="W7175" s="413"/>
    </row>
    <row r="7176" spans="23:23" ht="24" customHeight="1">
      <c r="W7176" s="413"/>
    </row>
    <row r="7177" spans="23:23" ht="24" customHeight="1">
      <c r="W7177" s="413"/>
    </row>
    <row r="7178" spans="23:23" ht="24" customHeight="1">
      <c r="W7178" s="413"/>
    </row>
    <row r="7179" spans="23:23" ht="24" customHeight="1">
      <c r="W7179" s="413"/>
    </row>
    <row r="7180" spans="23:23" ht="24" customHeight="1">
      <c r="W7180" s="413"/>
    </row>
    <row r="7181" spans="23:23" ht="24" customHeight="1">
      <c r="W7181" s="413"/>
    </row>
    <row r="7182" spans="23:23" ht="24" customHeight="1">
      <c r="W7182" s="413"/>
    </row>
    <row r="7183" spans="23:23" ht="24" customHeight="1">
      <c r="W7183" s="413"/>
    </row>
    <row r="7184" spans="23:23" ht="24" customHeight="1">
      <c r="W7184" s="413"/>
    </row>
    <row r="7185" spans="23:23" ht="24" customHeight="1">
      <c r="W7185" s="413"/>
    </row>
    <row r="7186" spans="23:23" ht="24" customHeight="1">
      <c r="W7186" s="413"/>
    </row>
    <row r="7187" spans="23:23" ht="24" customHeight="1">
      <c r="W7187" s="413"/>
    </row>
    <row r="7188" spans="23:23" ht="24" customHeight="1">
      <c r="W7188" s="413"/>
    </row>
    <row r="7189" spans="23:23" ht="24" customHeight="1">
      <c r="W7189" s="413"/>
    </row>
    <row r="7190" spans="23:23" ht="24" customHeight="1">
      <c r="W7190" s="413"/>
    </row>
    <row r="7191" spans="23:23" ht="24" customHeight="1">
      <c r="W7191" s="413"/>
    </row>
    <row r="7192" spans="23:23" ht="24" customHeight="1">
      <c r="W7192" s="413"/>
    </row>
    <row r="7193" spans="23:23" ht="24" customHeight="1">
      <c r="W7193" s="413"/>
    </row>
    <row r="7194" spans="23:23" ht="24" customHeight="1">
      <c r="W7194" s="413"/>
    </row>
    <row r="7195" spans="23:23" ht="24" customHeight="1">
      <c r="W7195" s="413"/>
    </row>
    <row r="7196" spans="23:23" ht="24" customHeight="1">
      <c r="W7196" s="413"/>
    </row>
    <row r="7197" spans="23:23" ht="24" customHeight="1">
      <c r="W7197" s="413"/>
    </row>
    <row r="7198" spans="23:23" ht="24" customHeight="1">
      <c r="W7198" s="413"/>
    </row>
    <row r="7199" spans="23:23" ht="24" customHeight="1">
      <c r="W7199" s="413"/>
    </row>
    <row r="7200" spans="23:23" ht="24" customHeight="1">
      <c r="W7200" s="413"/>
    </row>
    <row r="7201" spans="23:23" ht="24" customHeight="1">
      <c r="W7201" s="413"/>
    </row>
    <row r="7202" spans="23:23" ht="24" customHeight="1">
      <c r="W7202" s="413"/>
    </row>
    <row r="7203" spans="23:23" ht="24" customHeight="1">
      <c r="W7203" s="413"/>
    </row>
    <row r="7204" spans="23:23" ht="24" customHeight="1">
      <c r="W7204" s="413"/>
    </row>
    <row r="7205" spans="23:23" ht="24" customHeight="1">
      <c r="W7205" s="413"/>
    </row>
    <row r="7206" spans="23:23" ht="24" customHeight="1">
      <c r="W7206" s="413"/>
    </row>
    <row r="7207" spans="23:23" ht="24" customHeight="1">
      <c r="W7207" s="413"/>
    </row>
    <row r="7208" spans="23:23" ht="24" customHeight="1">
      <c r="W7208" s="413"/>
    </row>
    <row r="7209" spans="23:23" ht="24" customHeight="1">
      <c r="W7209" s="413"/>
    </row>
    <row r="7210" spans="23:23" ht="24" customHeight="1">
      <c r="W7210" s="413"/>
    </row>
    <row r="7211" spans="23:23" ht="24" customHeight="1">
      <c r="W7211" s="413"/>
    </row>
    <row r="7212" spans="23:23" ht="24" customHeight="1">
      <c r="W7212" s="413"/>
    </row>
    <row r="7213" spans="23:23" ht="24" customHeight="1">
      <c r="W7213" s="413"/>
    </row>
    <row r="7214" spans="23:23" ht="24" customHeight="1">
      <c r="W7214" s="413"/>
    </row>
    <row r="7215" spans="23:23" ht="24" customHeight="1">
      <c r="W7215" s="413"/>
    </row>
    <row r="7216" spans="23:23" ht="24" customHeight="1">
      <c r="W7216" s="413"/>
    </row>
    <row r="7217" spans="23:23" ht="24" customHeight="1">
      <c r="W7217" s="413"/>
    </row>
    <row r="7218" spans="23:23" ht="24" customHeight="1">
      <c r="W7218" s="413"/>
    </row>
    <row r="7219" spans="23:23" ht="24" customHeight="1">
      <c r="W7219" s="413"/>
    </row>
    <row r="7220" spans="23:23" ht="24" customHeight="1">
      <c r="W7220" s="413"/>
    </row>
    <row r="7221" spans="23:23" ht="24" customHeight="1">
      <c r="W7221" s="413"/>
    </row>
    <row r="7222" spans="23:23" ht="24" customHeight="1">
      <c r="W7222" s="413"/>
    </row>
    <row r="7223" spans="23:23" ht="24" customHeight="1">
      <c r="W7223" s="413"/>
    </row>
    <row r="7224" spans="23:23" ht="24" customHeight="1">
      <c r="W7224" s="413"/>
    </row>
    <row r="7225" spans="23:23" ht="24" customHeight="1">
      <c r="W7225" s="413"/>
    </row>
    <row r="7226" spans="23:23" ht="24" customHeight="1">
      <c r="W7226" s="413"/>
    </row>
    <row r="7227" spans="23:23" ht="24" customHeight="1">
      <c r="W7227" s="413"/>
    </row>
    <row r="7228" spans="23:23" ht="24" customHeight="1">
      <c r="W7228" s="413"/>
    </row>
    <row r="7229" spans="23:23" ht="24" customHeight="1">
      <c r="W7229" s="413"/>
    </row>
    <row r="7230" spans="23:23" ht="24" customHeight="1">
      <c r="W7230" s="413"/>
    </row>
    <row r="7231" spans="23:23" ht="24" customHeight="1">
      <c r="W7231" s="413"/>
    </row>
    <row r="7232" spans="23:23" ht="24" customHeight="1">
      <c r="W7232" s="413"/>
    </row>
    <row r="7233" spans="23:23" ht="24" customHeight="1">
      <c r="W7233" s="413"/>
    </row>
    <row r="7234" spans="23:23" ht="24" customHeight="1">
      <c r="W7234" s="413"/>
    </row>
    <row r="7235" spans="23:23" ht="24" customHeight="1">
      <c r="W7235" s="413"/>
    </row>
    <row r="7236" spans="23:23" ht="24" customHeight="1">
      <c r="W7236" s="413"/>
    </row>
    <row r="7237" spans="23:23" ht="24" customHeight="1">
      <c r="W7237" s="413"/>
    </row>
    <row r="7238" spans="23:23" ht="24" customHeight="1">
      <c r="W7238" s="413"/>
    </row>
    <row r="7239" spans="23:23" ht="24" customHeight="1">
      <c r="W7239" s="413"/>
    </row>
    <row r="7240" spans="23:23" ht="24" customHeight="1">
      <c r="W7240" s="413"/>
    </row>
    <row r="7241" spans="23:23" ht="24" customHeight="1">
      <c r="W7241" s="413"/>
    </row>
    <row r="7242" spans="23:23" ht="24" customHeight="1">
      <c r="W7242" s="413"/>
    </row>
    <row r="7243" spans="23:23" ht="24" customHeight="1">
      <c r="W7243" s="413"/>
    </row>
    <row r="7244" spans="23:23" ht="24" customHeight="1">
      <c r="W7244" s="413"/>
    </row>
    <row r="7245" spans="23:23" ht="24" customHeight="1">
      <c r="W7245" s="413"/>
    </row>
    <row r="7246" spans="23:23" ht="24" customHeight="1">
      <c r="W7246" s="413"/>
    </row>
    <row r="7247" spans="23:23" ht="24" customHeight="1">
      <c r="W7247" s="413"/>
    </row>
    <row r="7248" spans="23:23" ht="24" customHeight="1">
      <c r="W7248" s="413"/>
    </row>
    <row r="7249" spans="23:23" ht="24" customHeight="1">
      <c r="W7249" s="413"/>
    </row>
    <row r="7250" spans="23:23" ht="24" customHeight="1">
      <c r="W7250" s="413"/>
    </row>
    <row r="7251" spans="23:23" ht="24" customHeight="1">
      <c r="W7251" s="413"/>
    </row>
    <row r="7252" spans="23:23" ht="24" customHeight="1">
      <c r="W7252" s="413"/>
    </row>
    <row r="7253" spans="23:23" ht="24" customHeight="1">
      <c r="W7253" s="413"/>
    </row>
    <row r="7254" spans="23:23" ht="24" customHeight="1">
      <c r="W7254" s="413"/>
    </row>
    <row r="7255" spans="23:23" ht="24" customHeight="1">
      <c r="W7255" s="413"/>
    </row>
    <row r="7256" spans="23:23" ht="24" customHeight="1">
      <c r="W7256" s="413"/>
    </row>
    <row r="7257" spans="23:23" ht="24" customHeight="1">
      <c r="W7257" s="413"/>
    </row>
    <row r="7258" spans="23:23" ht="24" customHeight="1">
      <c r="W7258" s="413"/>
    </row>
    <row r="7259" spans="23:23" ht="24" customHeight="1">
      <c r="W7259" s="413"/>
    </row>
    <row r="7260" spans="23:23" ht="24" customHeight="1">
      <c r="W7260" s="413"/>
    </row>
    <row r="7261" spans="23:23" ht="24" customHeight="1">
      <c r="W7261" s="413"/>
    </row>
    <row r="7262" spans="23:23" ht="24" customHeight="1">
      <c r="W7262" s="413"/>
    </row>
    <row r="7263" spans="23:23" ht="24" customHeight="1">
      <c r="W7263" s="413"/>
    </row>
    <row r="7264" spans="23:23" ht="24" customHeight="1">
      <c r="W7264" s="413"/>
    </row>
    <row r="7265" spans="23:23" ht="24" customHeight="1">
      <c r="W7265" s="413"/>
    </row>
    <row r="7266" spans="23:23" ht="24" customHeight="1">
      <c r="W7266" s="413"/>
    </row>
    <row r="7267" spans="23:23" ht="24" customHeight="1">
      <c r="W7267" s="413"/>
    </row>
    <row r="7268" spans="23:23" ht="24" customHeight="1">
      <c r="W7268" s="413"/>
    </row>
    <row r="7269" spans="23:23" ht="24" customHeight="1">
      <c r="W7269" s="413"/>
    </row>
    <row r="7270" spans="23:23" ht="24" customHeight="1">
      <c r="W7270" s="413"/>
    </row>
    <row r="7271" spans="23:23" ht="24" customHeight="1">
      <c r="W7271" s="413"/>
    </row>
    <row r="7272" spans="23:23" ht="24" customHeight="1">
      <c r="W7272" s="413"/>
    </row>
    <row r="7273" spans="23:23" ht="24" customHeight="1">
      <c r="W7273" s="413"/>
    </row>
    <row r="7274" spans="23:23" ht="24" customHeight="1">
      <c r="W7274" s="413"/>
    </row>
    <row r="7275" spans="23:23" ht="24" customHeight="1">
      <c r="W7275" s="413"/>
    </row>
    <row r="7276" spans="23:23" ht="24" customHeight="1">
      <c r="W7276" s="413"/>
    </row>
    <row r="7277" spans="23:23" ht="24" customHeight="1">
      <c r="W7277" s="413"/>
    </row>
    <row r="7278" spans="23:23" ht="24" customHeight="1">
      <c r="W7278" s="413"/>
    </row>
    <row r="7279" spans="23:23" ht="24" customHeight="1">
      <c r="W7279" s="413"/>
    </row>
    <row r="7280" spans="23:23" ht="24" customHeight="1">
      <c r="W7280" s="413"/>
    </row>
    <row r="7281" spans="23:23" ht="24" customHeight="1">
      <c r="W7281" s="413"/>
    </row>
    <row r="7282" spans="23:23" ht="24" customHeight="1">
      <c r="W7282" s="413"/>
    </row>
    <row r="7283" spans="23:23" ht="24" customHeight="1">
      <c r="W7283" s="413"/>
    </row>
    <row r="7284" spans="23:23" ht="24" customHeight="1">
      <c r="W7284" s="413"/>
    </row>
    <row r="7285" spans="23:23" ht="24" customHeight="1">
      <c r="W7285" s="413"/>
    </row>
    <row r="7286" spans="23:23" ht="24" customHeight="1">
      <c r="W7286" s="413"/>
    </row>
    <row r="7287" spans="23:23" ht="24" customHeight="1">
      <c r="W7287" s="413"/>
    </row>
    <row r="7288" spans="23:23" ht="24" customHeight="1">
      <c r="W7288" s="413"/>
    </row>
    <row r="7289" spans="23:23" ht="24" customHeight="1">
      <c r="W7289" s="413"/>
    </row>
    <row r="7290" spans="23:23" ht="24" customHeight="1">
      <c r="W7290" s="413"/>
    </row>
    <row r="7291" spans="23:23" ht="24" customHeight="1">
      <c r="W7291" s="413"/>
    </row>
    <row r="7292" spans="23:23" ht="24" customHeight="1">
      <c r="W7292" s="413"/>
    </row>
    <row r="7293" spans="23:23" ht="24" customHeight="1">
      <c r="W7293" s="413"/>
    </row>
    <row r="7294" spans="23:23" ht="24" customHeight="1">
      <c r="W7294" s="413"/>
    </row>
    <row r="7295" spans="23:23" ht="24" customHeight="1">
      <c r="W7295" s="413"/>
    </row>
    <row r="7296" spans="23:23" ht="24" customHeight="1">
      <c r="W7296" s="413"/>
    </row>
    <row r="7297" spans="23:23" ht="24" customHeight="1">
      <c r="W7297" s="413"/>
    </row>
    <row r="7298" spans="23:23" ht="24" customHeight="1">
      <c r="W7298" s="413"/>
    </row>
    <row r="7299" spans="23:23" ht="24" customHeight="1">
      <c r="W7299" s="413"/>
    </row>
    <row r="7300" spans="23:23" ht="24" customHeight="1">
      <c r="W7300" s="413"/>
    </row>
    <row r="7301" spans="23:23" ht="24" customHeight="1">
      <c r="W7301" s="413"/>
    </row>
    <row r="7302" spans="23:23" ht="24" customHeight="1">
      <c r="W7302" s="413"/>
    </row>
    <row r="7303" spans="23:23" ht="24" customHeight="1">
      <c r="W7303" s="413"/>
    </row>
    <row r="7304" spans="23:23" ht="24" customHeight="1">
      <c r="W7304" s="413"/>
    </row>
    <row r="7305" spans="23:23" ht="24" customHeight="1">
      <c r="W7305" s="413"/>
    </row>
    <row r="7306" spans="23:23" ht="24" customHeight="1">
      <c r="W7306" s="413"/>
    </row>
    <row r="7307" spans="23:23" ht="24" customHeight="1">
      <c r="W7307" s="413"/>
    </row>
    <row r="7308" spans="23:23" ht="24" customHeight="1">
      <c r="W7308" s="413"/>
    </row>
    <row r="7309" spans="23:23" ht="24" customHeight="1">
      <c r="W7309" s="413"/>
    </row>
    <row r="7310" spans="23:23" ht="24" customHeight="1">
      <c r="W7310" s="413"/>
    </row>
    <row r="7311" spans="23:23" ht="24" customHeight="1">
      <c r="W7311" s="413"/>
    </row>
    <row r="7312" spans="23:23" ht="24" customHeight="1">
      <c r="W7312" s="413"/>
    </row>
    <row r="7313" spans="23:23" ht="24" customHeight="1">
      <c r="W7313" s="413"/>
    </row>
    <row r="7314" spans="23:23" ht="24" customHeight="1">
      <c r="W7314" s="413"/>
    </row>
    <row r="7315" spans="23:23" ht="24" customHeight="1">
      <c r="W7315" s="413"/>
    </row>
    <row r="7316" spans="23:23" ht="24" customHeight="1">
      <c r="W7316" s="413"/>
    </row>
    <row r="7317" spans="23:23" ht="24" customHeight="1">
      <c r="W7317" s="413"/>
    </row>
    <row r="7318" spans="23:23" ht="24" customHeight="1">
      <c r="W7318" s="413"/>
    </row>
    <row r="7319" spans="23:23" ht="24" customHeight="1">
      <c r="W7319" s="413"/>
    </row>
    <row r="7320" spans="23:23" ht="24" customHeight="1">
      <c r="W7320" s="413"/>
    </row>
    <row r="7321" spans="23:23" ht="24" customHeight="1">
      <c r="W7321" s="413"/>
    </row>
    <row r="7322" spans="23:23" ht="24" customHeight="1">
      <c r="W7322" s="413"/>
    </row>
    <row r="7323" spans="23:23" ht="24" customHeight="1">
      <c r="W7323" s="413"/>
    </row>
    <row r="7324" spans="23:23" ht="24" customHeight="1">
      <c r="W7324" s="413"/>
    </row>
    <row r="7325" spans="23:23" ht="24" customHeight="1">
      <c r="W7325" s="413"/>
    </row>
    <row r="7326" spans="23:23" ht="24" customHeight="1">
      <c r="W7326" s="413"/>
    </row>
    <row r="7327" spans="23:23" ht="24" customHeight="1">
      <c r="W7327" s="413"/>
    </row>
    <row r="7328" spans="23:23" ht="24" customHeight="1">
      <c r="W7328" s="413"/>
    </row>
    <row r="7329" spans="23:23" ht="24" customHeight="1">
      <c r="W7329" s="413"/>
    </row>
    <row r="7330" spans="23:23" ht="24" customHeight="1">
      <c r="W7330" s="413"/>
    </row>
    <row r="7331" spans="23:23" ht="24" customHeight="1">
      <c r="W7331" s="413"/>
    </row>
    <row r="7332" spans="23:23" ht="24" customHeight="1">
      <c r="W7332" s="413"/>
    </row>
    <row r="7333" spans="23:23" ht="24" customHeight="1">
      <c r="W7333" s="413"/>
    </row>
    <row r="7334" spans="23:23" ht="24" customHeight="1">
      <c r="W7334" s="413"/>
    </row>
    <row r="7335" spans="23:23" ht="24" customHeight="1">
      <c r="W7335" s="413"/>
    </row>
    <row r="7336" spans="23:23" ht="24" customHeight="1">
      <c r="W7336" s="413"/>
    </row>
    <row r="7337" spans="23:23" ht="24" customHeight="1">
      <c r="W7337" s="413"/>
    </row>
    <row r="7338" spans="23:23" ht="24" customHeight="1">
      <c r="W7338" s="413"/>
    </row>
    <row r="7339" spans="23:23" ht="24" customHeight="1">
      <c r="W7339" s="413"/>
    </row>
    <row r="7340" spans="23:23" ht="24" customHeight="1">
      <c r="W7340" s="413"/>
    </row>
    <row r="7341" spans="23:23" ht="24" customHeight="1">
      <c r="W7341" s="413"/>
    </row>
    <row r="7342" spans="23:23" ht="24" customHeight="1">
      <c r="W7342" s="413"/>
    </row>
    <row r="7343" spans="23:23" ht="24" customHeight="1">
      <c r="W7343" s="413"/>
    </row>
    <row r="7344" spans="23:23" ht="24" customHeight="1">
      <c r="W7344" s="413"/>
    </row>
    <row r="7345" spans="23:23" ht="24" customHeight="1">
      <c r="W7345" s="413"/>
    </row>
    <row r="7346" spans="23:23" ht="24" customHeight="1">
      <c r="W7346" s="413"/>
    </row>
    <row r="7347" spans="23:23" ht="24" customHeight="1">
      <c r="W7347" s="413"/>
    </row>
    <row r="7348" spans="23:23" ht="24" customHeight="1">
      <c r="W7348" s="413"/>
    </row>
    <row r="7349" spans="23:23" ht="24" customHeight="1">
      <c r="W7349" s="413"/>
    </row>
    <row r="7350" spans="23:23" ht="24" customHeight="1">
      <c r="W7350" s="413"/>
    </row>
    <row r="7351" spans="23:23" ht="24" customHeight="1">
      <c r="W7351" s="413"/>
    </row>
    <row r="7352" spans="23:23" ht="24" customHeight="1">
      <c r="W7352" s="413"/>
    </row>
    <row r="7353" spans="23:23" ht="24" customHeight="1">
      <c r="W7353" s="413"/>
    </row>
    <row r="7354" spans="23:23" ht="24" customHeight="1">
      <c r="W7354" s="413"/>
    </row>
    <row r="7355" spans="23:23" ht="24" customHeight="1">
      <c r="W7355" s="413"/>
    </row>
    <row r="7356" spans="23:23" ht="24" customHeight="1">
      <c r="W7356" s="413"/>
    </row>
    <row r="7357" spans="23:23" ht="24" customHeight="1">
      <c r="W7357" s="413"/>
    </row>
    <row r="7358" spans="23:23" ht="24" customHeight="1">
      <c r="W7358" s="413"/>
    </row>
    <row r="7359" spans="23:23" ht="24" customHeight="1">
      <c r="W7359" s="413"/>
    </row>
    <row r="7360" spans="23:23" ht="24" customHeight="1">
      <c r="W7360" s="413"/>
    </row>
    <row r="7361" spans="23:23" ht="24" customHeight="1">
      <c r="W7361" s="413"/>
    </row>
    <row r="7362" spans="23:23" ht="24" customHeight="1">
      <c r="W7362" s="413"/>
    </row>
    <row r="7363" spans="23:23" ht="24" customHeight="1">
      <c r="W7363" s="413"/>
    </row>
    <row r="7364" spans="23:23" ht="24" customHeight="1">
      <c r="W7364" s="413"/>
    </row>
    <row r="7365" spans="23:23" ht="24" customHeight="1">
      <c r="W7365" s="413"/>
    </row>
    <row r="7366" spans="23:23" ht="24" customHeight="1">
      <c r="W7366" s="413"/>
    </row>
    <row r="7367" spans="23:23" ht="24" customHeight="1">
      <c r="W7367" s="413"/>
    </row>
    <row r="7368" spans="23:23" ht="24" customHeight="1">
      <c r="W7368" s="413"/>
    </row>
    <row r="7369" spans="23:23" ht="24" customHeight="1">
      <c r="W7369" s="413"/>
    </row>
    <row r="7370" spans="23:23" ht="24" customHeight="1">
      <c r="W7370" s="413"/>
    </row>
    <row r="7371" spans="23:23" ht="24" customHeight="1">
      <c r="W7371" s="413"/>
    </row>
    <row r="7372" spans="23:23" ht="24" customHeight="1">
      <c r="W7372" s="413"/>
    </row>
    <row r="7373" spans="23:23" ht="24" customHeight="1">
      <c r="W7373" s="413"/>
    </row>
    <row r="7374" spans="23:23" ht="24" customHeight="1">
      <c r="W7374" s="413"/>
    </row>
    <row r="7375" spans="23:23" ht="24" customHeight="1">
      <c r="W7375" s="413"/>
    </row>
    <row r="7376" spans="23:23" ht="24" customHeight="1">
      <c r="W7376" s="413"/>
    </row>
    <row r="7377" spans="23:23" ht="24" customHeight="1">
      <c r="W7377" s="413"/>
    </row>
    <row r="7378" spans="23:23" ht="24" customHeight="1">
      <c r="W7378" s="413"/>
    </row>
    <row r="7379" spans="23:23" ht="24" customHeight="1">
      <c r="W7379" s="413"/>
    </row>
    <row r="7380" spans="23:23" ht="24" customHeight="1">
      <c r="W7380" s="413"/>
    </row>
    <row r="7381" spans="23:23" ht="24" customHeight="1">
      <c r="W7381" s="413"/>
    </row>
    <row r="7382" spans="23:23" ht="24" customHeight="1">
      <c r="W7382" s="413"/>
    </row>
    <row r="7383" spans="23:23" ht="24" customHeight="1">
      <c r="W7383" s="413"/>
    </row>
    <row r="7384" spans="23:23" ht="24" customHeight="1">
      <c r="W7384" s="413"/>
    </row>
    <row r="7385" spans="23:23" ht="24" customHeight="1">
      <c r="W7385" s="413"/>
    </row>
    <row r="7386" spans="23:23" ht="24" customHeight="1">
      <c r="W7386" s="413"/>
    </row>
    <row r="7387" spans="23:23" ht="24" customHeight="1">
      <c r="W7387" s="413"/>
    </row>
    <row r="7388" spans="23:23" ht="24" customHeight="1">
      <c r="W7388" s="413"/>
    </row>
    <row r="7389" spans="23:23" ht="24" customHeight="1">
      <c r="W7389" s="413"/>
    </row>
    <row r="7390" spans="23:23" ht="24" customHeight="1">
      <c r="W7390" s="413"/>
    </row>
    <row r="7391" spans="23:23" ht="24" customHeight="1">
      <c r="W7391" s="413"/>
    </row>
    <row r="7392" spans="23:23" ht="24" customHeight="1">
      <c r="W7392" s="413"/>
    </row>
    <row r="7393" spans="23:23" ht="24" customHeight="1">
      <c r="W7393" s="413"/>
    </row>
    <row r="7394" spans="23:23" ht="24" customHeight="1">
      <c r="W7394" s="413"/>
    </row>
    <row r="7395" spans="23:23" ht="24" customHeight="1">
      <c r="W7395" s="413"/>
    </row>
    <row r="7396" spans="23:23" ht="24" customHeight="1">
      <c r="W7396" s="413"/>
    </row>
    <row r="7397" spans="23:23" ht="24" customHeight="1">
      <c r="W7397" s="413"/>
    </row>
    <row r="7398" spans="23:23" ht="24" customHeight="1">
      <c r="W7398" s="413"/>
    </row>
    <row r="7399" spans="23:23" ht="24" customHeight="1">
      <c r="W7399" s="413"/>
    </row>
    <row r="7400" spans="23:23" ht="24" customHeight="1">
      <c r="W7400" s="413"/>
    </row>
    <row r="7401" spans="23:23" ht="24" customHeight="1">
      <c r="W7401" s="413"/>
    </row>
    <row r="7402" spans="23:23" ht="24" customHeight="1">
      <c r="W7402" s="413"/>
    </row>
    <row r="7403" spans="23:23" ht="24" customHeight="1">
      <c r="W7403" s="413"/>
    </row>
    <row r="7404" spans="23:23" ht="24" customHeight="1">
      <c r="W7404" s="413"/>
    </row>
    <row r="7405" spans="23:23" ht="24" customHeight="1">
      <c r="W7405" s="413"/>
    </row>
    <row r="7406" spans="23:23" ht="24" customHeight="1">
      <c r="W7406" s="413"/>
    </row>
    <row r="7407" spans="23:23" ht="24" customHeight="1">
      <c r="W7407" s="413"/>
    </row>
    <row r="7408" spans="23:23" ht="24" customHeight="1">
      <c r="W7408" s="413"/>
    </row>
    <row r="7409" spans="23:23" ht="24" customHeight="1">
      <c r="W7409" s="413"/>
    </row>
    <row r="7410" spans="23:23" ht="24" customHeight="1">
      <c r="W7410" s="413"/>
    </row>
    <row r="7411" spans="23:23" ht="24" customHeight="1">
      <c r="W7411" s="413"/>
    </row>
    <row r="7412" spans="23:23" ht="24" customHeight="1">
      <c r="W7412" s="413"/>
    </row>
    <row r="7413" spans="23:23" ht="24" customHeight="1">
      <c r="W7413" s="413"/>
    </row>
    <row r="7414" spans="23:23" ht="24" customHeight="1">
      <c r="W7414" s="413"/>
    </row>
    <row r="7415" spans="23:23" ht="24" customHeight="1">
      <c r="W7415" s="413"/>
    </row>
    <row r="7416" spans="23:23" ht="24" customHeight="1">
      <c r="W7416" s="413"/>
    </row>
    <row r="7417" spans="23:23" ht="24" customHeight="1">
      <c r="W7417" s="413"/>
    </row>
    <row r="7418" spans="23:23" ht="24" customHeight="1">
      <c r="W7418" s="413"/>
    </row>
    <row r="7419" spans="23:23" ht="24" customHeight="1">
      <c r="W7419" s="413"/>
    </row>
    <row r="7420" spans="23:23" ht="24" customHeight="1">
      <c r="W7420" s="413"/>
    </row>
    <row r="7421" spans="23:23" ht="24" customHeight="1">
      <c r="W7421" s="413"/>
    </row>
    <row r="7422" spans="23:23" ht="24" customHeight="1">
      <c r="W7422" s="413"/>
    </row>
    <row r="7423" spans="23:23" ht="24" customHeight="1">
      <c r="W7423" s="413"/>
    </row>
    <row r="7424" spans="23:23" ht="24" customHeight="1">
      <c r="W7424" s="413"/>
    </row>
    <row r="7425" spans="23:23" ht="24" customHeight="1">
      <c r="W7425" s="413"/>
    </row>
    <row r="7426" spans="23:23" ht="24" customHeight="1">
      <c r="W7426" s="413"/>
    </row>
    <row r="7427" spans="23:23" ht="24" customHeight="1">
      <c r="W7427" s="413"/>
    </row>
    <row r="7428" spans="23:23" ht="24" customHeight="1">
      <c r="W7428" s="413"/>
    </row>
    <row r="7429" spans="23:23" ht="24" customHeight="1">
      <c r="W7429" s="413"/>
    </row>
    <row r="7430" spans="23:23" ht="24" customHeight="1">
      <c r="W7430" s="413"/>
    </row>
    <row r="7431" spans="23:23" ht="24" customHeight="1">
      <c r="W7431" s="413"/>
    </row>
    <row r="7432" spans="23:23" ht="24" customHeight="1">
      <c r="W7432" s="413"/>
    </row>
    <row r="7433" spans="23:23" ht="24" customHeight="1">
      <c r="W7433" s="413"/>
    </row>
    <row r="7434" spans="23:23" ht="24" customHeight="1">
      <c r="W7434" s="413"/>
    </row>
    <row r="7435" spans="23:23" ht="24" customHeight="1">
      <c r="W7435" s="413"/>
    </row>
    <row r="7436" spans="23:23" ht="24" customHeight="1">
      <c r="W7436" s="413"/>
    </row>
    <row r="7437" spans="23:23" ht="24" customHeight="1">
      <c r="W7437" s="413"/>
    </row>
    <row r="7438" spans="23:23" ht="24" customHeight="1">
      <c r="W7438" s="413"/>
    </row>
    <row r="7439" spans="23:23" ht="24" customHeight="1">
      <c r="W7439" s="413"/>
    </row>
    <row r="7440" spans="23:23" ht="24" customHeight="1">
      <c r="W7440" s="413"/>
    </row>
    <row r="7441" spans="23:23" ht="24" customHeight="1">
      <c r="W7441" s="413"/>
    </row>
    <row r="7442" spans="23:23" ht="24" customHeight="1">
      <c r="W7442" s="413"/>
    </row>
    <row r="7443" spans="23:23" ht="24" customHeight="1">
      <c r="W7443" s="413"/>
    </row>
    <row r="7444" spans="23:23" ht="24" customHeight="1">
      <c r="W7444" s="413"/>
    </row>
    <row r="7445" spans="23:23" ht="24" customHeight="1">
      <c r="W7445" s="413"/>
    </row>
    <row r="7446" spans="23:23" ht="24" customHeight="1">
      <c r="W7446" s="413"/>
    </row>
    <row r="7447" spans="23:23" ht="24" customHeight="1">
      <c r="W7447" s="413"/>
    </row>
    <row r="7448" spans="23:23" ht="24" customHeight="1">
      <c r="W7448" s="413"/>
    </row>
    <row r="7449" spans="23:23" ht="24" customHeight="1">
      <c r="W7449" s="413"/>
    </row>
    <row r="7450" spans="23:23" ht="24" customHeight="1">
      <c r="W7450" s="413"/>
    </row>
    <row r="7451" spans="23:23" ht="24" customHeight="1">
      <c r="W7451" s="413"/>
    </row>
    <row r="7452" spans="23:23" ht="24" customHeight="1">
      <c r="W7452" s="413"/>
    </row>
    <row r="7453" spans="23:23" ht="24" customHeight="1">
      <c r="W7453" s="413"/>
    </row>
    <row r="7454" spans="23:23" ht="24" customHeight="1">
      <c r="W7454" s="413"/>
    </row>
    <row r="7455" spans="23:23" ht="24" customHeight="1">
      <c r="W7455" s="413"/>
    </row>
    <row r="7456" spans="23:23" ht="24" customHeight="1">
      <c r="W7456" s="413"/>
    </row>
    <row r="7457" spans="23:23" ht="24" customHeight="1">
      <c r="W7457" s="413"/>
    </row>
    <row r="7458" spans="23:23" ht="24" customHeight="1">
      <c r="W7458" s="413"/>
    </row>
    <row r="7459" spans="23:23" ht="24" customHeight="1">
      <c r="W7459" s="413"/>
    </row>
    <row r="7460" spans="23:23" ht="24" customHeight="1">
      <c r="W7460" s="413"/>
    </row>
    <row r="7461" spans="23:23" ht="24" customHeight="1">
      <c r="W7461" s="413"/>
    </row>
    <row r="7462" spans="23:23" ht="24" customHeight="1">
      <c r="W7462" s="413"/>
    </row>
    <row r="7463" spans="23:23" ht="24" customHeight="1">
      <c r="W7463" s="413"/>
    </row>
    <row r="7464" spans="23:23" ht="24" customHeight="1">
      <c r="W7464" s="413"/>
    </row>
    <row r="7465" spans="23:23" ht="24" customHeight="1">
      <c r="W7465" s="413"/>
    </row>
    <row r="7466" spans="23:23" ht="24" customHeight="1">
      <c r="W7466" s="413"/>
    </row>
    <row r="7467" spans="23:23" ht="24" customHeight="1">
      <c r="W7467" s="413"/>
    </row>
    <row r="7468" spans="23:23" ht="24" customHeight="1">
      <c r="W7468" s="413"/>
    </row>
    <row r="7469" spans="23:23" ht="24" customHeight="1">
      <c r="W7469" s="413"/>
    </row>
    <row r="7470" spans="23:23" ht="24" customHeight="1">
      <c r="W7470" s="413"/>
    </row>
    <row r="7471" spans="23:23" ht="24" customHeight="1">
      <c r="W7471" s="413"/>
    </row>
    <row r="7472" spans="23:23" ht="24" customHeight="1">
      <c r="W7472" s="413"/>
    </row>
    <row r="7473" spans="23:23" ht="24" customHeight="1">
      <c r="W7473" s="413"/>
    </row>
    <row r="7474" spans="23:23" ht="24" customHeight="1">
      <c r="W7474" s="413"/>
    </row>
    <row r="7475" spans="23:23" ht="24" customHeight="1">
      <c r="W7475" s="413"/>
    </row>
    <row r="7476" spans="23:23" ht="24" customHeight="1">
      <c r="W7476" s="413"/>
    </row>
    <row r="7477" spans="23:23" ht="24" customHeight="1">
      <c r="W7477" s="413"/>
    </row>
    <row r="7478" spans="23:23" ht="24" customHeight="1">
      <c r="W7478" s="413"/>
    </row>
    <row r="7479" spans="23:23" ht="24" customHeight="1">
      <c r="W7479" s="413"/>
    </row>
    <row r="7480" spans="23:23" ht="24" customHeight="1">
      <c r="W7480" s="413"/>
    </row>
    <row r="7481" spans="23:23" ht="24" customHeight="1">
      <c r="W7481" s="413"/>
    </row>
    <row r="7482" spans="23:23" ht="24" customHeight="1">
      <c r="W7482" s="413"/>
    </row>
    <row r="7483" spans="23:23" ht="24" customHeight="1">
      <c r="W7483" s="413"/>
    </row>
    <row r="7484" spans="23:23" ht="24" customHeight="1">
      <c r="W7484" s="413"/>
    </row>
    <row r="7485" spans="23:23" ht="24" customHeight="1">
      <c r="W7485" s="413"/>
    </row>
    <row r="7486" spans="23:23" ht="24" customHeight="1">
      <c r="W7486" s="413"/>
    </row>
    <row r="7487" spans="23:23" ht="24" customHeight="1">
      <c r="W7487" s="413"/>
    </row>
    <row r="7488" spans="23:23" ht="24" customHeight="1">
      <c r="W7488" s="413"/>
    </row>
    <row r="7489" spans="23:23" ht="24" customHeight="1">
      <c r="W7489" s="413"/>
    </row>
    <row r="7490" spans="23:23" ht="24" customHeight="1">
      <c r="W7490" s="413"/>
    </row>
    <row r="7491" spans="23:23" ht="24" customHeight="1">
      <c r="W7491" s="413"/>
    </row>
    <row r="7492" spans="23:23" ht="24" customHeight="1">
      <c r="W7492" s="413"/>
    </row>
    <row r="7493" spans="23:23" ht="24" customHeight="1">
      <c r="W7493" s="413"/>
    </row>
    <row r="7494" spans="23:23" ht="24" customHeight="1">
      <c r="W7494" s="413"/>
    </row>
    <row r="7495" spans="23:23" ht="24" customHeight="1">
      <c r="W7495" s="413"/>
    </row>
    <row r="7496" spans="23:23" ht="24" customHeight="1">
      <c r="W7496" s="413"/>
    </row>
    <row r="7497" spans="23:23" ht="24" customHeight="1">
      <c r="W7497" s="413"/>
    </row>
    <row r="7498" spans="23:23" ht="24" customHeight="1">
      <c r="W7498" s="413"/>
    </row>
    <row r="7499" spans="23:23" ht="24" customHeight="1">
      <c r="W7499" s="413"/>
    </row>
    <row r="7500" spans="23:23" ht="24" customHeight="1">
      <c r="W7500" s="413"/>
    </row>
    <row r="7501" spans="23:23" ht="24" customHeight="1">
      <c r="W7501" s="413"/>
    </row>
    <row r="7502" spans="23:23" ht="24" customHeight="1">
      <c r="W7502" s="413"/>
    </row>
    <row r="7503" spans="23:23" ht="24" customHeight="1">
      <c r="W7503" s="413"/>
    </row>
    <row r="7504" spans="23:23" ht="24" customHeight="1">
      <c r="W7504" s="413"/>
    </row>
    <row r="7505" spans="23:23" ht="24" customHeight="1">
      <c r="W7505" s="413"/>
    </row>
    <row r="7506" spans="23:23" ht="24" customHeight="1">
      <c r="W7506" s="413"/>
    </row>
    <row r="7507" spans="23:23" ht="24" customHeight="1">
      <c r="W7507" s="413"/>
    </row>
    <row r="7508" spans="23:23" ht="24" customHeight="1">
      <c r="W7508" s="413"/>
    </row>
    <row r="7509" spans="23:23" ht="24" customHeight="1">
      <c r="W7509" s="413"/>
    </row>
    <row r="7510" spans="23:23" ht="24" customHeight="1">
      <c r="W7510" s="413"/>
    </row>
    <row r="7511" spans="23:23" ht="24" customHeight="1">
      <c r="W7511" s="413"/>
    </row>
    <row r="7512" spans="23:23" ht="24" customHeight="1">
      <c r="W7512" s="413"/>
    </row>
    <row r="7513" spans="23:23" ht="24" customHeight="1">
      <c r="W7513" s="413"/>
    </row>
    <row r="7514" spans="23:23" ht="24" customHeight="1">
      <c r="W7514" s="413"/>
    </row>
    <row r="7515" spans="23:23" ht="24" customHeight="1">
      <c r="W7515" s="413"/>
    </row>
    <row r="7516" spans="23:23" ht="24" customHeight="1">
      <c r="W7516" s="413"/>
    </row>
    <row r="7517" spans="23:23" ht="24" customHeight="1">
      <c r="W7517" s="413"/>
    </row>
    <row r="7518" spans="23:23" ht="24" customHeight="1">
      <c r="W7518" s="413"/>
    </row>
    <row r="7519" spans="23:23" ht="24" customHeight="1">
      <c r="W7519" s="413"/>
    </row>
    <row r="7520" spans="23:23" ht="24" customHeight="1">
      <c r="W7520" s="413"/>
    </row>
    <row r="7521" spans="23:23" ht="24" customHeight="1">
      <c r="W7521" s="413"/>
    </row>
    <row r="7522" spans="23:23" ht="24" customHeight="1">
      <c r="W7522" s="413"/>
    </row>
    <row r="7523" spans="23:23" ht="24" customHeight="1">
      <c r="W7523" s="413"/>
    </row>
    <row r="7524" spans="23:23" ht="24" customHeight="1">
      <c r="W7524" s="413"/>
    </row>
    <row r="7525" spans="23:23" ht="24" customHeight="1">
      <c r="W7525" s="413"/>
    </row>
    <row r="7526" spans="23:23" ht="24" customHeight="1">
      <c r="W7526" s="413"/>
    </row>
    <row r="7527" spans="23:23" ht="24" customHeight="1">
      <c r="W7527" s="413"/>
    </row>
    <row r="7528" spans="23:23" ht="24" customHeight="1">
      <c r="W7528" s="413"/>
    </row>
    <row r="7529" spans="23:23" ht="24" customHeight="1">
      <c r="W7529" s="413"/>
    </row>
    <row r="7530" spans="23:23" ht="24" customHeight="1">
      <c r="W7530" s="413"/>
    </row>
    <row r="7531" spans="23:23" ht="24" customHeight="1">
      <c r="W7531" s="413"/>
    </row>
    <row r="7532" spans="23:23" ht="24" customHeight="1">
      <c r="W7532" s="413"/>
    </row>
    <row r="7533" spans="23:23" ht="24" customHeight="1">
      <c r="W7533" s="413"/>
    </row>
    <row r="7534" spans="23:23" ht="24" customHeight="1">
      <c r="W7534" s="413"/>
    </row>
    <row r="7535" spans="23:23" ht="24" customHeight="1">
      <c r="W7535" s="413"/>
    </row>
    <row r="7536" spans="23:23" ht="24" customHeight="1">
      <c r="W7536" s="413"/>
    </row>
    <row r="7537" spans="23:23" ht="24" customHeight="1">
      <c r="W7537" s="413"/>
    </row>
    <row r="7538" spans="23:23" ht="24" customHeight="1">
      <c r="W7538" s="413"/>
    </row>
    <row r="7539" spans="23:23" ht="24" customHeight="1">
      <c r="W7539" s="413"/>
    </row>
    <row r="7540" spans="23:23" ht="24" customHeight="1">
      <c r="W7540" s="413"/>
    </row>
    <row r="7541" spans="23:23" ht="24" customHeight="1">
      <c r="W7541" s="413"/>
    </row>
    <row r="7542" spans="23:23" ht="24" customHeight="1">
      <c r="W7542" s="413"/>
    </row>
    <row r="7543" spans="23:23" ht="24" customHeight="1">
      <c r="W7543" s="413"/>
    </row>
    <row r="7544" spans="23:23" ht="24" customHeight="1">
      <c r="W7544" s="413"/>
    </row>
    <row r="7545" spans="23:23" ht="24" customHeight="1">
      <c r="W7545" s="413"/>
    </row>
    <row r="7546" spans="23:23" ht="24" customHeight="1">
      <c r="W7546" s="413"/>
    </row>
    <row r="7547" spans="23:23" ht="24" customHeight="1">
      <c r="W7547" s="413"/>
    </row>
    <row r="7548" spans="23:23" ht="24" customHeight="1">
      <c r="W7548" s="413"/>
    </row>
    <row r="7549" spans="23:23" ht="24" customHeight="1">
      <c r="W7549" s="413"/>
    </row>
    <row r="7550" spans="23:23" ht="24" customHeight="1">
      <c r="W7550" s="413"/>
    </row>
    <row r="7551" spans="23:23" ht="24" customHeight="1">
      <c r="W7551" s="413"/>
    </row>
    <row r="7552" spans="23:23" ht="24" customHeight="1">
      <c r="W7552" s="413"/>
    </row>
    <row r="7553" spans="23:23" ht="24" customHeight="1">
      <c r="W7553" s="413"/>
    </row>
    <row r="7554" spans="23:23" ht="24" customHeight="1">
      <c r="W7554" s="413"/>
    </row>
    <row r="7555" spans="23:23" ht="24" customHeight="1">
      <c r="W7555" s="413"/>
    </row>
    <row r="7556" spans="23:23" ht="24" customHeight="1">
      <c r="W7556" s="413"/>
    </row>
    <row r="7557" spans="23:23" ht="24" customHeight="1">
      <c r="W7557" s="413"/>
    </row>
    <row r="7558" spans="23:23" ht="24" customHeight="1">
      <c r="W7558" s="413"/>
    </row>
    <row r="7559" spans="23:23" ht="24" customHeight="1">
      <c r="W7559" s="413"/>
    </row>
    <row r="7560" spans="23:23" ht="24" customHeight="1">
      <c r="W7560" s="413"/>
    </row>
    <row r="7561" spans="23:23" ht="24" customHeight="1">
      <c r="W7561" s="413"/>
    </row>
    <row r="7562" spans="23:23" ht="24" customHeight="1">
      <c r="W7562" s="413"/>
    </row>
    <row r="7563" spans="23:23" ht="24" customHeight="1">
      <c r="W7563" s="413"/>
    </row>
    <row r="7564" spans="23:23" ht="24" customHeight="1">
      <c r="W7564" s="413"/>
    </row>
    <row r="7565" spans="23:23" ht="24" customHeight="1">
      <c r="W7565" s="413"/>
    </row>
    <row r="7566" spans="23:23" ht="24" customHeight="1">
      <c r="W7566" s="413"/>
    </row>
    <row r="7567" spans="23:23" ht="24" customHeight="1">
      <c r="W7567" s="413"/>
    </row>
    <row r="7568" spans="23:23" ht="24" customHeight="1">
      <c r="W7568" s="413"/>
    </row>
    <row r="7569" spans="23:23" ht="24" customHeight="1">
      <c r="W7569" s="413"/>
    </row>
    <row r="7570" spans="23:23" ht="24" customHeight="1">
      <c r="W7570" s="413"/>
    </row>
    <row r="7571" spans="23:23" ht="24" customHeight="1">
      <c r="W7571" s="413"/>
    </row>
    <row r="7572" spans="23:23" ht="24" customHeight="1">
      <c r="W7572" s="413"/>
    </row>
    <row r="7573" spans="23:23" ht="24" customHeight="1">
      <c r="W7573" s="413"/>
    </row>
    <row r="7574" spans="23:23" ht="24" customHeight="1">
      <c r="W7574" s="413"/>
    </row>
    <row r="7575" spans="23:23" ht="24" customHeight="1">
      <c r="W7575" s="413"/>
    </row>
    <row r="7576" spans="23:23" ht="24" customHeight="1">
      <c r="W7576" s="413"/>
    </row>
    <row r="7577" spans="23:23" ht="24" customHeight="1">
      <c r="W7577" s="413"/>
    </row>
    <row r="7578" spans="23:23" ht="24" customHeight="1">
      <c r="W7578" s="413"/>
    </row>
    <row r="7579" spans="23:23" ht="24" customHeight="1">
      <c r="W7579" s="413"/>
    </row>
    <row r="7580" spans="23:23" ht="24" customHeight="1">
      <c r="W7580" s="413"/>
    </row>
    <row r="7581" spans="23:23" ht="24" customHeight="1">
      <c r="W7581" s="413"/>
    </row>
    <row r="7582" spans="23:23" ht="24" customHeight="1">
      <c r="W7582" s="413"/>
    </row>
    <row r="7583" spans="23:23" ht="24" customHeight="1">
      <c r="W7583" s="413"/>
    </row>
    <row r="7584" spans="23:23" ht="24" customHeight="1">
      <c r="W7584" s="413"/>
    </row>
    <row r="7585" spans="23:23" ht="24" customHeight="1">
      <c r="W7585" s="413"/>
    </row>
    <row r="7586" spans="23:23" ht="24" customHeight="1">
      <c r="W7586" s="413"/>
    </row>
    <row r="7587" spans="23:23" ht="24" customHeight="1">
      <c r="W7587" s="413"/>
    </row>
    <row r="7588" spans="23:23" ht="24" customHeight="1">
      <c r="W7588" s="413"/>
    </row>
    <row r="7589" spans="23:23" ht="24" customHeight="1">
      <c r="W7589" s="413"/>
    </row>
    <row r="7590" spans="23:23" ht="24" customHeight="1">
      <c r="W7590" s="413"/>
    </row>
    <row r="7591" spans="23:23" ht="24" customHeight="1">
      <c r="W7591" s="413"/>
    </row>
    <row r="7592" spans="23:23" ht="24" customHeight="1">
      <c r="W7592" s="413"/>
    </row>
    <row r="7593" spans="23:23" ht="24" customHeight="1">
      <c r="W7593" s="413"/>
    </row>
    <row r="7594" spans="23:23" ht="24" customHeight="1">
      <c r="W7594" s="413"/>
    </row>
    <row r="7595" spans="23:23" ht="24" customHeight="1">
      <c r="W7595" s="413"/>
    </row>
    <row r="7596" spans="23:23" ht="24" customHeight="1">
      <c r="W7596" s="413"/>
    </row>
    <row r="7597" spans="23:23" ht="24" customHeight="1">
      <c r="W7597" s="413"/>
    </row>
    <row r="7598" spans="23:23" ht="24" customHeight="1">
      <c r="W7598" s="413"/>
    </row>
    <row r="7599" spans="23:23" ht="24" customHeight="1">
      <c r="W7599" s="413"/>
    </row>
    <row r="7600" spans="23:23" ht="24" customHeight="1">
      <c r="W7600" s="413"/>
    </row>
    <row r="7601" spans="23:23" ht="24" customHeight="1">
      <c r="W7601" s="413"/>
    </row>
    <row r="7602" spans="23:23" ht="24" customHeight="1">
      <c r="W7602" s="413"/>
    </row>
    <row r="7603" spans="23:23" ht="24" customHeight="1">
      <c r="W7603" s="413"/>
    </row>
    <row r="7604" spans="23:23" ht="24" customHeight="1">
      <c r="W7604" s="413"/>
    </row>
    <row r="7605" spans="23:23" ht="24" customHeight="1">
      <c r="W7605" s="413"/>
    </row>
    <row r="7606" spans="23:23" ht="24" customHeight="1">
      <c r="W7606" s="413"/>
    </row>
    <row r="7607" spans="23:23" ht="24" customHeight="1">
      <c r="W7607" s="413"/>
    </row>
    <row r="7608" spans="23:23" ht="24" customHeight="1">
      <c r="W7608" s="413"/>
    </row>
    <row r="7609" spans="23:23" ht="24" customHeight="1">
      <c r="W7609" s="413"/>
    </row>
    <row r="7610" spans="23:23" ht="24" customHeight="1">
      <c r="W7610" s="413"/>
    </row>
    <row r="7611" spans="23:23" ht="24" customHeight="1">
      <c r="W7611" s="413"/>
    </row>
    <row r="7612" spans="23:23" ht="24" customHeight="1">
      <c r="W7612" s="413"/>
    </row>
    <row r="7613" spans="23:23" ht="24" customHeight="1">
      <c r="W7613" s="413"/>
    </row>
    <row r="7614" spans="23:23" ht="24" customHeight="1">
      <c r="W7614" s="413"/>
    </row>
    <row r="7615" spans="23:23" ht="24" customHeight="1">
      <c r="W7615" s="413"/>
    </row>
    <row r="7616" spans="23:23" ht="24" customHeight="1">
      <c r="W7616" s="413"/>
    </row>
    <row r="7617" spans="23:23" ht="24" customHeight="1">
      <c r="W7617" s="413"/>
    </row>
    <row r="7618" spans="23:23" ht="24" customHeight="1">
      <c r="W7618" s="413"/>
    </row>
    <row r="7619" spans="23:23" ht="24" customHeight="1">
      <c r="W7619" s="413"/>
    </row>
    <row r="7620" spans="23:23" ht="24" customHeight="1">
      <c r="W7620" s="413"/>
    </row>
    <row r="7621" spans="23:23" ht="24" customHeight="1">
      <c r="W7621" s="413"/>
    </row>
    <row r="7622" spans="23:23" ht="24" customHeight="1">
      <c r="W7622" s="413"/>
    </row>
    <row r="7623" spans="23:23" ht="24" customHeight="1">
      <c r="W7623" s="413"/>
    </row>
    <row r="7624" spans="23:23" ht="24" customHeight="1">
      <c r="W7624" s="413"/>
    </row>
    <row r="7625" spans="23:23" ht="24" customHeight="1">
      <c r="W7625" s="413"/>
    </row>
    <row r="7626" spans="23:23" ht="24" customHeight="1">
      <c r="W7626" s="413"/>
    </row>
    <row r="7627" spans="23:23" ht="24" customHeight="1">
      <c r="W7627" s="413"/>
    </row>
    <row r="7628" spans="23:23" ht="24" customHeight="1">
      <c r="W7628" s="413"/>
    </row>
    <row r="7629" spans="23:23" ht="24" customHeight="1">
      <c r="W7629" s="413"/>
    </row>
    <row r="7630" spans="23:23" ht="24" customHeight="1">
      <c r="W7630" s="413"/>
    </row>
    <row r="7631" spans="23:23" ht="24" customHeight="1">
      <c r="W7631" s="413"/>
    </row>
    <row r="7632" spans="23:23" ht="24" customHeight="1">
      <c r="W7632" s="413"/>
    </row>
    <row r="7633" spans="23:23" ht="24" customHeight="1">
      <c r="W7633" s="413"/>
    </row>
    <row r="7634" spans="23:23" ht="24" customHeight="1">
      <c r="W7634" s="413"/>
    </row>
    <row r="7635" spans="23:23" ht="24" customHeight="1">
      <c r="W7635" s="413"/>
    </row>
    <row r="7636" spans="23:23" ht="24" customHeight="1">
      <c r="W7636" s="413"/>
    </row>
    <row r="7637" spans="23:23" ht="24" customHeight="1">
      <c r="W7637" s="413"/>
    </row>
    <row r="7638" spans="23:23" ht="24" customHeight="1">
      <c r="W7638" s="413"/>
    </row>
    <row r="7639" spans="23:23" ht="24" customHeight="1">
      <c r="W7639" s="413"/>
    </row>
    <row r="7640" spans="23:23" ht="24" customHeight="1">
      <c r="W7640" s="413"/>
    </row>
    <row r="7641" spans="23:23" ht="24" customHeight="1">
      <c r="W7641" s="413"/>
    </row>
    <row r="7642" spans="23:23" ht="24" customHeight="1">
      <c r="W7642" s="413"/>
    </row>
    <row r="7643" spans="23:23" ht="24" customHeight="1">
      <c r="W7643" s="413"/>
    </row>
    <row r="7644" spans="23:23" ht="24" customHeight="1">
      <c r="W7644" s="413"/>
    </row>
    <row r="7645" spans="23:23" ht="24" customHeight="1">
      <c r="W7645" s="413"/>
    </row>
    <row r="7646" spans="23:23" ht="24" customHeight="1">
      <c r="W7646" s="413"/>
    </row>
    <row r="7647" spans="23:23" ht="24" customHeight="1">
      <c r="W7647" s="413"/>
    </row>
    <row r="7648" spans="23:23" ht="24" customHeight="1">
      <c r="W7648" s="413"/>
    </row>
    <row r="7649" spans="23:23" ht="24" customHeight="1">
      <c r="W7649" s="413"/>
    </row>
    <row r="7650" spans="23:23" ht="24" customHeight="1">
      <c r="W7650" s="413"/>
    </row>
    <row r="7651" spans="23:23" ht="24" customHeight="1">
      <c r="W7651" s="413"/>
    </row>
    <row r="7652" spans="23:23" ht="24" customHeight="1">
      <c r="W7652" s="413"/>
    </row>
    <row r="7653" spans="23:23" ht="24" customHeight="1">
      <c r="W7653" s="413"/>
    </row>
    <row r="7654" spans="23:23" ht="24" customHeight="1">
      <c r="W7654" s="413"/>
    </row>
    <row r="7655" spans="23:23" ht="24" customHeight="1">
      <c r="W7655" s="413"/>
    </row>
    <row r="7656" spans="23:23" ht="24" customHeight="1">
      <c r="W7656" s="413"/>
    </row>
    <row r="7657" spans="23:23" ht="24" customHeight="1">
      <c r="W7657" s="413"/>
    </row>
    <row r="7658" spans="23:23" ht="24" customHeight="1">
      <c r="W7658" s="413"/>
    </row>
    <row r="7659" spans="23:23" ht="24" customHeight="1">
      <c r="W7659" s="413"/>
    </row>
    <row r="7660" spans="23:23" ht="24" customHeight="1">
      <c r="W7660" s="413"/>
    </row>
    <row r="7661" spans="23:23" ht="24" customHeight="1">
      <c r="W7661" s="413"/>
    </row>
    <row r="7662" spans="23:23" ht="24" customHeight="1">
      <c r="W7662" s="413"/>
    </row>
    <row r="7663" spans="23:23" ht="24" customHeight="1">
      <c r="W7663" s="413"/>
    </row>
    <row r="7664" spans="23:23" ht="24" customHeight="1">
      <c r="W7664" s="413"/>
    </row>
    <row r="7665" spans="23:23" ht="24" customHeight="1">
      <c r="W7665" s="413"/>
    </row>
    <row r="7666" spans="23:23" ht="24" customHeight="1">
      <c r="W7666" s="413"/>
    </row>
    <row r="7667" spans="23:23" ht="24" customHeight="1">
      <c r="W7667" s="413"/>
    </row>
    <row r="7668" spans="23:23" ht="24" customHeight="1">
      <c r="W7668" s="413"/>
    </row>
    <row r="7669" spans="23:23" ht="24" customHeight="1">
      <c r="W7669" s="413"/>
    </row>
    <row r="7670" spans="23:23" ht="24" customHeight="1">
      <c r="W7670" s="413"/>
    </row>
    <row r="7671" spans="23:23" ht="24" customHeight="1">
      <c r="W7671" s="413"/>
    </row>
    <row r="7672" spans="23:23" ht="24" customHeight="1">
      <c r="W7672" s="413"/>
    </row>
    <row r="7673" spans="23:23" ht="24" customHeight="1">
      <c r="W7673" s="413"/>
    </row>
    <row r="7674" spans="23:23" ht="24" customHeight="1">
      <c r="W7674" s="413"/>
    </row>
    <row r="7675" spans="23:23" ht="24" customHeight="1">
      <c r="W7675" s="413"/>
    </row>
    <row r="7676" spans="23:23" ht="24" customHeight="1">
      <c r="W7676" s="413"/>
    </row>
    <row r="7677" spans="23:23" ht="24" customHeight="1">
      <c r="W7677" s="413"/>
    </row>
    <row r="7678" spans="23:23" ht="24" customHeight="1">
      <c r="W7678" s="413"/>
    </row>
    <row r="7679" spans="23:23" ht="24" customHeight="1">
      <c r="W7679" s="413"/>
    </row>
    <row r="7680" spans="23:23" ht="24" customHeight="1">
      <c r="W7680" s="413"/>
    </row>
    <row r="7681" spans="23:23" ht="24" customHeight="1">
      <c r="W7681" s="413"/>
    </row>
    <row r="7682" spans="23:23" ht="24" customHeight="1">
      <c r="W7682" s="413"/>
    </row>
    <row r="7683" spans="23:23" ht="24" customHeight="1">
      <c r="W7683" s="413"/>
    </row>
    <row r="7684" spans="23:23" ht="24" customHeight="1">
      <c r="W7684" s="413"/>
    </row>
    <row r="7685" spans="23:23" ht="24" customHeight="1">
      <c r="W7685" s="413"/>
    </row>
    <row r="7686" spans="23:23" ht="24" customHeight="1">
      <c r="W7686" s="413"/>
    </row>
    <row r="7687" spans="23:23" ht="24" customHeight="1">
      <c r="W7687" s="413"/>
    </row>
    <row r="7688" spans="23:23" ht="24" customHeight="1">
      <c r="W7688" s="413"/>
    </row>
    <row r="7689" spans="23:23" ht="24" customHeight="1">
      <c r="W7689" s="413"/>
    </row>
    <row r="7690" spans="23:23" ht="24" customHeight="1">
      <c r="W7690" s="413"/>
    </row>
    <row r="7691" spans="23:23" ht="24" customHeight="1">
      <c r="W7691" s="413"/>
    </row>
    <row r="7692" spans="23:23" ht="24" customHeight="1">
      <c r="W7692" s="413"/>
    </row>
    <row r="7693" spans="23:23" ht="24" customHeight="1">
      <c r="W7693" s="413"/>
    </row>
    <row r="7694" spans="23:23" ht="24" customHeight="1">
      <c r="W7694" s="413"/>
    </row>
    <row r="7695" spans="23:23" ht="24" customHeight="1">
      <c r="W7695" s="413"/>
    </row>
    <row r="7696" spans="23:23" ht="24" customHeight="1">
      <c r="W7696" s="413"/>
    </row>
    <row r="7697" spans="23:23" ht="24" customHeight="1">
      <c r="W7697" s="413"/>
    </row>
    <row r="7698" spans="23:23" ht="24" customHeight="1">
      <c r="W7698" s="413"/>
    </row>
    <row r="7699" spans="23:23" ht="24" customHeight="1">
      <c r="W7699" s="413"/>
    </row>
    <row r="7700" spans="23:23" ht="24" customHeight="1">
      <c r="W7700" s="413"/>
    </row>
    <row r="7701" spans="23:23" ht="24" customHeight="1">
      <c r="W7701" s="413"/>
    </row>
    <row r="7702" spans="23:23" ht="24" customHeight="1">
      <c r="W7702" s="413"/>
    </row>
    <row r="7703" spans="23:23" ht="24" customHeight="1">
      <c r="W7703" s="413"/>
    </row>
    <row r="7704" spans="23:23" ht="24" customHeight="1">
      <c r="W7704" s="413"/>
    </row>
    <row r="7705" spans="23:23" ht="24" customHeight="1">
      <c r="W7705" s="413"/>
    </row>
    <row r="7706" spans="23:23" ht="24" customHeight="1">
      <c r="W7706" s="413"/>
    </row>
    <row r="7707" spans="23:23" ht="24" customHeight="1">
      <c r="W7707" s="413"/>
    </row>
    <row r="7708" spans="23:23" ht="24" customHeight="1">
      <c r="W7708" s="413"/>
    </row>
    <row r="7709" spans="23:23" ht="24" customHeight="1">
      <c r="W7709" s="413"/>
    </row>
    <row r="7710" spans="23:23" ht="24" customHeight="1">
      <c r="W7710" s="413"/>
    </row>
    <row r="7711" spans="23:23" ht="24" customHeight="1">
      <c r="W7711" s="413"/>
    </row>
    <row r="7712" spans="23:23" ht="24" customHeight="1">
      <c r="W7712" s="413"/>
    </row>
    <row r="7713" spans="23:23" ht="24" customHeight="1">
      <c r="W7713" s="413"/>
    </row>
    <row r="7714" spans="23:23" ht="24" customHeight="1">
      <c r="W7714" s="413"/>
    </row>
    <row r="7715" spans="23:23" ht="24" customHeight="1">
      <c r="W7715" s="413"/>
    </row>
    <row r="7716" spans="23:23" ht="24" customHeight="1">
      <c r="W7716" s="413"/>
    </row>
    <row r="7717" spans="23:23" ht="24" customHeight="1">
      <c r="W7717" s="413"/>
    </row>
    <row r="7718" spans="23:23" ht="24" customHeight="1">
      <c r="W7718" s="413"/>
    </row>
    <row r="7719" spans="23:23" ht="24" customHeight="1">
      <c r="W7719" s="413"/>
    </row>
    <row r="7720" spans="23:23" ht="24" customHeight="1">
      <c r="W7720" s="413"/>
    </row>
    <row r="7721" spans="23:23" ht="24" customHeight="1">
      <c r="W7721" s="413"/>
    </row>
    <row r="7722" spans="23:23" ht="24" customHeight="1">
      <c r="W7722" s="413"/>
    </row>
    <row r="7723" spans="23:23" ht="24" customHeight="1">
      <c r="W7723" s="413"/>
    </row>
    <row r="7724" spans="23:23" ht="24" customHeight="1">
      <c r="W7724" s="413"/>
    </row>
    <row r="7725" spans="23:23" ht="24" customHeight="1">
      <c r="W7725" s="413"/>
    </row>
    <row r="7726" spans="23:23" ht="24" customHeight="1">
      <c r="W7726" s="413"/>
    </row>
    <row r="7727" spans="23:23" ht="24" customHeight="1">
      <c r="W7727" s="413"/>
    </row>
    <row r="7728" spans="23:23" ht="24" customHeight="1">
      <c r="W7728" s="413"/>
    </row>
    <row r="7729" spans="23:23" ht="24" customHeight="1">
      <c r="W7729" s="413"/>
    </row>
    <row r="7730" spans="23:23" ht="24" customHeight="1">
      <c r="W7730" s="413"/>
    </row>
    <row r="7731" spans="23:23" ht="24" customHeight="1">
      <c r="W7731" s="413"/>
    </row>
    <row r="7732" spans="23:23" ht="24" customHeight="1">
      <c r="W7732" s="413"/>
    </row>
    <row r="7733" spans="23:23" ht="24" customHeight="1">
      <c r="W7733" s="413"/>
    </row>
    <row r="7734" spans="23:23" ht="24" customHeight="1">
      <c r="W7734" s="413"/>
    </row>
    <row r="7735" spans="23:23" ht="24" customHeight="1">
      <c r="W7735" s="413"/>
    </row>
    <row r="7736" spans="23:23" ht="24" customHeight="1">
      <c r="W7736" s="413"/>
    </row>
    <row r="7737" spans="23:23" ht="24" customHeight="1">
      <c r="W7737" s="413"/>
    </row>
    <row r="7738" spans="23:23" ht="24" customHeight="1">
      <c r="W7738" s="413"/>
    </row>
    <row r="7739" spans="23:23" ht="24" customHeight="1">
      <c r="W7739" s="413"/>
    </row>
    <row r="7740" spans="23:23" ht="24" customHeight="1">
      <c r="W7740" s="413"/>
    </row>
    <row r="7741" spans="23:23" ht="24" customHeight="1">
      <c r="W7741" s="413"/>
    </row>
    <row r="7742" spans="23:23" ht="24" customHeight="1">
      <c r="W7742" s="413"/>
    </row>
    <row r="7743" spans="23:23" ht="24" customHeight="1">
      <c r="W7743" s="413"/>
    </row>
    <row r="7744" spans="23:23" ht="24" customHeight="1">
      <c r="W7744" s="413"/>
    </row>
    <row r="7745" spans="23:23" ht="24" customHeight="1">
      <c r="W7745" s="413"/>
    </row>
    <row r="7746" spans="23:23" ht="24" customHeight="1">
      <c r="W7746" s="413"/>
    </row>
    <row r="7747" spans="23:23" ht="24" customHeight="1">
      <c r="W7747" s="413"/>
    </row>
    <row r="7748" spans="23:23" ht="24" customHeight="1">
      <c r="W7748" s="413"/>
    </row>
    <row r="7749" spans="23:23" ht="24" customHeight="1">
      <c r="W7749" s="413"/>
    </row>
    <row r="7750" spans="23:23" ht="24" customHeight="1">
      <c r="W7750" s="413"/>
    </row>
    <row r="7751" spans="23:23" ht="24" customHeight="1">
      <c r="W7751" s="413"/>
    </row>
    <row r="7752" spans="23:23" ht="24" customHeight="1">
      <c r="W7752" s="413"/>
    </row>
    <row r="7753" spans="23:23" ht="24" customHeight="1">
      <c r="W7753" s="413"/>
    </row>
    <row r="7754" spans="23:23" ht="24" customHeight="1">
      <c r="W7754" s="413"/>
    </row>
    <row r="7755" spans="23:23" ht="24" customHeight="1">
      <c r="W7755" s="413"/>
    </row>
    <row r="7756" spans="23:23" ht="24" customHeight="1">
      <c r="W7756" s="413"/>
    </row>
    <row r="7757" spans="23:23" ht="24" customHeight="1">
      <c r="W7757" s="413"/>
    </row>
    <row r="7758" spans="23:23" ht="24" customHeight="1">
      <c r="W7758" s="413"/>
    </row>
    <row r="7759" spans="23:23" ht="24" customHeight="1">
      <c r="W7759" s="413"/>
    </row>
    <row r="7760" spans="23:23" ht="24" customHeight="1">
      <c r="W7760" s="413"/>
    </row>
    <row r="7761" spans="23:23" ht="24" customHeight="1">
      <c r="W7761" s="413"/>
    </row>
    <row r="7762" spans="23:23" ht="24" customHeight="1">
      <c r="W7762" s="413"/>
    </row>
    <row r="7763" spans="23:23" ht="24" customHeight="1">
      <c r="W7763" s="413"/>
    </row>
    <row r="7764" spans="23:23" ht="24" customHeight="1">
      <c r="W7764" s="413"/>
    </row>
    <row r="7765" spans="23:23" ht="24" customHeight="1">
      <c r="W7765" s="413"/>
    </row>
    <row r="7766" spans="23:23" ht="24" customHeight="1">
      <c r="W7766" s="413"/>
    </row>
    <row r="7767" spans="23:23" ht="24" customHeight="1">
      <c r="W7767" s="413"/>
    </row>
    <row r="7768" spans="23:23" ht="24" customHeight="1">
      <c r="W7768" s="413"/>
    </row>
    <row r="7769" spans="23:23" ht="24" customHeight="1">
      <c r="W7769" s="413"/>
    </row>
    <row r="7770" spans="23:23" ht="24" customHeight="1">
      <c r="W7770" s="413"/>
    </row>
    <row r="7771" spans="23:23" ht="24" customHeight="1">
      <c r="W7771" s="413"/>
    </row>
    <row r="7772" spans="23:23" ht="24" customHeight="1">
      <c r="W7772" s="413"/>
    </row>
    <row r="7773" spans="23:23" ht="24" customHeight="1">
      <c r="W7773" s="413"/>
    </row>
    <row r="7774" spans="23:23" ht="24" customHeight="1">
      <c r="W7774" s="413"/>
    </row>
    <row r="7775" spans="23:23" ht="24" customHeight="1">
      <c r="W7775" s="413"/>
    </row>
    <row r="7776" spans="23:23" ht="24" customHeight="1">
      <c r="W7776" s="413"/>
    </row>
    <row r="7777" spans="23:23" ht="24" customHeight="1">
      <c r="W7777" s="413"/>
    </row>
    <row r="7778" spans="23:23" ht="24" customHeight="1">
      <c r="W7778" s="413"/>
    </row>
    <row r="7779" spans="23:23" ht="24" customHeight="1">
      <c r="W7779" s="413"/>
    </row>
    <row r="7780" spans="23:23" ht="24" customHeight="1">
      <c r="W7780" s="413"/>
    </row>
    <row r="7781" spans="23:23" ht="24" customHeight="1">
      <c r="W7781" s="413"/>
    </row>
    <row r="7782" spans="23:23" ht="24" customHeight="1">
      <c r="W7782" s="413"/>
    </row>
    <row r="7783" spans="23:23" ht="24" customHeight="1">
      <c r="W7783" s="413"/>
    </row>
    <row r="7784" spans="23:23" ht="24" customHeight="1">
      <c r="W7784" s="413"/>
    </row>
    <row r="7785" spans="23:23" ht="24" customHeight="1">
      <c r="W7785" s="413"/>
    </row>
    <row r="7786" spans="23:23" ht="24" customHeight="1">
      <c r="W7786" s="413"/>
    </row>
    <row r="7787" spans="23:23" ht="24" customHeight="1">
      <c r="W7787" s="413"/>
    </row>
    <row r="7788" spans="23:23" ht="24" customHeight="1">
      <c r="W7788" s="413"/>
    </row>
    <row r="7789" spans="23:23" ht="24" customHeight="1">
      <c r="W7789" s="413"/>
    </row>
    <row r="7790" spans="23:23" ht="24" customHeight="1">
      <c r="W7790" s="413"/>
    </row>
    <row r="7791" spans="23:23" ht="24" customHeight="1">
      <c r="W7791" s="413"/>
    </row>
    <row r="7792" spans="23:23" ht="24" customHeight="1">
      <c r="W7792" s="413"/>
    </row>
    <row r="7793" spans="23:23" ht="24" customHeight="1">
      <c r="W7793" s="413"/>
    </row>
    <row r="7794" spans="23:23" ht="24" customHeight="1">
      <c r="W7794" s="413"/>
    </row>
    <row r="7795" spans="23:23" ht="24" customHeight="1">
      <c r="W7795" s="413"/>
    </row>
    <row r="7796" spans="23:23" ht="24" customHeight="1">
      <c r="W7796" s="413"/>
    </row>
    <row r="7797" spans="23:23" ht="24" customHeight="1">
      <c r="W7797" s="413"/>
    </row>
    <row r="7798" spans="23:23" ht="24" customHeight="1">
      <c r="W7798" s="413"/>
    </row>
    <row r="7799" spans="23:23" ht="24" customHeight="1">
      <c r="W7799" s="413"/>
    </row>
    <row r="7800" spans="23:23" ht="24" customHeight="1">
      <c r="W7800" s="413"/>
    </row>
    <row r="7801" spans="23:23" ht="24" customHeight="1">
      <c r="W7801" s="413"/>
    </row>
    <row r="7802" spans="23:23" ht="24" customHeight="1">
      <c r="W7802" s="413"/>
    </row>
    <row r="7803" spans="23:23" ht="24" customHeight="1">
      <c r="W7803" s="413"/>
    </row>
    <row r="7804" spans="23:23" ht="24" customHeight="1">
      <c r="W7804" s="413"/>
    </row>
    <row r="7805" spans="23:23" ht="24" customHeight="1">
      <c r="W7805" s="413"/>
    </row>
    <row r="7806" spans="23:23" ht="24" customHeight="1">
      <c r="W7806" s="413"/>
    </row>
    <row r="7807" spans="23:23" ht="24" customHeight="1">
      <c r="W7807" s="413"/>
    </row>
    <row r="7808" spans="23:23" ht="24" customHeight="1">
      <c r="W7808" s="413"/>
    </row>
    <row r="7809" spans="23:23" ht="24" customHeight="1">
      <c r="W7809" s="413"/>
    </row>
    <row r="7810" spans="23:23" ht="24" customHeight="1">
      <c r="W7810" s="413"/>
    </row>
    <row r="7811" spans="23:23" ht="24" customHeight="1">
      <c r="W7811" s="413"/>
    </row>
    <row r="7812" spans="23:23" ht="24" customHeight="1">
      <c r="W7812" s="413"/>
    </row>
    <row r="7813" spans="23:23" ht="24" customHeight="1">
      <c r="W7813" s="413"/>
    </row>
    <row r="7814" spans="23:23" ht="24" customHeight="1">
      <c r="W7814" s="413"/>
    </row>
    <row r="7815" spans="23:23" ht="24" customHeight="1">
      <c r="W7815" s="413"/>
    </row>
    <row r="7816" spans="23:23" ht="24" customHeight="1">
      <c r="W7816" s="413"/>
    </row>
    <row r="7817" spans="23:23" ht="24" customHeight="1">
      <c r="W7817" s="413"/>
    </row>
    <row r="7818" spans="23:23" ht="24" customHeight="1">
      <c r="W7818" s="413"/>
    </row>
    <row r="7819" spans="23:23" ht="24" customHeight="1">
      <c r="W7819" s="413"/>
    </row>
    <row r="7820" spans="23:23" ht="24" customHeight="1">
      <c r="W7820" s="413"/>
    </row>
    <row r="7821" spans="23:23" ht="24" customHeight="1">
      <c r="W7821" s="413"/>
    </row>
    <row r="7822" spans="23:23" ht="24" customHeight="1">
      <c r="W7822" s="413"/>
    </row>
    <row r="7823" spans="23:23" ht="24" customHeight="1">
      <c r="W7823" s="413"/>
    </row>
    <row r="7824" spans="23:23" ht="24" customHeight="1">
      <c r="W7824" s="413"/>
    </row>
    <row r="7825" spans="23:23" ht="24" customHeight="1">
      <c r="W7825" s="413"/>
    </row>
    <row r="7826" spans="23:23" ht="24" customHeight="1">
      <c r="W7826" s="413"/>
    </row>
    <row r="7827" spans="23:23" ht="24" customHeight="1">
      <c r="W7827" s="413"/>
    </row>
    <row r="7828" spans="23:23" ht="24" customHeight="1">
      <c r="W7828" s="413"/>
    </row>
    <row r="7829" spans="23:23" ht="24" customHeight="1">
      <c r="W7829" s="413"/>
    </row>
    <row r="7830" spans="23:23" ht="24" customHeight="1">
      <c r="W7830" s="413"/>
    </row>
    <row r="7831" spans="23:23" ht="24" customHeight="1">
      <c r="W7831" s="413"/>
    </row>
    <row r="7832" spans="23:23" ht="24" customHeight="1">
      <c r="W7832" s="413"/>
    </row>
    <row r="7833" spans="23:23" ht="24" customHeight="1">
      <c r="W7833" s="413"/>
    </row>
    <row r="7834" spans="23:23" ht="24" customHeight="1">
      <c r="W7834" s="413"/>
    </row>
    <row r="7835" spans="23:23" ht="24" customHeight="1">
      <c r="W7835" s="413"/>
    </row>
    <row r="7836" spans="23:23" ht="24" customHeight="1">
      <c r="W7836" s="413"/>
    </row>
    <row r="7837" spans="23:23" ht="24" customHeight="1">
      <c r="W7837" s="413"/>
    </row>
    <row r="7838" spans="23:23" ht="24" customHeight="1">
      <c r="W7838" s="413"/>
    </row>
    <row r="7839" spans="23:23" ht="24" customHeight="1">
      <c r="W7839" s="413"/>
    </row>
    <row r="7840" spans="23:23" ht="24" customHeight="1">
      <c r="W7840" s="413"/>
    </row>
    <row r="7841" spans="23:23" ht="24" customHeight="1">
      <c r="W7841" s="413"/>
    </row>
    <row r="7842" spans="23:23" ht="24" customHeight="1">
      <c r="W7842" s="413"/>
    </row>
    <row r="7843" spans="23:23" ht="24" customHeight="1">
      <c r="W7843" s="413"/>
    </row>
    <row r="7844" spans="23:23" ht="24" customHeight="1">
      <c r="W7844" s="413"/>
    </row>
    <row r="7845" spans="23:23" ht="24" customHeight="1">
      <c r="W7845" s="413"/>
    </row>
    <row r="7846" spans="23:23" ht="24" customHeight="1">
      <c r="W7846" s="413"/>
    </row>
    <row r="7847" spans="23:23" ht="24" customHeight="1">
      <c r="W7847" s="413"/>
    </row>
    <row r="7848" spans="23:23" ht="24" customHeight="1">
      <c r="W7848" s="413"/>
    </row>
    <row r="7849" spans="23:23" ht="24" customHeight="1">
      <c r="W7849" s="413"/>
    </row>
    <row r="7850" spans="23:23" ht="24" customHeight="1">
      <c r="W7850" s="413"/>
    </row>
    <row r="7851" spans="23:23" ht="24" customHeight="1">
      <c r="W7851" s="413"/>
    </row>
    <row r="7852" spans="23:23" ht="24" customHeight="1">
      <c r="W7852" s="413"/>
    </row>
    <row r="7853" spans="23:23" ht="24" customHeight="1">
      <c r="W7853" s="413"/>
    </row>
    <row r="7854" spans="23:23" ht="24" customHeight="1">
      <c r="W7854" s="413"/>
    </row>
    <row r="7855" spans="23:23" ht="24" customHeight="1">
      <c r="W7855" s="413"/>
    </row>
    <row r="7856" spans="23:23" ht="24" customHeight="1">
      <c r="W7856" s="413"/>
    </row>
    <row r="7857" spans="23:23" ht="24" customHeight="1">
      <c r="W7857" s="413"/>
    </row>
    <row r="7858" spans="23:23" ht="24" customHeight="1">
      <c r="W7858" s="413"/>
    </row>
    <row r="7859" spans="23:23" ht="24" customHeight="1">
      <c r="W7859" s="413"/>
    </row>
    <row r="7860" spans="23:23" ht="24" customHeight="1">
      <c r="W7860" s="413"/>
    </row>
    <row r="7861" spans="23:23" ht="24" customHeight="1">
      <c r="W7861" s="413"/>
    </row>
    <row r="7862" spans="23:23" ht="24" customHeight="1">
      <c r="W7862" s="413"/>
    </row>
    <row r="7863" spans="23:23" ht="24" customHeight="1">
      <c r="W7863" s="413"/>
    </row>
    <row r="7864" spans="23:23" ht="24" customHeight="1">
      <c r="W7864" s="413"/>
    </row>
    <row r="7865" spans="23:23" ht="24" customHeight="1">
      <c r="W7865" s="413"/>
    </row>
    <row r="7866" spans="23:23" ht="24" customHeight="1">
      <c r="W7866" s="413"/>
    </row>
    <row r="7867" spans="23:23" ht="24" customHeight="1">
      <c r="W7867" s="413"/>
    </row>
    <row r="7868" spans="23:23" ht="24" customHeight="1">
      <c r="W7868" s="413"/>
    </row>
    <row r="7869" spans="23:23" ht="24" customHeight="1">
      <c r="W7869" s="413"/>
    </row>
    <row r="7870" spans="23:23" ht="24" customHeight="1">
      <c r="W7870" s="413"/>
    </row>
    <row r="7871" spans="23:23" ht="24" customHeight="1">
      <c r="W7871" s="413"/>
    </row>
    <row r="7872" spans="23:23" ht="24" customHeight="1">
      <c r="W7872" s="413"/>
    </row>
    <row r="7873" spans="23:23" ht="24" customHeight="1">
      <c r="W7873" s="413"/>
    </row>
    <row r="7874" spans="23:23" ht="24" customHeight="1">
      <c r="W7874" s="413"/>
    </row>
    <row r="7875" spans="23:23" ht="24" customHeight="1">
      <c r="W7875" s="413"/>
    </row>
    <row r="7876" spans="23:23" ht="24" customHeight="1">
      <c r="W7876" s="413"/>
    </row>
    <row r="7877" spans="23:23" ht="24" customHeight="1">
      <c r="W7877" s="413"/>
    </row>
    <row r="7878" spans="23:23" ht="24" customHeight="1">
      <c r="W7878" s="413"/>
    </row>
    <row r="7879" spans="23:23" ht="24" customHeight="1">
      <c r="W7879" s="413"/>
    </row>
    <row r="7880" spans="23:23" ht="24" customHeight="1">
      <c r="W7880" s="413"/>
    </row>
    <row r="7881" spans="23:23" ht="24" customHeight="1">
      <c r="W7881" s="413"/>
    </row>
    <row r="7882" spans="23:23" ht="24" customHeight="1">
      <c r="W7882" s="413"/>
    </row>
    <row r="7883" spans="23:23" ht="24" customHeight="1">
      <c r="W7883" s="413"/>
    </row>
    <row r="7884" spans="23:23" ht="24" customHeight="1">
      <c r="W7884" s="413"/>
    </row>
    <row r="7885" spans="23:23" ht="24" customHeight="1">
      <c r="W7885" s="413"/>
    </row>
    <row r="7886" spans="23:23" ht="24" customHeight="1">
      <c r="W7886" s="413"/>
    </row>
    <row r="7887" spans="23:23" ht="24" customHeight="1">
      <c r="W7887" s="413"/>
    </row>
    <row r="7888" spans="23:23" ht="24" customHeight="1">
      <c r="W7888" s="413"/>
    </row>
    <row r="7889" spans="23:23" ht="24" customHeight="1">
      <c r="W7889" s="413"/>
    </row>
    <row r="7890" spans="23:23" ht="24" customHeight="1">
      <c r="W7890" s="413"/>
    </row>
    <row r="7891" spans="23:23" ht="24" customHeight="1">
      <c r="W7891" s="413"/>
    </row>
    <row r="7892" spans="23:23" ht="24" customHeight="1">
      <c r="W7892" s="413"/>
    </row>
    <row r="7893" spans="23:23" ht="24" customHeight="1">
      <c r="W7893" s="413"/>
    </row>
    <row r="7894" spans="23:23" ht="24" customHeight="1">
      <c r="W7894" s="413"/>
    </row>
    <row r="7895" spans="23:23" ht="24" customHeight="1">
      <c r="W7895" s="413"/>
    </row>
    <row r="7896" spans="23:23" ht="24" customHeight="1">
      <c r="W7896" s="413"/>
    </row>
    <row r="7897" spans="23:23" ht="24" customHeight="1">
      <c r="W7897" s="413"/>
    </row>
    <row r="7898" spans="23:23" ht="24" customHeight="1">
      <c r="W7898" s="413"/>
    </row>
    <row r="7899" spans="23:23" ht="24" customHeight="1">
      <c r="W7899" s="413"/>
    </row>
    <row r="7900" spans="23:23" ht="24" customHeight="1">
      <c r="W7900" s="413"/>
    </row>
    <row r="7901" spans="23:23" ht="24" customHeight="1">
      <c r="W7901" s="413"/>
    </row>
    <row r="7902" spans="23:23" ht="24" customHeight="1">
      <c r="W7902" s="413"/>
    </row>
    <row r="7903" spans="23:23" ht="24" customHeight="1">
      <c r="W7903" s="413"/>
    </row>
    <row r="7904" spans="23:23" ht="24" customHeight="1">
      <c r="W7904" s="413"/>
    </row>
    <row r="7905" spans="23:23" ht="24" customHeight="1">
      <c r="W7905" s="413"/>
    </row>
    <row r="7906" spans="23:23" ht="24" customHeight="1">
      <c r="W7906" s="413"/>
    </row>
    <row r="7907" spans="23:23" ht="24" customHeight="1">
      <c r="W7907" s="413"/>
    </row>
    <row r="7908" spans="23:23" ht="24" customHeight="1">
      <c r="W7908" s="413"/>
    </row>
    <row r="7909" spans="23:23" ht="24" customHeight="1">
      <c r="W7909" s="413"/>
    </row>
    <row r="7910" spans="23:23" ht="24" customHeight="1">
      <c r="W7910" s="413"/>
    </row>
    <row r="7911" spans="23:23" ht="24" customHeight="1">
      <c r="W7911" s="413"/>
    </row>
    <row r="7912" spans="23:23" ht="24" customHeight="1">
      <c r="W7912" s="413"/>
    </row>
    <row r="7913" spans="23:23" ht="24" customHeight="1">
      <c r="W7913" s="413"/>
    </row>
    <row r="7914" spans="23:23" ht="24" customHeight="1">
      <c r="W7914" s="413"/>
    </row>
    <row r="7915" spans="23:23" ht="24" customHeight="1">
      <c r="W7915" s="413"/>
    </row>
    <row r="7916" spans="23:23" ht="24" customHeight="1">
      <c r="W7916" s="413"/>
    </row>
    <row r="7917" spans="23:23" ht="24" customHeight="1">
      <c r="W7917" s="413"/>
    </row>
    <row r="7918" spans="23:23" ht="24" customHeight="1">
      <c r="W7918" s="413"/>
    </row>
    <row r="7919" spans="23:23" ht="24" customHeight="1">
      <c r="W7919" s="413"/>
    </row>
    <row r="7920" spans="23:23" ht="24" customHeight="1">
      <c r="W7920" s="413"/>
    </row>
    <row r="7921" spans="23:23" ht="24" customHeight="1">
      <c r="W7921" s="413"/>
    </row>
    <row r="7922" spans="23:23" ht="24" customHeight="1">
      <c r="W7922" s="413"/>
    </row>
    <row r="7923" spans="23:23" ht="24" customHeight="1">
      <c r="W7923" s="413"/>
    </row>
    <row r="7924" spans="23:23" ht="24" customHeight="1">
      <c r="W7924" s="413"/>
    </row>
    <row r="7925" spans="23:23" ht="24" customHeight="1">
      <c r="W7925" s="413"/>
    </row>
    <row r="7926" spans="23:23" ht="24" customHeight="1">
      <c r="W7926" s="413"/>
    </row>
    <row r="7927" spans="23:23" ht="24" customHeight="1">
      <c r="W7927" s="413"/>
    </row>
    <row r="7928" spans="23:23" ht="24" customHeight="1">
      <c r="W7928" s="413"/>
    </row>
    <row r="7929" spans="23:23" ht="24" customHeight="1">
      <c r="W7929" s="413"/>
    </row>
    <row r="7930" spans="23:23" ht="24" customHeight="1">
      <c r="W7930" s="413"/>
    </row>
    <row r="7931" spans="23:23" ht="24" customHeight="1">
      <c r="W7931" s="413"/>
    </row>
    <row r="7932" spans="23:23" ht="24" customHeight="1">
      <c r="W7932" s="413"/>
    </row>
    <row r="7933" spans="23:23" ht="24" customHeight="1">
      <c r="W7933" s="413"/>
    </row>
    <row r="7934" spans="23:23" ht="24" customHeight="1">
      <c r="W7934" s="413"/>
    </row>
    <row r="7935" spans="23:23" ht="24" customHeight="1">
      <c r="W7935" s="413"/>
    </row>
    <row r="7936" spans="23:23" ht="24" customHeight="1">
      <c r="W7936" s="413"/>
    </row>
    <row r="7937" spans="23:23" ht="24" customHeight="1">
      <c r="W7937" s="413"/>
    </row>
    <row r="7938" spans="23:23" ht="24" customHeight="1">
      <c r="W7938" s="413"/>
    </row>
    <row r="7939" spans="23:23" ht="24" customHeight="1">
      <c r="W7939" s="413"/>
    </row>
    <row r="7940" spans="23:23" ht="24" customHeight="1">
      <c r="W7940" s="413"/>
    </row>
    <row r="7941" spans="23:23" ht="24" customHeight="1">
      <c r="W7941" s="413"/>
    </row>
    <row r="7942" spans="23:23" ht="24" customHeight="1">
      <c r="W7942" s="413"/>
    </row>
    <row r="7943" spans="23:23" ht="24" customHeight="1">
      <c r="W7943" s="413"/>
    </row>
    <row r="7944" spans="23:23" ht="24" customHeight="1">
      <c r="W7944" s="413"/>
    </row>
    <row r="7945" spans="23:23" ht="24" customHeight="1">
      <c r="W7945" s="413"/>
    </row>
    <row r="7946" spans="23:23" ht="24" customHeight="1">
      <c r="W7946" s="413"/>
    </row>
    <row r="7947" spans="23:23" ht="24" customHeight="1">
      <c r="W7947" s="413"/>
    </row>
    <row r="7948" spans="23:23" ht="24" customHeight="1">
      <c r="W7948" s="413"/>
    </row>
    <row r="7949" spans="23:23" ht="24" customHeight="1">
      <c r="W7949" s="413"/>
    </row>
    <row r="7950" spans="23:23" ht="24" customHeight="1">
      <c r="W7950" s="413"/>
    </row>
    <row r="7951" spans="23:23" ht="24" customHeight="1">
      <c r="W7951" s="413"/>
    </row>
    <row r="7952" spans="23:23" ht="24" customHeight="1">
      <c r="W7952" s="413"/>
    </row>
    <row r="7953" spans="23:23" ht="24" customHeight="1">
      <c r="W7953" s="413"/>
    </row>
    <row r="7954" spans="23:23" ht="24" customHeight="1">
      <c r="W7954" s="413"/>
    </row>
    <row r="7955" spans="23:23" ht="24" customHeight="1">
      <c r="W7955" s="413"/>
    </row>
    <row r="7956" spans="23:23" ht="24" customHeight="1">
      <c r="W7956" s="413"/>
    </row>
    <row r="7957" spans="23:23" ht="24" customHeight="1">
      <c r="W7957" s="413"/>
    </row>
    <row r="7958" spans="23:23" ht="24" customHeight="1">
      <c r="W7958" s="413"/>
    </row>
    <row r="7959" spans="23:23" ht="24" customHeight="1">
      <c r="W7959" s="413"/>
    </row>
    <row r="7960" spans="23:23" ht="24" customHeight="1">
      <c r="W7960" s="413"/>
    </row>
    <row r="7961" spans="23:23" ht="24" customHeight="1">
      <c r="W7961" s="413"/>
    </row>
    <row r="7962" spans="23:23" ht="24" customHeight="1">
      <c r="W7962" s="413"/>
    </row>
    <row r="7963" spans="23:23" ht="24" customHeight="1">
      <c r="W7963" s="413"/>
    </row>
    <row r="7964" spans="23:23" ht="24" customHeight="1">
      <c r="W7964" s="413"/>
    </row>
    <row r="7965" spans="23:23" ht="24" customHeight="1">
      <c r="W7965" s="413"/>
    </row>
    <row r="7966" spans="23:23" ht="24" customHeight="1">
      <c r="W7966" s="413"/>
    </row>
    <row r="7967" spans="23:23" ht="24" customHeight="1">
      <c r="W7967" s="413"/>
    </row>
    <row r="7968" spans="23:23" ht="24" customHeight="1">
      <c r="W7968" s="413"/>
    </row>
    <row r="7969" spans="23:23" ht="24" customHeight="1">
      <c r="W7969" s="413"/>
    </row>
    <row r="7970" spans="23:23" ht="24" customHeight="1">
      <c r="W7970" s="413"/>
    </row>
    <row r="7971" spans="23:23" ht="24" customHeight="1">
      <c r="W7971" s="413"/>
    </row>
    <row r="7972" spans="23:23" ht="24" customHeight="1">
      <c r="W7972" s="413"/>
    </row>
    <row r="7973" spans="23:23" ht="24" customHeight="1">
      <c r="W7973" s="413"/>
    </row>
    <row r="7974" spans="23:23" ht="24" customHeight="1">
      <c r="W7974" s="413"/>
    </row>
    <row r="7975" spans="23:23" ht="24" customHeight="1">
      <c r="W7975" s="413"/>
    </row>
    <row r="7976" spans="23:23" ht="24" customHeight="1">
      <c r="W7976" s="413"/>
    </row>
    <row r="7977" spans="23:23" ht="24" customHeight="1">
      <c r="W7977" s="413"/>
    </row>
    <row r="7978" spans="23:23" ht="24" customHeight="1">
      <c r="W7978" s="413"/>
    </row>
    <row r="7979" spans="23:23" ht="24" customHeight="1">
      <c r="W7979" s="413"/>
    </row>
    <row r="7980" spans="23:23" ht="24" customHeight="1">
      <c r="W7980" s="413"/>
    </row>
    <row r="7981" spans="23:23" ht="24" customHeight="1">
      <c r="W7981" s="413"/>
    </row>
    <row r="7982" spans="23:23" ht="24" customHeight="1">
      <c r="W7982" s="413"/>
    </row>
    <row r="7983" spans="23:23" ht="24" customHeight="1">
      <c r="W7983" s="413"/>
    </row>
    <row r="7984" spans="23:23" ht="24" customHeight="1">
      <c r="W7984" s="413"/>
    </row>
    <row r="7985" spans="23:23" ht="24" customHeight="1">
      <c r="W7985" s="413"/>
    </row>
    <row r="7986" spans="23:23" ht="24" customHeight="1">
      <c r="W7986" s="413"/>
    </row>
    <row r="7987" spans="23:23" ht="24" customHeight="1">
      <c r="W7987" s="413"/>
    </row>
    <row r="7988" spans="23:23" ht="24" customHeight="1">
      <c r="W7988" s="413"/>
    </row>
    <row r="7989" spans="23:23" ht="24" customHeight="1">
      <c r="W7989" s="413"/>
    </row>
    <row r="7990" spans="23:23" ht="24" customHeight="1">
      <c r="W7990" s="413"/>
    </row>
    <row r="7991" spans="23:23" ht="24" customHeight="1">
      <c r="W7991" s="413"/>
    </row>
    <row r="7992" spans="23:23" ht="24" customHeight="1">
      <c r="W7992" s="413"/>
    </row>
    <row r="7993" spans="23:23" ht="24" customHeight="1">
      <c r="W7993" s="413"/>
    </row>
    <row r="7994" spans="23:23" ht="24" customHeight="1">
      <c r="W7994" s="413"/>
    </row>
    <row r="7995" spans="23:23" ht="24" customHeight="1">
      <c r="W7995" s="413"/>
    </row>
    <row r="7996" spans="23:23" ht="24" customHeight="1">
      <c r="W7996" s="413"/>
    </row>
    <row r="7997" spans="23:23" ht="24" customHeight="1">
      <c r="W7997" s="413"/>
    </row>
    <row r="7998" spans="23:23" ht="24" customHeight="1">
      <c r="W7998" s="413"/>
    </row>
    <row r="7999" spans="23:23" ht="24" customHeight="1">
      <c r="W7999" s="413"/>
    </row>
    <row r="8000" spans="23:23" ht="24" customHeight="1">
      <c r="W8000" s="413"/>
    </row>
    <row r="8001" spans="23:23" ht="24" customHeight="1">
      <c r="W8001" s="413"/>
    </row>
    <row r="8002" spans="23:23" ht="24" customHeight="1">
      <c r="W8002" s="413"/>
    </row>
    <row r="8003" spans="23:23" ht="24" customHeight="1">
      <c r="W8003" s="413"/>
    </row>
    <row r="8004" spans="23:23" ht="24" customHeight="1">
      <c r="W8004" s="413"/>
    </row>
    <row r="8005" spans="23:23" ht="24" customHeight="1">
      <c r="W8005" s="413"/>
    </row>
    <row r="8006" spans="23:23" ht="24" customHeight="1">
      <c r="W8006" s="413"/>
    </row>
    <row r="8007" spans="23:23" ht="24" customHeight="1">
      <c r="W8007" s="413"/>
    </row>
    <row r="8008" spans="23:23" ht="24" customHeight="1">
      <c r="W8008" s="413"/>
    </row>
    <row r="8009" spans="23:23" ht="24" customHeight="1">
      <c r="W8009" s="413"/>
    </row>
    <row r="8010" spans="23:23" ht="24" customHeight="1">
      <c r="W8010" s="413"/>
    </row>
    <row r="8011" spans="23:23" ht="24" customHeight="1">
      <c r="W8011" s="413"/>
    </row>
    <row r="8012" spans="23:23" ht="24" customHeight="1">
      <c r="W8012" s="413"/>
    </row>
    <row r="8013" spans="23:23" ht="24" customHeight="1">
      <c r="W8013" s="413"/>
    </row>
    <row r="8014" spans="23:23" ht="24" customHeight="1">
      <c r="W8014" s="413"/>
    </row>
    <row r="8015" spans="23:23" ht="24" customHeight="1">
      <c r="W8015" s="413"/>
    </row>
    <row r="8016" spans="23:23" ht="24" customHeight="1">
      <c r="W8016" s="413"/>
    </row>
    <row r="8017" spans="23:23" ht="24" customHeight="1">
      <c r="W8017" s="413"/>
    </row>
    <row r="8018" spans="23:23" ht="24" customHeight="1">
      <c r="W8018" s="413"/>
    </row>
    <row r="8019" spans="23:23" ht="24" customHeight="1">
      <c r="W8019" s="413"/>
    </row>
    <row r="8020" spans="23:23" ht="24" customHeight="1">
      <c r="W8020" s="413"/>
    </row>
    <row r="8021" spans="23:23" ht="24" customHeight="1">
      <c r="W8021" s="413"/>
    </row>
    <row r="8022" spans="23:23" ht="24" customHeight="1">
      <c r="W8022" s="413"/>
    </row>
    <row r="8023" spans="23:23" ht="24" customHeight="1">
      <c r="W8023" s="413"/>
    </row>
    <row r="8024" spans="23:23" ht="24" customHeight="1">
      <c r="W8024" s="413"/>
    </row>
    <row r="8025" spans="23:23" ht="24" customHeight="1">
      <c r="W8025" s="413"/>
    </row>
    <row r="8026" spans="23:23" ht="24" customHeight="1">
      <c r="W8026" s="413"/>
    </row>
    <row r="8027" spans="23:23" ht="24" customHeight="1">
      <c r="W8027" s="413"/>
    </row>
    <row r="8028" spans="23:23" ht="24" customHeight="1">
      <c r="W8028" s="413"/>
    </row>
    <row r="8029" spans="23:23" ht="24" customHeight="1">
      <c r="W8029" s="413"/>
    </row>
    <row r="8030" spans="23:23" ht="24" customHeight="1">
      <c r="W8030" s="413"/>
    </row>
    <row r="8031" spans="23:23" ht="24" customHeight="1">
      <c r="W8031" s="413"/>
    </row>
    <row r="8032" spans="23:23" ht="24" customHeight="1">
      <c r="W8032" s="413"/>
    </row>
    <row r="8033" spans="23:23" ht="24" customHeight="1">
      <c r="W8033" s="413"/>
    </row>
    <row r="8034" spans="23:23" ht="24" customHeight="1">
      <c r="W8034" s="413"/>
    </row>
    <row r="8035" spans="23:23" ht="24" customHeight="1">
      <c r="W8035" s="413"/>
    </row>
    <row r="8036" spans="23:23" ht="24" customHeight="1">
      <c r="W8036" s="413"/>
    </row>
    <row r="8037" spans="23:23" ht="24" customHeight="1">
      <c r="W8037" s="413"/>
    </row>
    <row r="8038" spans="23:23" ht="24" customHeight="1">
      <c r="W8038" s="413"/>
    </row>
    <row r="8039" spans="23:23" ht="24" customHeight="1">
      <c r="W8039" s="413"/>
    </row>
    <row r="8040" spans="23:23" ht="24" customHeight="1">
      <c r="W8040" s="413"/>
    </row>
    <row r="8041" spans="23:23" ht="24" customHeight="1">
      <c r="W8041" s="413"/>
    </row>
    <row r="8042" spans="23:23" ht="24" customHeight="1">
      <c r="W8042" s="413"/>
    </row>
    <row r="8043" spans="23:23" ht="24" customHeight="1">
      <c r="W8043" s="413"/>
    </row>
    <row r="8044" spans="23:23" ht="24" customHeight="1">
      <c r="W8044" s="413"/>
    </row>
    <row r="8045" spans="23:23" ht="24" customHeight="1">
      <c r="W8045" s="413"/>
    </row>
    <row r="8046" spans="23:23" ht="24" customHeight="1">
      <c r="W8046" s="413"/>
    </row>
    <row r="8047" spans="23:23" ht="24" customHeight="1">
      <c r="W8047" s="413"/>
    </row>
    <row r="8048" spans="23:23" ht="24" customHeight="1">
      <c r="W8048" s="413"/>
    </row>
    <row r="8049" spans="23:23" ht="24" customHeight="1">
      <c r="W8049" s="413"/>
    </row>
    <row r="8050" spans="23:23" ht="24" customHeight="1">
      <c r="W8050" s="413"/>
    </row>
    <row r="8051" spans="23:23" ht="24" customHeight="1">
      <c r="W8051" s="413"/>
    </row>
    <row r="8052" spans="23:23" ht="24" customHeight="1">
      <c r="W8052" s="413"/>
    </row>
    <row r="8053" spans="23:23" ht="24" customHeight="1">
      <c r="W8053" s="413"/>
    </row>
    <row r="8054" spans="23:23" ht="24" customHeight="1">
      <c r="W8054" s="413"/>
    </row>
    <row r="8055" spans="23:23" ht="24" customHeight="1">
      <c r="W8055" s="413"/>
    </row>
    <row r="8056" spans="23:23" ht="24" customHeight="1">
      <c r="W8056" s="413"/>
    </row>
    <row r="8057" spans="23:23" ht="24" customHeight="1">
      <c r="W8057" s="413"/>
    </row>
    <row r="8058" spans="23:23" ht="24" customHeight="1">
      <c r="W8058" s="413"/>
    </row>
    <row r="8059" spans="23:23" ht="24" customHeight="1">
      <c r="W8059" s="413"/>
    </row>
    <row r="8060" spans="23:23" ht="24" customHeight="1">
      <c r="W8060" s="413"/>
    </row>
    <row r="8061" spans="23:23" ht="24" customHeight="1">
      <c r="W8061" s="413"/>
    </row>
    <row r="8062" spans="23:23" ht="24" customHeight="1">
      <c r="W8062" s="413"/>
    </row>
    <row r="8063" spans="23:23" ht="24" customHeight="1">
      <c r="W8063" s="413"/>
    </row>
    <row r="8064" spans="23:23" ht="24" customHeight="1">
      <c r="W8064" s="413"/>
    </row>
    <row r="8065" spans="23:23" ht="24" customHeight="1">
      <c r="W8065" s="413"/>
    </row>
    <row r="8066" spans="23:23" ht="24" customHeight="1">
      <c r="W8066" s="413"/>
    </row>
    <row r="8067" spans="23:23" ht="24" customHeight="1">
      <c r="W8067" s="413"/>
    </row>
    <row r="8068" spans="23:23" ht="24" customHeight="1">
      <c r="W8068" s="413"/>
    </row>
    <row r="8069" spans="23:23" ht="24" customHeight="1">
      <c r="W8069" s="413"/>
    </row>
    <row r="8070" spans="23:23" ht="24" customHeight="1">
      <c r="W8070" s="413"/>
    </row>
    <row r="8071" spans="23:23" ht="24" customHeight="1">
      <c r="W8071" s="413"/>
    </row>
    <row r="8072" spans="23:23" ht="24" customHeight="1">
      <c r="W8072" s="413"/>
    </row>
    <row r="8073" spans="23:23" ht="24" customHeight="1">
      <c r="W8073" s="413"/>
    </row>
    <row r="8074" spans="23:23" ht="24" customHeight="1">
      <c r="W8074" s="413"/>
    </row>
    <row r="8075" spans="23:23" ht="24" customHeight="1">
      <c r="W8075" s="413"/>
    </row>
    <row r="8076" spans="23:23" ht="24" customHeight="1">
      <c r="W8076" s="413"/>
    </row>
    <row r="8077" spans="23:23" ht="24" customHeight="1">
      <c r="W8077" s="413"/>
    </row>
    <row r="8078" spans="23:23" ht="24" customHeight="1">
      <c r="W8078" s="413"/>
    </row>
    <row r="8079" spans="23:23" ht="24" customHeight="1">
      <c r="W8079" s="413"/>
    </row>
    <row r="8080" spans="23:23" ht="24" customHeight="1">
      <c r="W8080" s="413"/>
    </row>
    <row r="8081" spans="23:23" ht="24" customHeight="1">
      <c r="W8081" s="413"/>
    </row>
    <row r="8082" spans="23:23" ht="24" customHeight="1">
      <c r="W8082" s="413"/>
    </row>
    <row r="8083" spans="23:23" ht="24" customHeight="1">
      <c r="W8083" s="413"/>
    </row>
    <row r="8084" spans="23:23" ht="24" customHeight="1">
      <c r="W8084" s="413"/>
    </row>
    <row r="8085" spans="23:23" ht="24" customHeight="1">
      <c r="W8085" s="413"/>
    </row>
    <row r="8086" spans="23:23" ht="24" customHeight="1">
      <c r="W8086" s="413"/>
    </row>
    <row r="8087" spans="23:23" ht="24" customHeight="1">
      <c r="W8087" s="413"/>
    </row>
    <row r="8088" spans="23:23" ht="24" customHeight="1">
      <c r="W8088" s="413"/>
    </row>
    <row r="8089" spans="23:23" ht="24" customHeight="1">
      <c r="W8089" s="413"/>
    </row>
    <row r="8090" spans="23:23" ht="24" customHeight="1">
      <c r="W8090" s="413"/>
    </row>
    <row r="8091" spans="23:23" ht="24" customHeight="1">
      <c r="W8091" s="413"/>
    </row>
    <row r="8092" spans="23:23" ht="24" customHeight="1">
      <c r="W8092" s="413"/>
    </row>
    <row r="8093" spans="23:23" ht="24" customHeight="1">
      <c r="W8093" s="413"/>
    </row>
    <row r="8094" spans="23:23" ht="24" customHeight="1">
      <c r="W8094" s="413"/>
    </row>
    <row r="8095" spans="23:23" ht="24" customHeight="1">
      <c r="W8095" s="413"/>
    </row>
    <row r="8096" spans="23:23" ht="24" customHeight="1">
      <c r="W8096" s="413"/>
    </row>
    <row r="8097" spans="23:23" ht="24" customHeight="1">
      <c r="W8097" s="413"/>
    </row>
    <row r="8098" spans="23:23" ht="24" customHeight="1">
      <c r="W8098" s="413"/>
    </row>
    <row r="8099" spans="23:23" ht="24" customHeight="1">
      <c r="W8099" s="413"/>
    </row>
    <row r="8100" spans="23:23" ht="24" customHeight="1">
      <c r="W8100" s="413"/>
    </row>
    <row r="8101" spans="23:23" ht="24" customHeight="1">
      <c r="W8101" s="413"/>
    </row>
    <row r="8102" spans="23:23" ht="24" customHeight="1">
      <c r="W8102" s="413"/>
    </row>
    <row r="8103" spans="23:23" ht="24" customHeight="1">
      <c r="W8103" s="413"/>
    </row>
    <row r="8104" spans="23:23" ht="24" customHeight="1">
      <c r="W8104" s="413"/>
    </row>
    <row r="8105" spans="23:23" ht="24" customHeight="1">
      <c r="W8105" s="413"/>
    </row>
    <row r="8106" spans="23:23" ht="24" customHeight="1">
      <c r="W8106" s="413"/>
    </row>
    <row r="8107" spans="23:23" ht="24" customHeight="1">
      <c r="W8107" s="413"/>
    </row>
    <row r="8108" spans="23:23" ht="24" customHeight="1">
      <c r="W8108" s="413"/>
    </row>
    <row r="8109" spans="23:23" ht="24" customHeight="1">
      <c r="W8109" s="413"/>
    </row>
    <row r="8110" spans="23:23" ht="24" customHeight="1">
      <c r="W8110" s="413"/>
    </row>
    <row r="8111" spans="23:23" ht="24" customHeight="1">
      <c r="W8111" s="413"/>
    </row>
    <row r="8112" spans="23:23" ht="24" customHeight="1">
      <c r="W8112" s="413"/>
    </row>
    <row r="8113" spans="23:23" ht="24" customHeight="1">
      <c r="W8113" s="413"/>
    </row>
    <row r="8114" spans="23:23" ht="24" customHeight="1">
      <c r="W8114" s="413"/>
    </row>
    <row r="8115" spans="23:23" ht="24" customHeight="1">
      <c r="W8115" s="413"/>
    </row>
    <row r="8116" spans="23:23" ht="24" customHeight="1">
      <c r="W8116" s="413"/>
    </row>
    <row r="8117" spans="23:23" ht="24" customHeight="1">
      <c r="W8117" s="413"/>
    </row>
    <row r="8118" spans="23:23" ht="24" customHeight="1">
      <c r="W8118" s="413"/>
    </row>
    <row r="8119" spans="23:23" ht="24" customHeight="1">
      <c r="W8119" s="413"/>
    </row>
    <row r="8120" spans="23:23" ht="24" customHeight="1">
      <c r="W8120" s="413"/>
    </row>
    <row r="8121" spans="23:23" ht="24" customHeight="1">
      <c r="W8121" s="413"/>
    </row>
    <row r="8122" spans="23:23" ht="24" customHeight="1">
      <c r="W8122" s="413"/>
    </row>
    <row r="8123" spans="23:23" ht="24" customHeight="1">
      <c r="W8123" s="413"/>
    </row>
    <row r="8124" spans="23:23" ht="24" customHeight="1">
      <c r="W8124" s="413"/>
    </row>
    <row r="8125" spans="23:23" ht="24" customHeight="1">
      <c r="W8125" s="413"/>
    </row>
    <row r="8126" spans="23:23" ht="24" customHeight="1">
      <c r="W8126" s="413"/>
    </row>
    <row r="8127" spans="23:23" ht="24" customHeight="1">
      <c r="W8127" s="413"/>
    </row>
    <row r="8128" spans="23:23" ht="24" customHeight="1">
      <c r="W8128" s="413"/>
    </row>
    <row r="8129" spans="23:23" ht="24" customHeight="1">
      <c r="W8129" s="413"/>
    </row>
    <row r="8130" spans="23:23" ht="24" customHeight="1">
      <c r="W8130" s="413"/>
    </row>
    <row r="8131" spans="23:23" ht="24" customHeight="1">
      <c r="W8131" s="413"/>
    </row>
    <row r="8132" spans="23:23" ht="24" customHeight="1">
      <c r="W8132" s="413"/>
    </row>
    <row r="8133" spans="23:23" ht="24" customHeight="1">
      <c r="W8133" s="413"/>
    </row>
    <row r="8134" spans="23:23" ht="24" customHeight="1">
      <c r="W8134" s="413"/>
    </row>
    <row r="8135" spans="23:23" ht="24" customHeight="1">
      <c r="W8135" s="413"/>
    </row>
    <row r="8136" spans="23:23" ht="24" customHeight="1">
      <c r="W8136" s="413"/>
    </row>
    <row r="8137" spans="23:23" ht="24" customHeight="1">
      <c r="W8137" s="413"/>
    </row>
    <row r="8138" spans="23:23" ht="24" customHeight="1">
      <c r="W8138" s="413"/>
    </row>
    <row r="8139" spans="23:23" ht="24" customHeight="1">
      <c r="W8139" s="413"/>
    </row>
    <row r="8140" spans="23:23" ht="24" customHeight="1">
      <c r="W8140" s="413"/>
    </row>
    <row r="8141" spans="23:23" ht="24" customHeight="1">
      <c r="W8141" s="413"/>
    </row>
    <row r="8142" spans="23:23" ht="24" customHeight="1">
      <c r="W8142" s="413"/>
    </row>
    <row r="8143" spans="23:23" ht="24" customHeight="1">
      <c r="W8143" s="413"/>
    </row>
    <row r="8144" spans="23:23" ht="24" customHeight="1">
      <c r="W8144" s="413"/>
    </row>
    <row r="8145" spans="23:23" ht="24" customHeight="1">
      <c r="W8145" s="413"/>
    </row>
    <row r="8146" spans="23:23" ht="24" customHeight="1">
      <c r="W8146" s="413"/>
    </row>
    <row r="8147" spans="23:23" ht="24" customHeight="1">
      <c r="W8147" s="413"/>
    </row>
    <row r="8148" spans="23:23" ht="24" customHeight="1">
      <c r="W8148" s="413"/>
    </row>
    <row r="8149" spans="23:23" ht="24" customHeight="1">
      <c r="W8149" s="413"/>
    </row>
    <row r="8150" spans="23:23" ht="24" customHeight="1">
      <c r="W8150" s="413"/>
    </row>
    <row r="8151" spans="23:23" ht="24" customHeight="1">
      <c r="W8151" s="413"/>
    </row>
    <row r="8152" spans="23:23" ht="24" customHeight="1">
      <c r="W8152" s="413"/>
    </row>
    <row r="8153" spans="23:23" ht="24" customHeight="1">
      <c r="W8153" s="413"/>
    </row>
    <row r="8154" spans="23:23" ht="24" customHeight="1">
      <c r="W8154" s="413"/>
    </row>
    <row r="8155" spans="23:23" ht="24" customHeight="1">
      <c r="W8155" s="413"/>
    </row>
    <row r="8156" spans="23:23" ht="24" customHeight="1">
      <c r="W8156" s="413"/>
    </row>
    <row r="8157" spans="23:23" ht="24" customHeight="1">
      <c r="W8157" s="413"/>
    </row>
    <row r="8158" spans="23:23" ht="24" customHeight="1">
      <c r="W8158" s="413"/>
    </row>
    <row r="8159" spans="23:23" ht="24" customHeight="1">
      <c r="W8159" s="413"/>
    </row>
    <row r="8160" spans="23:23" ht="24" customHeight="1">
      <c r="W8160" s="413"/>
    </row>
    <row r="8161" spans="23:23" ht="24" customHeight="1">
      <c r="W8161" s="413"/>
    </row>
    <row r="8162" spans="23:23" ht="24" customHeight="1">
      <c r="W8162" s="413"/>
    </row>
    <row r="8163" spans="23:23" ht="24" customHeight="1">
      <c r="W8163" s="413"/>
    </row>
    <row r="8164" spans="23:23" ht="24" customHeight="1">
      <c r="W8164" s="413"/>
    </row>
    <row r="8165" spans="23:23" ht="24" customHeight="1">
      <c r="W8165" s="413"/>
    </row>
    <row r="8166" spans="23:23" ht="24" customHeight="1">
      <c r="W8166" s="413"/>
    </row>
    <row r="8167" spans="23:23" ht="24" customHeight="1">
      <c r="W8167" s="413"/>
    </row>
    <row r="8168" spans="23:23" ht="24" customHeight="1">
      <c r="W8168" s="413"/>
    </row>
    <row r="8169" spans="23:23" ht="24" customHeight="1">
      <c r="W8169" s="413"/>
    </row>
    <row r="8170" spans="23:23" ht="24" customHeight="1">
      <c r="W8170" s="413"/>
    </row>
    <row r="8171" spans="23:23" ht="24" customHeight="1">
      <c r="W8171" s="413"/>
    </row>
    <row r="8172" spans="23:23" ht="24" customHeight="1">
      <c r="W8172" s="413"/>
    </row>
    <row r="8173" spans="23:23" ht="24" customHeight="1">
      <c r="W8173" s="413"/>
    </row>
    <row r="8174" spans="23:23" ht="24" customHeight="1">
      <c r="W8174" s="413"/>
    </row>
    <row r="8175" spans="23:23" ht="24" customHeight="1">
      <c r="W8175" s="413"/>
    </row>
    <row r="8176" spans="23:23" ht="24" customHeight="1">
      <c r="W8176" s="413"/>
    </row>
    <row r="8177" spans="23:23" ht="24" customHeight="1">
      <c r="W8177" s="413"/>
    </row>
    <row r="8178" spans="23:23" ht="24" customHeight="1">
      <c r="W8178" s="413"/>
    </row>
    <row r="8179" spans="23:23" ht="24" customHeight="1">
      <c r="W8179" s="413"/>
    </row>
    <row r="8180" spans="23:23" ht="24" customHeight="1">
      <c r="W8180" s="413"/>
    </row>
    <row r="8181" spans="23:23" ht="24" customHeight="1">
      <c r="W8181" s="413"/>
    </row>
    <row r="8182" spans="23:23" ht="24" customHeight="1">
      <c r="W8182" s="413"/>
    </row>
    <row r="8183" spans="23:23" ht="24" customHeight="1">
      <c r="W8183" s="413"/>
    </row>
    <row r="8184" spans="23:23" ht="24" customHeight="1">
      <c r="W8184" s="413"/>
    </row>
    <row r="8185" spans="23:23" ht="24" customHeight="1">
      <c r="W8185" s="413"/>
    </row>
    <row r="8186" spans="23:23" ht="24" customHeight="1">
      <c r="W8186" s="413"/>
    </row>
    <row r="8187" spans="23:23" ht="24" customHeight="1">
      <c r="W8187" s="413"/>
    </row>
    <row r="8188" spans="23:23" ht="24" customHeight="1">
      <c r="W8188" s="413"/>
    </row>
    <row r="8189" spans="23:23" ht="24" customHeight="1">
      <c r="W8189" s="413"/>
    </row>
    <row r="8190" spans="23:23" ht="24" customHeight="1">
      <c r="W8190" s="413"/>
    </row>
    <row r="8191" spans="23:23" ht="24" customHeight="1">
      <c r="W8191" s="413"/>
    </row>
    <row r="8192" spans="23:23" ht="24" customHeight="1">
      <c r="W8192" s="413"/>
    </row>
    <row r="8193" spans="23:23" ht="24" customHeight="1">
      <c r="W8193" s="413"/>
    </row>
    <row r="8194" spans="23:23" ht="24" customHeight="1">
      <c r="W8194" s="413"/>
    </row>
    <row r="8195" spans="23:23" ht="24" customHeight="1">
      <c r="W8195" s="413"/>
    </row>
    <row r="8196" spans="23:23" ht="24" customHeight="1">
      <c r="W8196" s="413"/>
    </row>
    <row r="8197" spans="23:23" ht="24" customHeight="1">
      <c r="W8197" s="413"/>
    </row>
    <row r="8198" spans="23:23" ht="24" customHeight="1">
      <c r="W8198" s="413"/>
    </row>
    <row r="8199" spans="23:23" ht="24" customHeight="1">
      <c r="W8199" s="413"/>
    </row>
    <row r="8200" spans="23:23" ht="24" customHeight="1">
      <c r="W8200" s="413"/>
    </row>
    <row r="8201" spans="23:23" ht="24" customHeight="1">
      <c r="W8201" s="413"/>
    </row>
    <row r="8202" spans="23:23" ht="24" customHeight="1">
      <c r="W8202" s="413"/>
    </row>
    <row r="8203" spans="23:23" ht="24" customHeight="1">
      <c r="W8203" s="413"/>
    </row>
    <row r="8204" spans="23:23" ht="24" customHeight="1">
      <c r="W8204" s="413"/>
    </row>
    <row r="8205" spans="23:23" ht="24" customHeight="1">
      <c r="W8205" s="413"/>
    </row>
    <row r="8206" spans="23:23" ht="24" customHeight="1">
      <c r="W8206" s="413"/>
    </row>
    <row r="8207" spans="23:23" ht="24" customHeight="1">
      <c r="W8207" s="413"/>
    </row>
    <row r="8208" spans="23:23" ht="24" customHeight="1">
      <c r="W8208" s="413"/>
    </row>
    <row r="8209" spans="23:23" ht="24" customHeight="1">
      <c r="W8209" s="413"/>
    </row>
    <row r="8210" spans="23:23" ht="24" customHeight="1">
      <c r="W8210" s="413"/>
    </row>
    <row r="8211" spans="23:23" ht="24" customHeight="1">
      <c r="W8211" s="413"/>
    </row>
    <row r="8212" spans="23:23" ht="24" customHeight="1">
      <c r="W8212" s="413"/>
    </row>
    <row r="8213" spans="23:23" ht="24" customHeight="1">
      <c r="W8213" s="413"/>
    </row>
    <row r="8214" spans="23:23" ht="24" customHeight="1">
      <c r="W8214" s="413"/>
    </row>
    <row r="8215" spans="23:23" ht="24" customHeight="1">
      <c r="W8215" s="413"/>
    </row>
    <row r="8216" spans="23:23" ht="24" customHeight="1">
      <c r="W8216" s="413"/>
    </row>
    <row r="8217" spans="23:23" ht="24" customHeight="1">
      <c r="W8217" s="413"/>
    </row>
    <row r="8218" spans="23:23" ht="24" customHeight="1">
      <c r="W8218" s="413"/>
    </row>
    <row r="8219" spans="23:23" ht="24" customHeight="1">
      <c r="W8219" s="413"/>
    </row>
    <row r="8220" spans="23:23" ht="24" customHeight="1">
      <c r="W8220" s="413"/>
    </row>
    <row r="8221" spans="23:23" ht="24" customHeight="1">
      <c r="W8221" s="413"/>
    </row>
    <row r="8222" spans="23:23" ht="24" customHeight="1">
      <c r="W8222" s="413"/>
    </row>
    <row r="8223" spans="23:23" ht="24" customHeight="1">
      <c r="W8223" s="413"/>
    </row>
    <row r="8224" spans="23:23" ht="24" customHeight="1">
      <c r="W8224" s="413"/>
    </row>
    <row r="8225" spans="23:23" ht="24" customHeight="1">
      <c r="W8225" s="413"/>
    </row>
    <row r="8226" spans="23:23" ht="24" customHeight="1">
      <c r="W8226" s="413"/>
    </row>
    <row r="8227" spans="23:23" ht="24" customHeight="1">
      <c r="W8227" s="413"/>
    </row>
    <row r="8228" spans="23:23" ht="24" customHeight="1">
      <c r="W8228" s="413"/>
    </row>
    <row r="8229" spans="23:23" ht="24" customHeight="1">
      <c r="W8229" s="413"/>
    </row>
    <row r="8230" spans="23:23" ht="24" customHeight="1">
      <c r="W8230" s="413"/>
    </row>
    <row r="8231" spans="23:23" ht="24" customHeight="1">
      <c r="W8231" s="413"/>
    </row>
    <row r="8232" spans="23:23" ht="24" customHeight="1">
      <c r="W8232" s="413"/>
    </row>
    <row r="8233" spans="23:23" ht="24" customHeight="1">
      <c r="W8233" s="413"/>
    </row>
    <row r="8234" spans="23:23" ht="24" customHeight="1">
      <c r="W8234" s="413"/>
    </row>
    <row r="8235" spans="23:23" ht="24" customHeight="1">
      <c r="W8235" s="413"/>
    </row>
    <row r="8236" spans="23:23" ht="24" customHeight="1">
      <c r="W8236" s="413"/>
    </row>
    <row r="8237" spans="23:23" ht="24" customHeight="1">
      <c r="W8237" s="413"/>
    </row>
    <row r="8238" spans="23:23" ht="24" customHeight="1">
      <c r="W8238" s="413"/>
    </row>
    <row r="8239" spans="23:23" ht="24" customHeight="1">
      <c r="W8239" s="413"/>
    </row>
    <row r="8240" spans="23:23" ht="24" customHeight="1">
      <c r="W8240" s="413"/>
    </row>
    <row r="8241" spans="23:23" ht="24" customHeight="1">
      <c r="W8241" s="413"/>
    </row>
    <row r="8242" spans="23:23" ht="24" customHeight="1">
      <c r="W8242" s="413"/>
    </row>
    <row r="8243" spans="23:23" ht="24" customHeight="1">
      <c r="W8243" s="413"/>
    </row>
    <row r="8244" spans="23:23" ht="24" customHeight="1">
      <c r="W8244" s="413"/>
    </row>
    <row r="8245" spans="23:23" ht="24" customHeight="1">
      <c r="W8245" s="413"/>
    </row>
    <row r="8246" spans="23:23" ht="24" customHeight="1">
      <c r="W8246" s="413"/>
    </row>
    <row r="8247" spans="23:23" ht="24" customHeight="1">
      <c r="W8247" s="413"/>
    </row>
    <row r="8248" spans="23:23" ht="24" customHeight="1">
      <c r="W8248" s="413"/>
    </row>
    <row r="8249" spans="23:23" ht="24" customHeight="1">
      <c r="W8249" s="413"/>
    </row>
    <row r="8250" spans="23:23" ht="24" customHeight="1">
      <c r="W8250" s="413"/>
    </row>
    <row r="8251" spans="23:23" ht="24" customHeight="1">
      <c r="W8251" s="413"/>
    </row>
    <row r="8252" spans="23:23" ht="24" customHeight="1">
      <c r="W8252" s="413"/>
    </row>
    <row r="8253" spans="23:23" ht="24" customHeight="1">
      <c r="W8253" s="413"/>
    </row>
    <row r="8254" spans="23:23" ht="24" customHeight="1">
      <c r="W8254" s="413"/>
    </row>
    <row r="8255" spans="23:23" ht="24" customHeight="1">
      <c r="W8255" s="413"/>
    </row>
    <row r="8256" spans="23:23" ht="24" customHeight="1">
      <c r="W8256" s="413"/>
    </row>
    <row r="8257" spans="23:23" ht="24" customHeight="1">
      <c r="W8257" s="413"/>
    </row>
    <row r="8258" spans="23:23" ht="24" customHeight="1">
      <c r="W8258" s="413"/>
    </row>
    <row r="8259" spans="23:23" ht="24" customHeight="1">
      <c r="W8259" s="413"/>
    </row>
    <row r="8260" spans="23:23" ht="24" customHeight="1">
      <c r="W8260" s="413"/>
    </row>
    <row r="8261" spans="23:23" ht="24" customHeight="1">
      <c r="W8261" s="413"/>
    </row>
    <row r="8262" spans="23:23" ht="24" customHeight="1">
      <c r="W8262" s="413"/>
    </row>
    <row r="8263" spans="23:23" ht="24" customHeight="1">
      <c r="W8263" s="413"/>
    </row>
    <row r="8264" spans="23:23" ht="24" customHeight="1">
      <c r="W8264" s="413"/>
    </row>
    <row r="8265" spans="23:23" ht="24" customHeight="1">
      <c r="W8265" s="413"/>
    </row>
    <row r="8266" spans="23:23" ht="24" customHeight="1">
      <c r="W8266" s="413"/>
    </row>
    <row r="8267" spans="23:23" ht="24" customHeight="1">
      <c r="W8267" s="413"/>
    </row>
    <row r="8268" spans="23:23" ht="24" customHeight="1">
      <c r="W8268" s="413"/>
    </row>
    <row r="8269" spans="23:23" ht="24" customHeight="1">
      <c r="W8269" s="413"/>
    </row>
    <row r="8270" spans="23:23" ht="24" customHeight="1">
      <c r="W8270" s="413"/>
    </row>
    <row r="8271" spans="23:23" ht="24" customHeight="1">
      <c r="W8271" s="413"/>
    </row>
    <row r="8272" spans="23:23" ht="24" customHeight="1">
      <c r="W8272" s="413"/>
    </row>
    <row r="8273" spans="23:23" ht="24" customHeight="1">
      <c r="W8273" s="413"/>
    </row>
    <row r="8274" spans="23:23" ht="24" customHeight="1">
      <c r="W8274" s="413"/>
    </row>
    <row r="8275" spans="23:23" ht="24" customHeight="1">
      <c r="W8275" s="413"/>
    </row>
    <row r="8276" spans="23:23" ht="24" customHeight="1">
      <c r="W8276" s="413"/>
    </row>
    <row r="8277" spans="23:23" ht="24" customHeight="1">
      <c r="W8277" s="413"/>
    </row>
    <row r="8278" spans="23:23" ht="24" customHeight="1">
      <c r="W8278" s="413"/>
    </row>
    <row r="8279" spans="23:23" ht="24" customHeight="1">
      <c r="W8279" s="413"/>
    </row>
    <row r="8280" spans="23:23" ht="24" customHeight="1">
      <c r="W8280" s="413"/>
    </row>
    <row r="8281" spans="23:23" ht="24" customHeight="1">
      <c r="W8281" s="413"/>
    </row>
    <row r="8282" spans="23:23" ht="24" customHeight="1">
      <c r="W8282" s="413"/>
    </row>
    <row r="8283" spans="23:23" ht="24" customHeight="1">
      <c r="W8283" s="413"/>
    </row>
    <row r="8284" spans="23:23" ht="24" customHeight="1">
      <c r="W8284" s="413"/>
    </row>
    <row r="8285" spans="23:23" ht="24" customHeight="1">
      <c r="W8285" s="413"/>
    </row>
    <row r="8286" spans="23:23" ht="24" customHeight="1">
      <c r="W8286" s="413"/>
    </row>
    <row r="8287" spans="23:23" ht="24" customHeight="1">
      <c r="W8287" s="413"/>
    </row>
    <row r="8288" spans="23:23" ht="24" customHeight="1">
      <c r="W8288" s="413"/>
    </row>
    <row r="8289" spans="23:23" ht="24" customHeight="1">
      <c r="W8289" s="413"/>
    </row>
    <row r="8290" spans="23:23" ht="24" customHeight="1">
      <c r="W8290" s="413"/>
    </row>
    <row r="8291" spans="23:23" ht="24" customHeight="1">
      <c r="W8291" s="413"/>
    </row>
    <row r="8292" spans="23:23" ht="24" customHeight="1">
      <c r="W8292" s="413"/>
    </row>
    <row r="8293" spans="23:23" ht="24" customHeight="1">
      <c r="W8293" s="413"/>
    </row>
    <row r="8294" spans="23:23" ht="24" customHeight="1">
      <c r="W8294" s="413"/>
    </row>
    <row r="8295" spans="23:23" ht="24" customHeight="1">
      <c r="W8295" s="413"/>
    </row>
    <row r="8296" spans="23:23" ht="24" customHeight="1">
      <c r="W8296" s="413"/>
    </row>
    <row r="8297" spans="23:23" ht="24" customHeight="1">
      <c r="W8297" s="413"/>
    </row>
    <row r="8298" spans="23:23" ht="24" customHeight="1">
      <c r="W8298" s="413"/>
    </row>
    <row r="8299" spans="23:23" ht="24" customHeight="1">
      <c r="W8299" s="413"/>
    </row>
    <row r="8300" spans="23:23" ht="24" customHeight="1">
      <c r="W8300" s="413"/>
    </row>
    <row r="8301" spans="23:23" ht="24" customHeight="1">
      <c r="W8301" s="413"/>
    </row>
    <row r="8302" spans="23:23" ht="24" customHeight="1">
      <c r="W8302" s="413"/>
    </row>
    <row r="8303" spans="23:23" ht="24" customHeight="1">
      <c r="W8303" s="413"/>
    </row>
    <row r="8304" spans="23:23" ht="24" customHeight="1">
      <c r="W8304" s="413"/>
    </row>
    <row r="8305" spans="23:23" ht="24" customHeight="1">
      <c r="W8305" s="413"/>
    </row>
    <row r="8306" spans="23:23" ht="24" customHeight="1">
      <c r="W8306" s="413"/>
    </row>
    <row r="8307" spans="23:23" ht="24" customHeight="1">
      <c r="W8307" s="413"/>
    </row>
    <row r="8308" spans="23:23" ht="24" customHeight="1">
      <c r="W8308" s="413"/>
    </row>
    <row r="8309" spans="23:23" ht="24" customHeight="1">
      <c r="W8309" s="413"/>
    </row>
    <row r="8310" spans="23:23" ht="24" customHeight="1">
      <c r="W8310" s="413"/>
    </row>
    <row r="8311" spans="23:23" ht="24" customHeight="1">
      <c r="W8311" s="413"/>
    </row>
    <row r="8312" spans="23:23" ht="24" customHeight="1">
      <c r="W8312" s="413"/>
    </row>
    <row r="8313" spans="23:23" ht="24" customHeight="1">
      <c r="W8313" s="413"/>
    </row>
    <row r="8314" spans="23:23" ht="24" customHeight="1">
      <c r="W8314" s="413"/>
    </row>
    <row r="8315" spans="23:23" ht="24" customHeight="1">
      <c r="W8315" s="413"/>
    </row>
    <row r="8316" spans="23:23" ht="24" customHeight="1">
      <c r="W8316" s="413"/>
    </row>
    <row r="8317" spans="23:23" ht="24" customHeight="1">
      <c r="W8317" s="413"/>
    </row>
    <row r="8318" spans="23:23" ht="24" customHeight="1">
      <c r="W8318" s="413"/>
    </row>
    <row r="8319" spans="23:23" ht="24" customHeight="1">
      <c r="W8319" s="413"/>
    </row>
    <row r="8320" spans="23:23" ht="24" customHeight="1">
      <c r="W8320" s="413"/>
    </row>
    <row r="8321" spans="23:23" ht="24" customHeight="1">
      <c r="W8321" s="413"/>
    </row>
    <row r="8322" spans="23:23" ht="24" customHeight="1">
      <c r="W8322" s="413"/>
    </row>
    <row r="8323" spans="23:23" ht="24" customHeight="1">
      <c r="W8323" s="413"/>
    </row>
    <row r="8324" spans="23:23" ht="24" customHeight="1">
      <c r="W8324" s="413"/>
    </row>
    <row r="8325" spans="23:23" ht="24" customHeight="1">
      <c r="W8325" s="413"/>
    </row>
    <row r="8326" spans="23:23" ht="24" customHeight="1">
      <c r="W8326" s="413"/>
    </row>
    <row r="8327" spans="23:23" ht="24" customHeight="1">
      <c r="W8327" s="413"/>
    </row>
    <row r="8328" spans="23:23" ht="24" customHeight="1">
      <c r="W8328" s="413"/>
    </row>
    <row r="8329" spans="23:23" ht="24" customHeight="1">
      <c r="W8329" s="413"/>
    </row>
    <row r="8330" spans="23:23" ht="24" customHeight="1">
      <c r="W8330" s="413"/>
    </row>
    <row r="8331" spans="23:23" ht="24" customHeight="1">
      <c r="W8331" s="413"/>
    </row>
    <row r="8332" spans="23:23" ht="24" customHeight="1">
      <c r="W8332" s="413"/>
    </row>
    <row r="8333" spans="23:23" ht="24" customHeight="1">
      <c r="W8333" s="413"/>
    </row>
    <row r="8334" spans="23:23" ht="24" customHeight="1">
      <c r="W8334" s="413"/>
    </row>
    <row r="8335" spans="23:23" ht="24" customHeight="1">
      <c r="W8335" s="413"/>
    </row>
    <row r="8336" spans="23:23" ht="24" customHeight="1">
      <c r="W8336" s="413"/>
    </row>
    <row r="8337" spans="23:23" ht="24" customHeight="1">
      <c r="W8337" s="413"/>
    </row>
    <row r="8338" spans="23:23" ht="24" customHeight="1">
      <c r="W8338" s="413"/>
    </row>
    <row r="8339" spans="23:23" ht="24" customHeight="1">
      <c r="W8339" s="413"/>
    </row>
    <row r="8340" spans="23:23" ht="24" customHeight="1">
      <c r="W8340" s="413"/>
    </row>
    <row r="8341" spans="23:23" ht="24" customHeight="1">
      <c r="W8341" s="413"/>
    </row>
    <row r="8342" spans="23:23" ht="24" customHeight="1">
      <c r="W8342" s="413"/>
    </row>
    <row r="8343" spans="23:23" ht="24" customHeight="1">
      <c r="W8343" s="413"/>
    </row>
    <row r="8344" spans="23:23" ht="24" customHeight="1">
      <c r="W8344" s="413"/>
    </row>
    <row r="8345" spans="23:23" ht="24" customHeight="1">
      <c r="W8345" s="413"/>
    </row>
    <row r="8346" spans="23:23" ht="24" customHeight="1">
      <c r="W8346" s="413"/>
    </row>
    <row r="8347" spans="23:23" ht="24" customHeight="1">
      <c r="W8347" s="413"/>
    </row>
    <row r="8348" spans="23:23" ht="24" customHeight="1">
      <c r="W8348" s="413"/>
    </row>
    <row r="8349" spans="23:23" ht="24" customHeight="1">
      <c r="W8349" s="413"/>
    </row>
    <row r="8350" spans="23:23" ht="24" customHeight="1">
      <c r="W8350" s="413"/>
    </row>
    <row r="8351" spans="23:23" ht="24" customHeight="1">
      <c r="W8351" s="413"/>
    </row>
    <row r="8352" spans="23:23" ht="24" customHeight="1">
      <c r="W8352" s="413"/>
    </row>
    <row r="8353" spans="23:23" ht="24" customHeight="1">
      <c r="W8353" s="413"/>
    </row>
    <row r="8354" spans="23:23" ht="24" customHeight="1">
      <c r="W8354" s="413"/>
    </row>
    <row r="8355" spans="23:23" ht="24" customHeight="1">
      <c r="W8355" s="413"/>
    </row>
    <row r="8356" spans="23:23" ht="24" customHeight="1">
      <c r="W8356" s="413"/>
    </row>
    <row r="8357" spans="23:23" ht="24" customHeight="1">
      <c r="W8357" s="413"/>
    </row>
    <row r="8358" spans="23:23" ht="24" customHeight="1">
      <c r="W8358" s="413"/>
    </row>
    <row r="8359" spans="23:23" ht="24" customHeight="1">
      <c r="W8359" s="413"/>
    </row>
    <row r="8360" spans="23:23" ht="24" customHeight="1">
      <c r="W8360" s="413"/>
    </row>
    <row r="8361" spans="23:23" ht="24" customHeight="1">
      <c r="W8361" s="413"/>
    </row>
    <row r="8362" spans="23:23" ht="24" customHeight="1">
      <c r="W8362" s="413"/>
    </row>
    <row r="8363" spans="23:23" ht="24" customHeight="1">
      <c r="W8363" s="413"/>
    </row>
    <row r="8364" spans="23:23" ht="24" customHeight="1">
      <c r="W8364" s="413"/>
    </row>
    <row r="8365" spans="23:23" ht="24" customHeight="1">
      <c r="W8365" s="413"/>
    </row>
    <row r="8366" spans="23:23" ht="24" customHeight="1">
      <c r="W8366" s="413"/>
    </row>
    <row r="8367" spans="23:23" ht="24" customHeight="1">
      <c r="W8367" s="413"/>
    </row>
    <row r="8368" spans="23:23" ht="24" customHeight="1">
      <c r="W8368" s="413"/>
    </row>
    <row r="8369" spans="23:23" ht="24" customHeight="1">
      <c r="W8369" s="413"/>
    </row>
    <row r="8370" spans="23:23" ht="24" customHeight="1">
      <c r="W8370" s="413"/>
    </row>
    <row r="8371" spans="23:23" ht="24" customHeight="1">
      <c r="W8371" s="413"/>
    </row>
    <row r="8372" spans="23:23" ht="24" customHeight="1">
      <c r="W8372" s="413"/>
    </row>
    <row r="8373" spans="23:23" ht="24" customHeight="1">
      <c r="W8373" s="413"/>
    </row>
    <row r="8374" spans="23:23" ht="24" customHeight="1">
      <c r="W8374" s="413"/>
    </row>
    <row r="8375" spans="23:23" ht="24" customHeight="1">
      <c r="W8375" s="413"/>
    </row>
    <row r="8376" spans="23:23" ht="24" customHeight="1">
      <c r="W8376" s="413"/>
    </row>
    <row r="8377" spans="23:23" ht="24" customHeight="1">
      <c r="W8377" s="413"/>
    </row>
    <row r="8378" spans="23:23" ht="24" customHeight="1">
      <c r="W8378" s="413"/>
    </row>
    <row r="8379" spans="23:23" ht="24" customHeight="1">
      <c r="W8379" s="413"/>
    </row>
    <row r="8380" spans="23:23" ht="24" customHeight="1">
      <c r="W8380" s="413"/>
    </row>
    <row r="8381" spans="23:23" ht="24" customHeight="1">
      <c r="W8381" s="413"/>
    </row>
    <row r="8382" spans="23:23" ht="24" customHeight="1">
      <c r="W8382" s="413"/>
    </row>
    <row r="8383" spans="23:23" ht="24" customHeight="1">
      <c r="W8383" s="413"/>
    </row>
    <row r="8384" spans="23:23" ht="24" customHeight="1">
      <c r="W8384" s="413"/>
    </row>
    <row r="8385" spans="23:23" ht="24" customHeight="1">
      <c r="W8385" s="413"/>
    </row>
    <row r="8386" spans="23:23" ht="24" customHeight="1">
      <c r="W8386" s="413"/>
    </row>
    <row r="8387" spans="23:23" ht="24" customHeight="1">
      <c r="W8387" s="413"/>
    </row>
    <row r="8388" spans="23:23" ht="24" customHeight="1">
      <c r="W8388" s="413"/>
    </row>
    <row r="8389" spans="23:23" ht="24" customHeight="1">
      <c r="W8389" s="413"/>
    </row>
    <row r="8390" spans="23:23" ht="24" customHeight="1">
      <c r="W8390" s="413"/>
    </row>
    <row r="8391" spans="23:23" ht="24" customHeight="1">
      <c r="W8391" s="413"/>
    </row>
    <row r="8392" spans="23:23" ht="24" customHeight="1">
      <c r="W8392" s="413"/>
    </row>
    <row r="8393" spans="23:23" ht="24" customHeight="1">
      <c r="W8393" s="413"/>
    </row>
    <row r="8394" spans="23:23" ht="24" customHeight="1">
      <c r="W8394" s="413"/>
    </row>
    <row r="8395" spans="23:23" ht="24" customHeight="1">
      <c r="W8395" s="413"/>
    </row>
    <row r="8396" spans="23:23" ht="24" customHeight="1">
      <c r="W8396" s="413"/>
    </row>
    <row r="8397" spans="23:23" ht="24" customHeight="1">
      <c r="W8397" s="413"/>
    </row>
    <row r="8398" spans="23:23" ht="24" customHeight="1">
      <c r="W8398" s="413"/>
    </row>
    <row r="8399" spans="23:23" ht="24" customHeight="1">
      <c r="W8399" s="413"/>
    </row>
    <row r="8400" spans="23:23" ht="24" customHeight="1">
      <c r="W8400" s="413"/>
    </row>
    <row r="8401" spans="23:23" ht="24" customHeight="1">
      <c r="W8401" s="413"/>
    </row>
    <row r="8402" spans="23:23" ht="24" customHeight="1">
      <c r="W8402" s="413"/>
    </row>
    <row r="8403" spans="23:23" ht="24" customHeight="1">
      <c r="W8403" s="413"/>
    </row>
    <row r="8404" spans="23:23" ht="24" customHeight="1">
      <c r="W8404" s="413"/>
    </row>
    <row r="8405" spans="23:23" ht="24" customHeight="1">
      <c r="W8405" s="413"/>
    </row>
    <row r="8406" spans="23:23" ht="24" customHeight="1">
      <c r="W8406" s="413"/>
    </row>
    <row r="8407" spans="23:23" ht="24" customHeight="1">
      <c r="W8407" s="413"/>
    </row>
    <row r="8408" spans="23:23" ht="24" customHeight="1">
      <c r="W8408" s="413"/>
    </row>
    <row r="8409" spans="23:23" ht="24" customHeight="1">
      <c r="W8409" s="413"/>
    </row>
    <row r="8410" spans="23:23" ht="24" customHeight="1">
      <c r="W8410" s="413"/>
    </row>
    <row r="8411" spans="23:23" ht="24" customHeight="1">
      <c r="W8411" s="413"/>
    </row>
    <row r="8412" spans="23:23" ht="24" customHeight="1">
      <c r="W8412" s="413"/>
    </row>
    <row r="8413" spans="23:23" ht="24" customHeight="1">
      <c r="W8413" s="413"/>
    </row>
    <row r="8414" spans="23:23" ht="24" customHeight="1">
      <c r="W8414" s="413"/>
    </row>
    <row r="8415" spans="23:23" ht="24" customHeight="1">
      <c r="W8415" s="413"/>
    </row>
    <row r="8416" spans="23:23" ht="24" customHeight="1">
      <c r="W8416" s="413"/>
    </row>
    <row r="8417" spans="23:23" ht="24" customHeight="1">
      <c r="W8417" s="413"/>
    </row>
    <row r="8418" spans="23:23" ht="24" customHeight="1">
      <c r="W8418" s="413"/>
    </row>
    <row r="8419" spans="23:23" ht="24" customHeight="1">
      <c r="W8419" s="413"/>
    </row>
    <row r="8420" spans="23:23" ht="24" customHeight="1">
      <c r="W8420" s="413"/>
    </row>
    <row r="8421" spans="23:23" ht="24" customHeight="1">
      <c r="W8421" s="413"/>
    </row>
    <row r="8422" spans="23:23" ht="24" customHeight="1">
      <c r="W8422" s="413"/>
    </row>
    <row r="8423" spans="23:23" ht="24" customHeight="1">
      <c r="W8423" s="413"/>
    </row>
    <row r="8424" spans="23:23" ht="24" customHeight="1">
      <c r="W8424" s="413"/>
    </row>
    <row r="8425" spans="23:23" ht="24" customHeight="1">
      <c r="W8425" s="413"/>
    </row>
    <row r="8426" spans="23:23" ht="24" customHeight="1">
      <c r="W8426" s="413"/>
    </row>
    <row r="8427" spans="23:23" ht="24" customHeight="1">
      <c r="W8427" s="413"/>
    </row>
    <row r="8428" spans="23:23" ht="24" customHeight="1">
      <c r="W8428" s="413"/>
    </row>
    <row r="8429" spans="23:23" ht="24" customHeight="1">
      <c r="W8429" s="413"/>
    </row>
    <row r="8430" spans="23:23" ht="24" customHeight="1">
      <c r="W8430" s="413"/>
    </row>
    <row r="8431" spans="23:23" ht="24" customHeight="1">
      <c r="W8431" s="413"/>
    </row>
    <row r="8432" spans="23:23" ht="24" customHeight="1">
      <c r="W8432" s="413"/>
    </row>
    <row r="8433" spans="23:23" ht="24" customHeight="1">
      <c r="W8433" s="413"/>
    </row>
    <row r="8434" spans="23:23" ht="24" customHeight="1">
      <c r="W8434" s="413"/>
    </row>
    <row r="8435" spans="23:23" ht="24" customHeight="1">
      <c r="W8435" s="413"/>
    </row>
    <row r="8436" spans="23:23" ht="24" customHeight="1">
      <c r="W8436" s="413"/>
    </row>
    <row r="8437" spans="23:23" ht="24" customHeight="1">
      <c r="W8437" s="413"/>
    </row>
    <row r="8438" spans="23:23" ht="24" customHeight="1">
      <c r="W8438" s="413"/>
    </row>
    <row r="8439" spans="23:23" ht="24" customHeight="1">
      <c r="W8439" s="413"/>
    </row>
    <row r="8440" spans="23:23" ht="24" customHeight="1">
      <c r="W8440" s="413"/>
    </row>
    <row r="8441" spans="23:23" ht="24" customHeight="1">
      <c r="W8441" s="413"/>
    </row>
    <row r="8442" spans="23:23" ht="24" customHeight="1">
      <c r="W8442" s="413"/>
    </row>
    <row r="8443" spans="23:23" ht="24" customHeight="1">
      <c r="W8443" s="413"/>
    </row>
    <row r="8444" spans="23:23" ht="24" customHeight="1">
      <c r="W8444" s="413"/>
    </row>
    <row r="8445" spans="23:23" ht="24" customHeight="1">
      <c r="W8445" s="413"/>
    </row>
    <row r="8446" spans="23:23" ht="24" customHeight="1">
      <c r="W8446" s="413"/>
    </row>
    <row r="8447" spans="23:23" ht="24" customHeight="1">
      <c r="W8447" s="413"/>
    </row>
    <row r="8448" spans="23:23" ht="24" customHeight="1">
      <c r="W8448" s="413"/>
    </row>
    <row r="8449" spans="23:23" ht="24" customHeight="1">
      <c r="W8449" s="413"/>
    </row>
    <row r="8450" spans="23:23" ht="24" customHeight="1">
      <c r="W8450" s="413"/>
    </row>
    <row r="8451" spans="23:23" ht="24" customHeight="1">
      <c r="W8451" s="413"/>
    </row>
    <row r="8452" spans="23:23" ht="24" customHeight="1">
      <c r="W8452" s="413"/>
    </row>
    <row r="8453" spans="23:23" ht="24" customHeight="1">
      <c r="W8453" s="413"/>
    </row>
    <row r="8454" spans="23:23" ht="24" customHeight="1">
      <c r="W8454" s="413"/>
    </row>
    <row r="8455" spans="23:23" ht="24" customHeight="1">
      <c r="W8455" s="413"/>
    </row>
    <row r="8456" spans="23:23" ht="24" customHeight="1">
      <c r="W8456" s="413"/>
    </row>
    <row r="8457" spans="23:23" ht="24" customHeight="1">
      <c r="W8457" s="413"/>
    </row>
    <row r="8458" spans="23:23" ht="24" customHeight="1">
      <c r="W8458" s="413"/>
    </row>
    <row r="8459" spans="23:23" ht="24" customHeight="1">
      <c r="W8459" s="413"/>
    </row>
    <row r="8460" spans="23:23" ht="24" customHeight="1">
      <c r="W8460" s="413"/>
    </row>
    <row r="8461" spans="23:23" ht="24" customHeight="1">
      <c r="W8461" s="413"/>
    </row>
    <row r="8462" spans="23:23" ht="24" customHeight="1">
      <c r="W8462" s="413"/>
    </row>
    <row r="8463" spans="23:23" ht="24" customHeight="1">
      <c r="W8463" s="413"/>
    </row>
    <row r="8464" spans="23:23" ht="24" customHeight="1">
      <c r="W8464" s="413"/>
    </row>
    <row r="8465" spans="23:23" ht="24" customHeight="1">
      <c r="W8465" s="413"/>
    </row>
    <row r="8466" spans="23:23" ht="24" customHeight="1">
      <c r="W8466" s="413"/>
    </row>
    <row r="8467" spans="23:23" ht="24" customHeight="1">
      <c r="W8467" s="413"/>
    </row>
    <row r="8468" spans="23:23" ht="24" customHeight="1">
      <c r="W8468" s="413"/>
    </row>
    <row r="8469" spans="23:23" ht="24" customHeight="1">
      <c r="W8469" s="413"/>
    </row>
    <row r="8470" spans="23:23" ht="24" customHeight="1">
      <c r="W8470" s="413"/>
    </row>
    <row r="8471" spans="23:23" ht="24" customHeight="1">
      <c r="W8471" s="413"/>
    </row>
    <row r="8472" spans="23:23" ht="24" customHeight="1">
      <c r="W8472" s="413"/>
    </row>
    <row r="8473" spans="23:23" ht="24" customHeight="1">
      <c r="W8473" s="413"/>
    </row>
    <row r="8474" spans="23:23" ht="24" customHeight="1">
      <c r="W8474" s="413"/>
    </row>
    <row r="8475" spans="23:23" ht="24" customHeight="1">
      <c r="W8475" s="413"/>
    </row>
    <row r="8476" spans="23:23" ht="24" customHeight="1">
      <c r="W8476" s="413"/>
    </row>
    <row r="8477" spans="23:23" ht="24" customHeight="1">
      <c r="W8477" s="413"/>
    </row>
    <row r="8478" spans="23:23" ht="24" customHeight="1">
      <c r="W8478" s="413"/>
    </row>
    <row r="8479" spans="23:23" ht="24" customHeight="1">
      <c r="W8479" s="413"/>
    </row>
    <row r="8480" spans="23:23" ht="24" customHeight="1">
      <c r="W8480" s="413"/>
    </row>
    <row r="8481" spans="23:23" ht="24" customHeight="1">
      <c r="W8481" s="413"/>
    </row>
    <row r="8482" spans="23:23" ht="24" customHeight="1">
      <c r="W8482" s="413"/>
    </row>
    <row r="8483" spans="23:23" ht="24" customHeight="1">
      <c r="W8483" s="413"/>
    </row>
    <row r="8484" spans="23:23" ht="24" customHeight="1">
      <c r="W8484" s="413"/>
    </row>
    <row r="8485" spans="23:23" ht="24" customHeight="1">
      <c r="W8485" s="413"/>
    </row>
    <row r="8486" spans="23:23" ht="24" customHeight="1">
      <c r="W8486" s="413"/>
    </row>
    <row r="8487" spans="23:23" ht="24" customHeight="1">
      <c r="W8487" s="413"/>
    </row>
    <row r="8488" spans="23:23" ht="24" customHeight="1">
      <c r="W8488" s="413"/>
    </row>
    <row r="8489" spans="23:23" ht="24" customHeight="1">
      <c r="W8489" s="413"/>
    </row>
    <row r="8490" spans="23:23" ht="24" customHeight="1">
      <c r="W8490" s="413"/>
    </row>
    <row r="8491" spans="23:23" ht="24" customHeight="1">
      <c r="W8491" s="413"/>
    </row>
    <row r="8492" spans="23:23" ht="24" customHeight="1">
      <c r="W8492" s="413"/>
    </row>
    <row r="8493" spans="23:23" ht="24" customHeight="1">
      <c r="W8493" s="413"/>
    </row>
    <row r="8494" spans="23:23" ht="24" customHeight="1">
      <c r="W8494" s="413"/>
    </row>
    <row r="8495" spans="23:23" ht="24" customHeight="1">
      <c r="W8495" s="413"/>
    </row>
    <row r="8496" spans="23:23" ht="24" customHeight="1">
      <c r="W8496" s="413"/>
    </row>
    <row r="8497" spans="23:23" ht="24" customHeight="1">
      <c r="W8497" s="413"/>
    </row>
    <row r="8498" spans="23:23" ht="24" customHeight="1">
      <c r="W8498" s="413"/>
    </row>
    <row r="8499" spans="23:23" ht="24" customHeight="1">
      <c r="W8499" s="413"/>
    </row>
    <row r="8500" spans="23:23" ht="24" customHeight="1">
      <c r="W8500" s="413"/>
    </row>
    <row r="8501" spans="23:23" ht="24" customHeight="1">
      <c r="W8501" s="413"/>
    </row>
    <row r="8502" spans="23:23" ht="24" customHeight="1">
      <c r="W8502" s="413"/>
    </row>
    <row r="8503" spans="23:23" ht="24" customHeight="1">
      <c r="W8503" s="413"/>
    </row>
    <row r="8504" spans="23:23" ht="24" customHeight="1">
      <c r="W8504" s="413"/>
    </row>
    <row r="8505" spans="23:23" ht="24" customHeight="1">
      <c r="W8505" s="413"/>
    </row>
    <row r="8506" spans="23:23" ht="24" customHeight="1">
      <c r="W8506" s="413"/>
    </row>
    <row r="8507" spans="23:23" ht="24" customHeight="1">
      <c r="W8507" s="413"/>
    </row>
    <row r="8508" spans="23:23" ht="24" customHeight="1">
      <c r="W8508" s="413"/>
    </row>
    <row r="8509" spans="23:23" ht="24" customHeight="1">
      <c r="W8509" s="413"/>
    </row>
    <row r="8510" spans="23:23" ht="24" customHeight="1">
      <c r="W8510" s="413"/>
    </row>
    <row r="8511" spans="23:23" ht="24" customHeight="1">
      <c r="W8511" s="413"/>
    </row>
    <row r="8512" spans="23:23" ht="24" customHeight="1">
      <c r="W8512" s="413"/>
    </row>
    <row r="8513" spans="23:23" ht="24" customHeight="1">
      <c r="W8513" s="413"/>
    </row>
    <row r="8514" spans="23:23" ht="24" customHeight="1">
      <c r="W8514" s="413"/>
    </row>
    <row r="8515" spans="23:23" ht="24" customHeight="1">
      <c r="W8515" s="413"/>
    </row>
    <row r="8516" spans="23:23" ht="24" customHeight="1">
      <c r="W8516" s="413"/>
    </row>
    <row r="8517" spans="23:23" ht="24" customHeight="1">
      <c r="W8517" s="413"/>
    </row>
    <row r="8518" spans="23:23" ht="24" customHeight="1">
      <c r="W8518" s="413"/>
    </row>
    <row r="8519" spans="23:23" ht="24" customHeight="1">
      <c r="W8519" s="413"/>
    </row>
    <row r="8520" spans="23:23" ht="24" customHeight="1">
      <c r="W8520" s="413"/>
    </row>
    <row r="8521" spans="23:23" ht="24" customHeight="1">
      <c r="W8521" s="413"/>
    </row>
    <row r="8522" spans="23:23" ht="24" customHeight="1">
      <c r="W8522" s="413"/>
    </row>
    <row r="8523" spans="23:23" ht="24" customHeight="1">
      <c r="W8523" s="413"/>
    </row>
    <row r="8524" spans="23:23" ht="24" customHeight="1">
      <c r="W8524" s="413"/>
    </row>
    <row r="8525" spans="23:23" ht="24" customHeight="1">
      <c r="W8525" s="413"/>
    </row>
    <row r="8526" spans="23:23" ht="24" customHeight="1">
      <c r="W8526" s="413"/>
    </row>
    <row r="8527" spans="23:23" ht="24" customHeight="1">
      <c r="W8527" s="413"/>
    </row>
    <row r="8528" spans="23:23" ht="24" customHeight="1">
      <c r="W8528" s="413"/>
    </row>
    <row r="8529" spans="23:23" ht="24" customHeight="1">
      <c r="W8529" s="413"/>
    </row>
    <row r="8530" spans="23:23" ht="24" customHeight="1">
      <c r="W8530" s="413"/>
    </row>
    <row r="8531" spans="23:23" ht="24" customHeight="1">
      <c r="W8531" s="413"/>
    </row>
    <row r="8532" spans="23:23" ht="24" customHeight="1">
      <c r="W8532" s="413"/>
    </row>
    <row r="8533" spans="23:23" ht="24" customHeight="1">
      <c r="W8533" s="413"/>
    </row>
    <row r="8534" spans="23:23" ht="24" customHeight="1">
      <c r="W8534" s="413"/>
    </row>
    <row r="8535" spans="23:23" ht="24" customHeight="1">
      <c r="W8535" s="413"/>
    </row>
    <row r="8536" spans="23:23" ht="24" customHeight="1">
      <c r="W8536" s="413"/>
    </row>
    <row r="8537" spans="23:23" ht="24" customHeight="1">
      <c r="W8537" s="413"/>
    </row>
    <row r="8538" spans="23:23" ht="24" customHeight="1">
      <c r="W8538" s="413"/>
    </row>
    <row r="8539" spans="23:23" ht="24" customHeight="1">
      <c r="W8539" s="413"/>
    </row>
    <row r="8540" spans="23:23" ht="24" customHeight="1">
      <c r="W8540" s="413"/>
    </row>
    <row r="8541" spans="23:23" ht="24" customHeight="1">
      <c r="W8541" s="413"/>
    </row>
    <row r="8542" spans="23:23" ht="24" customHeight="1">
      <c r="W8542" s="413"/>
    </row>
    <row r="8543" spans="23:23" ht="24" customHeight="1">
      <c r="W8543" s="413"/>
    </row>
    <row r="8544" spans="23:23" ht="24" customHeight="1">
      <c r="W8544" s="413"/>
    </row>
    <row r="8545" spans="23:23" ht="24" customHeight="1">
      <c r="W8545" s="413"/>
    </row>
    <row r="8546" spans="23:23" ht="24" customHeight="1">
      <c r="W8546" s="413"/>
    </row>
    <row r="8547" spans="23:23" ht="24" customHeight="1">
      <c r="W8547" s="413"/>
    </row>
    <row r="8548" spans="23:23" ht="24" customHeight="1">
      <c r="W8548" s="413"/>
    </row>
    <row r="8549" spans="23:23" ht="24" customHeight="1">
      <c r="W8549" s="413"/>
    </row>
    <row r="8550" spans="23:23" ht="24" customHeight="1">
      <c r="W8550" s="413"/>
    </row>
    <row r="8551" spans="23:23" ht="24" customHeight="1">
      <c r="W8551" s="413"/>
    </row>
    <row r="8552" spans="23:23" ht="24" customHeight="1">
      <c r="W8552" s="413"/>
    </row>
    <row r="8553" spans="23:23" ht="24" customHeight="1">
      <c r="W8553" s="413"/>
    </row>
    <row r="8554" spans="23:23" ht="24" customHeight="1">
      <c r="W8554" s="413"/>
    </row>
    <row r="8555" spans="23:23" ht="24" customHeight="1">
      <c r="W8555" s="413"/>
    </row>
    <row r="8556" spans="23:23" ht="24" customHeight="1">
      <c r="W8556" s="413"/>
    </row>
    <row r="8557" spans="23:23" ht="24" customHeight="1">
      <c r="W8557" s="413"/>
    </row>
    <row r="8558" spans="23:23" ht="24" customHeight="1">
      <c r="W8558" s="413"/>
    </row>
  </sheetData>
  <mergeCells count="25">
    <mergeCell ref="AH550:AI550"/>
    <mergeCell ref="AD2601:AG2601"/>
    <mergeCell ref="I3046:J3046"/>
    <mergeCell ref="S3148:T3148"/>
    <mergeCell ref="I3492:J3492"/>
    <mergeCell ref="AA550:AB550"/>
    <mergeCell ref="AB3648:AG3649"/>
    <mergeCell ref="U2:X2"/>
    <mergeCell ref="O2343:Q2343"/>
    <mergeCell ref="O2353:Q2353"/>
    <mergeCell ref="O2427:R2427"/>
    <mergeCell ref="O2429:O2430"/>
    <mergeCell ref="N1531:R1531"/>
    <mergeCell ref="J4078:M4078"/>
    <mergeCell ref="H4002:K4002"/>
    <mergeCell ref="H2422:H2423"/>
    <mergeCell ref="H2420:K2420"/>
    <mergeCell ref="P1474:R1474"/>
    <mergeCell ref="H3:I3"/>
    <mergeCell ref="H2692:K2692"/>
    <mergeCell ref="S3680:V3680"/>
    <mergeCell ref="F3711:K3711"/>
    <mergeCell ref="F3985:H3985"/>
    <mergeCell ref="O3711:P3711"/>
    <mergeCell ref="S1474:U1474"/>
  </mergeCells>
  <phoneticPr fontId="0" type="noConversion"/>
  <hyperlinks>
    <hyperlink ref="J270" r:id="rId1" display="G:\2273"/>
    <hyperlink ref="C270" r:id="rId2" display="G:\2273"/>
  </hyperlinks>
  <printOptions horizontalCentered="1"/>
  <pageMargins left="0.4" right="0.4" top="0.6" bottom="0.5" header="0.27559055118110198" footer="0.196850393700787"/>
  <pageSetup paperSize="9" scale="70" orientation="portrait" r:id="rId3"/>
  <headerFooter alignWithMargins="0">
    <oddHeader>&amp;R&amp;P</oddHeader>
  </headerFooter>
  <drawing r:id="rId4"/>
</worksheet>
</file>

<file path=xl/worksheets/sheet21.xml><?xml version="1.0" encoding="utf-8"?>
<worksheet xmlns="http://schemas.openxmlformats.org/spreadsheetml/2006/main" xmlns:r="http://schemas.openxmlformats.org/officeDocument/2006/relationships">
  <sheetPr>
    <tabColor rgb="FF00B050"/>
  </sheetPr>
  <dimension ref="A1:F883"/>
  <sheetViews>
    <sheetView view="pageBreakPreview" topLeftCell="A892" zoomScaleSheetLayoutView="100" workbookViewId="0">
      <selection activeCell="C11" sqref="C11"/>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113"/>
      <c r="B1" s="113"/>
      <c r="C1" s="129" t="s">
        <v>192</v>
      </c>
      <c r="D1" s="113"/>
      <c r="E1" s="130"/>
      <c r="F1" s="113"/>
    </row>
    <row r="2" spans="1:6">
      <c r="A2" s="113"/>
      <c r="B2" s="113"/>
      <c r="C2" s="114" t="s">
        <v>523</v>
      </c>
      <c r="D2" s="113"/>
      <c r="E2" s="130"/>
      <c r="F2" s="113"/>
    </row>
    <row r="3" spans="1:6">
      <c r="A3" s="136" t="s">
        <v>1287</v>
      </c>
      <c r="B3" s="113" t="s">
        <v>790</v>
      </c>
      <c r="C3" s="127" t="e">
        <f>Data!O3</f>
        <v>#REF!</v>
      </c>
      <c r="D3" s="113"/>
      <c r="E3" s="129" t="s">
        <v>3104</v>
      </c>
      <c r="F3" s="113"/>
    </row>
    <row r="4" spans="1:6">
      <c r="A4" s="135" t="s">
        <v>1288</v>
      </c>
      <c r="B4" s="135" t="s">
        <v>1288</v>
      </c>
      <c r="C4" s="135" t="s">
        <v>1288</v>
      </c>
      <c r="D4" s="135" t="s">
        <v>1288</v>
      </c>
      <c r="E4" s="135" t="s">
        <v>1288</v>
      </c>
      <c r="F4" s="135" t="s">
        <v>1288</v>
      </c>
    </row>
    <row r="5" spans="1:6">
      <c r="A5" s="136" t="s">
        <v>1290</v>
      </c>
      <c r="B5" s="113" t="s">
        <v>790</v>
      </c>
      <c r="C5" s="115" t="s">
        <v>1291</v>
      </c>
      <c r="D5" s="115" t="s">
        <v>1292</v>
      </c>
      <c r="E5" s="115" t="s">
        <v>1293</v>
      </c>
      <c r="F5" s="115" t="s">
        <v>1294</v>
      </c>
    </row>
    <row r="6" spans="1:6">
      <c r="A6" s="135" t="s">
        <v>1288</v>
      </c>
      <c r="B6" s="135" t="s">
        <v>1288</v>
      </c>
      <c r="C6" s="135" t="s">
        <v>1288</v>
      </c>
      <c r="D6" s="135" t="s">
        <v>1288</v>
      </c>
      <c r="E6" s="135" t="s">
        <v>1288</v>
      </c>
      <c r="F6" s="135" t="s">
        <v>1288</v>
      </c>
    </row>
    <row r="7" spans="1:6">
      <c r="A7" s="113"/>
      <c r="B7" s="113" t="s">
        <v>1833</v>
      </c>
      <c r="C7" s="130" t="s">
        <v>1834</v>
      </c>
      <c r="D7" s="113"/>
      <c r="E7" s="130"/>
      <c r="F7" s="113"/>
    </row>
    <row r="8" spans="1:6">
      <c r="A8" s="113"/>
      <c r="B8" s="113"/>
      <c r="C8" s="135" t="s">
        <v>1288</v>
      </c>
      <c r="D8" s="113"/>
      <c r="E8" s="130"/>
      <c r="F8" s="113"/>
    </row>
    <row r="9" spans="1:6">
      <c r="A9" s="113">
        <v>0.96</v>
      </c>
      <c r="B9" s="113" t="s">
        <v>694</v>
      </c>
      <c r="C9" s="130" t="s">
        <v>695</v>
      </c>
      <c r="D9" s="113" t="e">
        <f>Data!I9</f>
        <v>#REF!</v>
      </c>
      <c r="E9" s="130" t="s">
        <v>694</v>
      </c>
      <c r="F9" s="113" t="e">
        <f>(A9*D9)</f>
        <v>#REF!</v>
      </c>
    </row>
    <row r="10" spans="1:6">
      <c r="A10" s="113">
        <v>1</v>
      </c>
      <c r="B10" s="113" t="s">
        <v>702</v>
      </c>
      <c r="C10" s="130" t="s">
        <v>703</v>
      </c>
      <c r="D10" s="113" t="e">
        <f>Data!I10</f>
        <v>#REF!</v>
      </c>
      <c r="E10" s="130" t="s">
        <v>702</v>
      </c>
      <c r="F10" s="113" t="e">
        <f>(A10*D10)</f>
        <v>#REF!</v>
      </c>
    </row>
    <row r="11" spans="1:6">
      <c r="A11" s="113">
        <v>1</v>
      </c>
      <c r="B11" s="113" t="s">
        <v>702</v>
      </c>
      <c r="C11" s="130" t="s">
        <v>707</v>
      </c>
      <c r="D11" s="113">
        <f>Data!I11</f>
        <v>116</v>
      </c>
      <c r="E11" s="130" t="s">
        <v>702</v>
      </c>
      <c r="F11" s="113">
        <f>(A11*D11)</f>
        <v>116</v>
      </c>
    </row>
    <row r="12" spans="1:6">
      <c r="A12" s="113"/>
      <c r="B12" s="113" t="s">
        <v>358</v>
      </c>
      <c r="C12" s="130" t="s">
        <v>359</v>
      </c>
      <c r="D12" s="113" t="str">
        <f>Data!I12</f>
        <v xml:space="preserve"> </v>
      </c>
      <c r="E12" s="130" t="s">
        <v>358</v>
      </c>
      <c r="F12" s="113">
        <v>0</v>
      </c>
    </row>
    <row r="13" spans="1:6">
      <c r="A13" s="113"/>
      <c r="B13" s="113"/>
      <c r="C13" s="113"/>
      <c r="D13" s="113"/>
      <c r="E13" s="130"/>
      <c r="F13" s="135" t="s">
        <v>1288</v>
      </c>
    </row>
    <row r="14" spans="1:6">
      <c r="A14" s="113"/>
      <c r="B14" s="113"/>
      <c r="C14" s="130" t="s">
        <v>1233</v>
      </c>
      <c r="D14" s="113"/>
      <c r="E14" s="130"/>
      <c r="F14" s="127" t="e">
        <f>SUM(F9:F12)</f>
        <v>#REF!</v>
      </c>
    </row>
    <row r="15" spans="1:6">
      <c r="A15" s="113"/>
      <c r="B15" s="113"/>
      <c r="C15" s="113"/>
      <c r="D15" s="113"/>
      <c r="E15" s="130"/>
      <c r="F15" s="135" t="s">
        <v>1288</v>
      </c>
    </row>
    <row r="16" spans="1:6">
      <c r="A16" s="113"/>
      <c r="B16" s="113" t="s">
        <v>1833</v>
      </c>
      <c r="C16" s="130" t="s">
        <v>94</v>
      </c>
      <c r="D16" s="113"/>
      <c r="E16" s="130"/>
      <c r="F16" s="113"/>
    </row>
    <row r="17" spans="1:6">
      <c r="A17" s="113"/>
      <c r="B17" s="113"/>
      <c r="C17" s="135" t="s">
        <v>1288</v>
      </c>
      <c r="D17" s="113"/>
      <c r="E17" s="130"/>
      <c r="F17" s="113"/>
    </row>
    <row r="18" spans="1:6">
      <c r="A18" s="113">
        <v>0.72</v>
      </c>
      <c r="B18" s="113" t="s">
        <v>694</v>
      </c>
      <c r="C18" s="130" t="s">
        <v>695</v>
      </c>
      <c r="D18" s="113" t="e">
        <f>Data!I18</f>
        <v>#REF!</v>
      </c>
      <c r="E18" s="130" t="s">
        <v>694</v>
      </c>
      <c r="F18" s="113" t="e">
        <f>(A18*D18)</f>
        <v>#REF!</v>
      </c>
    </row>
    <row r="19" spans="1:6">
      <c r="A19" s="113">
        <v>1</v>
      </c>
      <c r="B19" s="113" t="s">
        <v>702</v>
      </c>
      <c r="C19" s="130" t="s">
        <v>703</v>
      </c>
      <c r="D19" s="113" t="e">
        <f>Data!I19</f>
        <v>#REF!</v>
      </c>
      <c r="E19" s="130" t="s">
        <v>702</v>
      </c>
      <c r="F19" s="113" t="e">
        <f>(A19*D19)</f>
        <v>#REF!</v>
      </c>
    </row>
    <row r="20" spans="1:6">
      <c r="A20" s="113">
        <v>1</v>
      </c>
      <c r="B20" s="113" t="s">
        <v>702</v>
      </c>
      <c r="C20" s="130" t="s">
        <v>707</v>
      </c>
      <c r="D20" s="113">
        <f>Data!I20</f>
        <v>116</v>
      </c>
      <c r="E20" s="130" t="s">
        <v>702</v>
      </c>
      <c r="F20" s="113">
        <f>(A20*D20)</f>
        <v>116</v>
      </c>
    </row>
    <row r="21" spans="1:6">
      <c r="A21" s="113"/>
      <c r="B21" s="113" t="s">
        <v>358</v>
      </c>
      <c r="C21" s="130" t="s">
        <v>359</v>
      </c>
      <c r="D21" s="113" t="str">
        <f>Data!I21</f>
        <v xml:space="preserve"> </v>
      </c>
      <c r="E21" s="130" t="s">
        <v>358</v>
      </c>
      <c r="F21" s="113">
        <v>0</v>
      </c>
    </row>
    <row r="22" spans="1:6">
      <c r="A22" s="113"/>
      <c r="B22" s="113"/>
      <c r="C22" s="113"/>
      <c r="D22" s="113"/>
      <c r="E22" s="130"/>
      <c r="F22" s="135" t="s">
        <v>1288</v>
      </c>
    </row>
    <row r="23" spans="1:6">
      <c r="A23" s="113"/>
      <c r="B23" s="113"/>
      <c r="C23" s="130" t="s">
        <v>1233</v>
      </c>
      <c r="D23" s="113"/>
      <c r="E23" s="130"/>
      <c r="F23" s="127" t="e">
        <f>SUM(F18:F21)</f>
        <v>#REF!</v>
      </c>
    </row>
    <row r="24" spans="1:6">
      <c r="A24" s="113"/>
      <c r="B24" s="113"/>
      <c r="C24" s="113"/>
      <c r="D24" s="113"/>
      <c r="E24" s="130"/>
      <c r="F24" s="135" t="s">
        <v>1288</v>
      </c>
    </row>
    <row r="25" spans="1:6">
      <c r="A25" s="113"/>
      <c r="B25" s="113" t="s">
        <v>1833</v>
      </c>
      <c r="C25" s="130" t="s">
        <v>1100</v>
      </c>
      <c r="D25" s="113"/>
      <c r="E25" s="130"/>
      <c r="F25" s="113"/>
    </row>
    <row r="26" spans="1:6">
      <c r="A26" s="113"/>
      <c r="B26" s="113"/>
      <c r="C26" s="135" t="s">
        <v>1288</v>
      </c>
      <c r="D26" s="113"/>
      <c r="E26" s="130"/>
      <c r="F26" s="113"/>
    </row>
    <row r="27" spans="1:6">
      <c r="A27" s="113">
        <v>0.48</v>
      </c>
      <c r="B27" s="113" t="s">
        <v>694</v>
      </c>
      <c r="C27" s="130" t="s">
        <v>695</v>
      </c>
      <c r="D27" s="113" t="e">
        <f>Data!I27</f>
        <v>#REF!</v>
      </c>
      <c r="E27" s="130" t="s">
        <v>694</v>
      </c>
      <c r="F27" s="113" t="e">
        <f>(A27*D27)</f>
        <v>#REF!</v>
      </c>
    </row>
    <row r="28" spans="1:6">
      <c r="A28" s="113">
        <v>1</v>
      </c>
      <c r="B28" s="113" t="s">
        <v>702</v>
      </c>
      <c r="C28" s="130" t="s">
        <v>703</v>
      </c>
      <c r="D28" s="113" t="e">
        <f>Data!I28</f>
        <v>#REF!</v>
      </c>
      <c r="E28" s="130" t="s">
        <v>702</v>
      </c>
      <c r="F28" s="113" t="e">
        <f>(A28*D28)</f>
        <v>#REF!</v>
      </c>
    </row>
    <row r="29" spans="1:6">
      <c r="A29" s="113">
        <v>1</v>
      </c>
      <c r="B29" s="113" t="s">
        <v>702</v>
      </c>
      <c r="C29" s="130" t="s">
        <v>707</v>
      </c>
      <c r="D29" s="113">
        <f>Data!I29</f>
        <v>116</v>
      </c>
      <c r="E29" s="130" t="s">
        <v>702</v>
      </c>
      <c r="F29" s="113">
        <f>(A29*D29)</f>
        <v>116</v>
      </c>
    </row>
    <row r="30" spans="1:6">
      <c r="A30" s="113"/>
      <c r="B30" s="113" t="s">
        <v>358</v>
      </c>
      <c r="C30" s="130" t="s">
        <v>359</v>
      </c>
      <c r="D30" s="113" t="str">
        <f>Data!I30</f>
        <v xml:space="preserve"> </v>
      </c>
      <c r="E30" s="130" t="s">
        <v>358</v>
      </c>
      <c r="F30" s="113">
        <v>0</v>
      </c>
    </row>
    <row r="31" spans="1:6">
      <c r="A31" s="113"/>
      <c r="B31" s="113"/>
      <c r="C31" s="113"/>
      <c r="D31" s="113"/>
      <c r="E31" s="130"/>
      <c r="F31" s="135" t="s">
        <v>1288</v>
      </c>
    </row>
    <row r="32" spans="1:6">
      <c r="A32" s="113"/>
      <c r="B32" s="113"/>
      <c r="C32" s="130" t="s">
        <v>1233</v>
      </c>
      <c r="D32" s="113"/>
      <c r="E32" s="130"/>
      <c r="F32" s="127" t="e">
        <f>SUM(F27:F30)</f>
        <v>#REF!</v>
      </c>
    </row>
    <row r="33" spans="1:6">
      <c r="A33" s="113"/>
      <c r="B33" s="113"/>
      <c r="C33" s="113"/>
      <c r="D33" s="113"/>
      <c r="E33" s="130"/>
      <c r="F33" s="135" t="s">
        <v>1288</v>
      </c>
    </row>
    <row r="34" spans="1:6">
      <c r="A34" s="113"/>
      <c r="B34" s="113" t="s">
        <v>1833</v>
      </c>
      <c r="C34" s="130" t="s">
        <v>1063</v>
      </c>
      <c r="D34" s="113"/>
      <c r="E34" s="130"/>
      <c r="F34" s="113"/>
    </row>
    <row r="35" spans="1:6">
      <c r="A35" s="113">
        <v>0.36</v>
      </c>
      <c r="B35" s="113" t="s">
        <v>694</v>
      </c>
      <c r="C35" s="130" t="s">
        <v>695</v>
      </c>
      <c r="D35" s="113" t="e">
        <f>Data!I35</f>
        <v>#REF!</v>
      </c>
      <c r="E35" s="130" t="s">
        <v>694</v>
      </c>
      <c r="F35" s="113" t="e">
        <f>(A35*D35)</f>
        <v>#REF!</v>
      </c>
    </row>
    <row r="36" spans="1:6">
      <c r="A36" s="113">
        <v>1</v>
      </c>
      <c r="B36" s="113" t="s">
        <v>702</v>
      </c>
      <c r="C36" s="130" t="s">
        <v>703</v>
      </c>
      <c r="D36" s="113" t="e">
        <f>Data!I36</f>
        <v>#REF!</v>
      </c>
      <c r="E36" s="130" t="s">
        <v>702</v>
      </c>
      <c r="F36" s="113" t="e">
        <f>(A36*D36)</f>
        <v>#REF!</v>
      </c>
    </row>
    <row r="37" spans="1:6">
      <c r="A37" s="113">
        <v>1</v>
      </c>
      <c r="B37" s="113" t="s">
        <v>702</v>
      </c>
      <c r="C37" s="130" t="s">
        <v>707</v>
      </c>
      <c r="D37" s="113">
        <f>Data!I37</f>
        <v>116</v>
      </c>
      <c r="E37" s="130" t="s">
        <v>702</v>
      </c>
      <c r="F37" s="113">
        <f>(A37*D37)</f>
        <v>116</v>
      </c>
    </row>
    <row r="38" spans="1:6">
      <c r="A38" s="113"/>
      <c r="B38" s="113" t="s">
        <v>358</v>
      </c>
      <c r="C38" s="130" t="s">
        <v>359</v>
      </c>
      <c r="D38" s="113" t="str">
        <f>Data!I38</f>
        <v xml:space="preserve"> </v>
      </c>
      <c r="E38" s="130" t="s">
        <v>358</v>
      </c>
      <c r="F38" s="113">
        <v>0</v>
      </c>
    </row>
    <row r="39" spans="1:6">
      <c r="A39" s="113"/>
      <c r="B39" s="113"/>
      <c r="C39" s="113"/>
      <c r="D39" s="113"/>
      <c r="E39" s="130"/>
      <c r="F39" s="135" t="s">
        <v>1288</v>
      </c>
    </row>
    <row r="40" spans="1:6">
      <c r="A40" s="113"/>
      <c r="B40" s="113"/>
      <c r="C40" s="130" t="s">
        <v>1233</v>
      </c>
      <c r="D40" s="113"/>
      <c r="E40" s="130"/>
      <c r="F40" s="127" t="e">
        <f>SUM(F35:F38)</f>
        <v>#REF!</v>
      </c>
    </row>
    <row r="41" spans="1:6">
      <c r="A41" s="113"/>
      <c r="B41" s="113"/>
      <c r="C41" s="113"/>
      <c r="D41" s="113"/>
      <c r="E41" s="130"/>
      <c r="F41" s="135" t="s">
        <v>1288</v>
      </c>
    </row>
    <row r="42" spans="1:6">
      <c r="A42" s="113"/>
      <c r="B42" s="113" t="s">
        <v>1833</v>
      </c>
      <c r="C42" s="130" t="s">
        <v>1325</v>
      </c>
      <c r="D42" s="113"/>
      <c r="E42" s="130"/>
      <c r="F42" s="113"/>
    </row>
    <row r="43" spans="1:6">
      <c r="A43" s="113"/>
      <c r="B43" s="113"/>
      <c r="C43" s="135" t="s">
        <v>1288</v>
      </c>
      <c r="D43" s="113"/>
      <c r="E43" s="130"/>
      <c r="F43" s="113"/>
    </row>
    <row r="44" spans="1:6">
      <c r="A44" s="134">
        <v>0.28799999999999998</v>
      </c>
      <c r="B44" s="113" t="s">
        <v>694</v>
      </c>
      <c r="C44" s="130" t="s">
        <v>695</v>
      </c>
      <c r="D44" s="113" t="e">
        <f>Data!I44</f>
        <v>#REF!</v>
      </c>
      <c r="E44" s="130" t="s">
        <v>694</v>
      </c>
      <c r="F44" s="113" t="e">
        <f>(A44*D44)</f>
        <v>#REF!</v>
      </c>
    </row>
    <row r="45" spans="1:6">
      <c r="A45" s="113">
        <v>1</v>
      </c>
      <c r="B45" s="113" t="s">
        <v>702</v>
      </c>
      <c r="C45" s="130" t="s">
        <v>703</v>
      </c>
      <c r="D45" s="113" t="e">
        <f>Data!I45</f>
        <v>#REF!</v>
      </c>
      <c r="E45" s="130" t="s">
        <v>702</v>
      </c>
      <c r="F45" s="113" t="e">
        <f>(A45*D45)</f>
        <v>#REF!</v>
      </c>
    </row>
    <row r="46" spans="1:6">
      <c r="A46" s="113">
        <v>1</v>
      </c>
      <c r="B46" s="113" t="s">
        <v>702</v>
      </c>
      <c r="C46" s="130" t="s">
        <v>707</v>
      </c>
      <c r="D46" s="113">
        <f>Data!I46</f>
        <v>116</v>
      </c>
      <c r="E46" s="130" t="s">
        <v>702</v>
      </c>
      <c r="F46" s="113">
        <f>(A46*D46)</f>
        <v>116</v>
      </c>
    </row>
    <row r="47" spans="1:6">
      <c r="A47" s="113"/>
      <c r="B47" s="113" t="s">
        <v>358</v>
      </c>
      <c r="C47" s="130" t="s">
        <v>359</v>
      </c>
      <c r="D47" s="113" t="str">
        <f>Data!I47</f>
        <v xml:space="preserve"> </v>
      </c>
      <c r="E47" s="130" t="s">
        <v>358</v>
      </c>
      <c r="F47" s="113">
        <v>0</v>
      </c>
    </row>
    <row r="48" spans="1:6">
      <c r="A48" s="113"/>
      <c r="B48" s="113"/>
      <c r="C48" s="113"/>
      <c r="D48" s="113"/>
      <c r="E48" s="130"/>
      <c r="F48" s="135" t="s">
        <v>1288</v>
      </c>
    </row>
    <row r="49" spans="1:6">
      <c r="A49" s="113"/>
      <c r="B49" s="113"/>
      <c r="C49" s="130" t="s">
        <v>1233</v>
      </c>
      <c r="D49" s="113"/>
      <c r="E49" s="130"/>
      <c r="F49" s="127" t="e">
        <f>SUM(F44:F47)</f>
        <v>#REF!</v>
      </c>
    </row>
    <row r="50" spans="1:6">
      <c r="A50" s="113"/>
      <c r="B50" s="113"/>
      <c r="C50" s="113"/>
      <c r="D50" s="113"/>
      <c r="E50" s="130"/>
      <c r="F50" s="135" t="s">
        <v>1288</v>
      </c>
    </row>
    <row r="51" spans="1:6">
      <c r="A51" s="113"/>
      <c r="B51" s="113" t="s">
        <v>1833</v>
      </c>
      <c r="C51" s="130" t="s">
        <v>1329</v>
      </c>
      <c r="D51" s="113"/>
      <c r="E51" s="130"/>
      <c r="F51" s="113"/>
    </row>
    <row r="52" spans="1:6">
      <c r="A52" s="113"/>
      <c r="B52" s="113"/>
      <c r="C52" s="135" t="s">
        <v>1288</v>
      </c>
      <c r="D52" s="113"/>
      <c r="E52" s="130"/>
      <c r="F52" s="113"/>
    </row>
    <row r="53" spans="1:6">
      <c r="A53" s="113">
        <v>0.24</v>
      </c>
      <c r="B53" s="113" t="s">
        <v>694</v>
      </c>
      <c r="C53" s="130" t="s">
        <v>695</v>
      </c>
      <c r="D53" s="113" t="e">
        <f>Data!I53</f>
        <v>#REF!</v>
      </c>
      <c r="E53" s="130" t="s">
        <v>694</v>
      </c>
      <c r="F53" s="113" t="e">
        <f>(A53*D53)</f>
        <v>#REF!</v>
      </c>
    </row>
    <row r="54" spans="1:6">
      <c r="A54" s="113">
        <v>1</v>
      </c>
      <c r="B54" s="113" t="s">
        <v>702</v>
      </c>
      <c r="C54" s="130" t="s">
        <v>703</v>
      </c>
      <c r="D54" s="113" t="e">
        <f>Data!I54</f>
        <v>#REF!</v>
      </c>
      <c r="E54" s="130" t="s">
        <v>702</v>
      </c>
      <c r="F54" s="113" t="e">
        <f>(A54*D54)</f>
        <v>#REF!</v>
      </c>
    </row>
    <row r="55" spans="1:6">
      <c r="A55" s="113">
        <v>1</v>
      </c>
      <c r="B55" s="113" t="s">
        <v>702</v>
      </c>
      <c r="C55" s="130" t="s">
        <v>707</v>
      </c>
      <c r="D55" s="113">
        <f>Data!I55</f>
        <v>116</v>
      </c>
      <c r="E55" s="130" t="s">
        <v>702</v>
      </c>
      <c r="F55" s="113">
        <f>(A55*D55)</f>
        <v>116</v>
      </c>
    </row>
    <row r="56" spans="1:6">
      <c r="A56" s="113"/>
      <c r="B56" s="113" t="s">
        <v>358</v>
      </c>
      <c r="C56" s="130" t="s">
        <v>359</v>
      </c>
      <c r="D56" s="113" t="str">
        <f>Data!I56</f>
        <v xml:space="preserve"> </v>
      </c>
      <c r="E56" s="130" t="s">
        <v>358</v>
      </c>
      <c r="F56" s="113">
        <v>0</v>
      </c>
    </row>
    <row r="57" spans="1:6">
      <c r="A57" s="113"/>
      <c r="B57" s="113"/>
      <c r="C57" s="113"/>
      <c r="D57" s="113"/>
      <c r="E57" s="130"/>
      <c r="F57" s="135" t="s">
        <v>1288</v>
      </c>
    </row>
    <row r="58" spans="1:6">
      <c r="A58" s="113"/>
      <c r="B58" s="113"/>
      <c r="C58" s="130" t="s">
        <v>1233</v>
      </c>
      <c r="D58" s="113"/>
      <c r="E58" s="130"/>
      <c r="F58" s="127" t="e">
        <f>SUM(F53:F56)</f>
        <v>#REF!</v>
      </c>
    </row>
    <row r="59" spans="1:6">
      <c r="A59" s="130" t="s">
        <v>790</v>
      </c>
      <c r="B59" s="113"/>
      <c r="C59" s="113"/>
      <c r="D59" s="113"/>
      <c r="E59" s="130"/>
      <c r="F59" s="113"/>
    </row>
    <row r="60" spans="1:6">
      <c r="A60" s="113"/>
      <c r="B60" s="113"/>
      <c r="C60" s="113"/>
      <c r="D60" s="113"/>
      <c r="E60" s="130"/>
      <c r="F60" s="135" t="s">
        <v>1288</v>
      </c>
    </row>
    <row r="61" spans="1:6">
      <c r="A61" s="113"/>
      <c r="B61" s="113" t="s">
        <v>1833</v>
      </c>
      <c r="C61" s="130" t="s">
        <v>1690</v>
      </c>
      <c r="D61" s="113"/>
      <c r="E61" s="130"/>
      <c r="F61" s="113"/>
    </row>
    <row r="62" spans="1:6">
      <c r="A62" s="113"/>
      <c r="B62" s="113"/>
      <c r="C62" s="135" t="s">
        <v>1288</v>
      </c>
      <c r="D62" s="113"/>
      <c r="E62" s="130"/>
      <c r="F62" s="113"/>
    </row>
    <row r="63" spans="1:6">
      <c r="A63" s="134">
        <v>0.20599999999999999</v>
      </c>
      <c r="B63" s="113" t="s">
        <v>694</v>
      </c>
      <c r="C63" s="130" t="s">
        <v>695</v>
      </c>
      <c r="D63" s="113" t="e">
        <f>Data!I63</f>
        <v>#REF!</v>
      </c>
      <c r="E63" s="130" t="s">
        <v>694</v>
      </c>
      <c r="F63" s="113" t="e">
        <f>(A63*D63)</f>
        <v>#REF!</v>
      </c>
    </row>
    <row r="64" spans="1:6">
      <c r="A64" s="113">
        <v>1</v>
      </c>
      <c r="B64" s="113" t="s">
        <v>702</v>
      </c>
      <c r="C64" s="130" t="s">
        <v>703</v>
      </c>
      <c r="D64" s="113" t="e">
        <f>Data!I64</f>
        <v>#REF!</v>
      </c>
      <c r="E64" s="130" t="s">
        <v>702</v>
      </c>
      <c r="F64" s="113" t="e">
        <f>(A64*D64)</f>
        <v>#REF!</v>
      </c>
    </row>
    <row r="65" spans="1:6">
      <c r="A65" s="113">
        <v>1</v>
      </c>
      <c r="B65" s="113" t="s">
        <v>702</v>
      </c>
      <c r="C65" s="130" t="s">
        <v>707</v>
      </c>
      <c r="D65" s="113">
        <f>Data!I65</f>
        <v>116</v>
      </c>
      <c r="E65" s="130" t="s">
        <v>702</v>
      </c>
      <c r="F65" s="113">
        <f>(A65*D65)</f>
        <v>116</v>
      </c>
    </row>
    <row r="66" spans="1:6">
      <c r="A66" s="113"/>
      <c r="B66" s="113" t="s">
        <v>358</v>
      </c>
      <c r="C66" s="130" t="s">
        <v>359</v>
      </c>
      <c r="D66" s="113"/>
      <c r="E66" s="130" t="s">
        <v>358</v>
      </c>
      <c r="F66" s="113">
        <v>0</v>
      </c>
    </row>
    <row r="67" spans="1:6">
      <c r="A67" s="113"/>
      <c r="B67" s="113"/>
      <c r="C67" s="113"/>
      <c r="D67" s="113"/>
      <c r="E67" s="130"/>
      <c r="F67" s="135" t="s">
        <v>1288</v>
      </c>
    </row>
    <row r="68" spans="1:6">
      <c r="A68" s="113"/>
      <c r="B68" s="113"/>
      <c r="C68" s="130" t="s">
        <v>1233</v>
      </c>
      <c r="D68" s="113"/>
      <c r="E68" s="130"/>
      <c r="F68" s="127" t="e">
        <f>SUM(F63:F66)</f>
        <v>#REF!</v>
      </c>
    </row>
    <row r="69" spans="1:6">
      <c r="A69" s="113"/>
      <c r="B69" s="113"/>
      <c r="C69" s="113"/>
      <c r="D69" s="113"/>
      <c r="E69" s="130"/>
      <c r="F69" s="135" t="s">
        <v>1288</v>
      </c>
    </row>
    <row r="70" spans="1:6">
      <c r="A70" s="113"/>
      <c r="B70" s="113" t="s">
        <v>1833</v>
      </c>
      <c r="C70" s="130" t="s">
        <v>1330</v>
      </c>
      <c r="D70" s="113"/>
      <c r="E70" s="130"/>
      <c r="F70" s="113"/>
    </row>
    <row r="71" spans="1:6">
      <c r="A71" s="113"/>
      <c r="B71" s="113"/>
      <c r="C71" s="135" t="s">
        <v>1288</v>
      </c>
      <c r="D71" s="113"/>
      <c r="E71" s="130"/>
      <c r="F71" s="113"/>
    </row>
    <row r="72" spans="1:6">
      <c r="A72" s="113">
        <v>0.18</v>
      </c>
      <c r="B72" s="113" t="s">
        <v>694</v>
      </c>
      <c r="C72" s="130" t="s">
        <v>695</v>
      </c>
      <c r="D72" s="113" t="e">
        <f>Data!I72</f>
        <v>#REF!</v>
      </c>
      <c r="E72" s="130" t="s">
        <v>694</v>
      </c>
      <c r="F72" s="113" t="e">
        <f>(A72*D72)</f>
        <v>#REF!</v>
      </c>
    </row>
    <row r="73" spans="1:6">
      <c r="A73" s="113">
        <v>1</v>
      </c>
      <c r="B73" s="113" t="s">
        <v>702</v>
      </c>
      <c r="C73" s="130" t="s">
        <v>703</v>
      </c>
      <c r="D73" s="113" t="e">
        <f>Data!I73</f>
        <v>#REF!</v>
      </c>
      <c r="E73" s="130" t="s">
        <v>702</v>
      </c>
      <c r="F73" s="113" t="e">
        <f>(A73*D73)</f>
        <v>#REF!</v>
      </c>
    </row>
    <row r="74" spans="1:6">
      <c r="A74" s="113">
        <v>1</v>
      </c>
      <c r="B74" s="113" t="s">
        <v>702</v>
      </c>
      <c r="C74" s="130" t="s">
        <v>707</v>
      </c>
      <c r="D74" s="113">
        <f>Data!I74</f>
        <v>116</v>
      </c>
      <c r="E74" s="130" t="s">
        <v>702</v>
      </c>
      <c r="F74" s="113">
        <f>(A74*D74)</f>
        <v>116</v>
      </c>
    </row>
    <row r="75" spans="1:6">
      <c r="A75" s="113"/>
      <c r="B75" s="113" t="s">
        <v>358</v>
      </c>
      <c r="C75" s="130" t="s">
        <v>359</v>
      </c>
      <c r="D75" s="113" t="str">
        <f>[16]Data!I75</f>
        <v/>
      </c>
      <c r="E75" s="130" t="s">
        <v>358</v>
      </c>
      <c r="F75" s="113">
        <v>0</v>
      </c>
    </row>
    <row r="76" spans="1:6">
      <c r="A76" s="113"/>
      <c r="B76" s="113"/>
      <c r="C76" s="113"/>
      <c r="D76" s="113"/>
      <c r="E76" s="130"/>
      <c r="F76" s="135" t="s">
        <v>1288</v>
      </c>
    </row>
    <row r="77" spans="1:6">
      <c r="A77" s="113"/>
      <c r="B77" s="113"/>
      <c r="C77" s="130" t="s">
        <v>1233</v>
      </c>
      <c r="D77" s="113"/>
      <c r="E77" s="130"/>
      <c r="F77" s="127" t="e">
        <f>SUM(F72:F75)</f>
        <v>#REF!</v>
      </c>
    </row>
    <row r="78" spans="1:6">
      <c r="A78" s="113"/>
      <c r="B78" s="113"/>
      <c r="C78" s="113"/>
      <c r="D78" s="113"/>
      <c r="E78" s="130"/>
      <c r="F78" s="135" t="s">
        <v>1288</v>
      </c>
    </row>
    <row r="79" spans="1:6">
      <c r="A79" s="138">
        <v>32.1</v>
      </c>
      <c r="B79" s="113" t="s">
        <v>1833</v>
      </c>
      <c r="C79" s="130" t="s">
        <v>608</v>
      </c>
      <c r="D79" s="113"/>
      <c r="E79" s="130"/>
      <c r="F79" s="113"/>
    </row>
    <row r="80" spans="1:6">
      <c r="A80" s="113"/>
      <c r="B80" s="113"/>
      <c r="C80" s="130" t="s">
        <v>1209</v>
      </c>
      <c r="D80" s="113"/>
      <c r="E80" s="130"/>
      <c r="F80" s="113"/>
    </row>
    <row r="81" spans="1:6">
      <c r="A81" s="113"/>
      <c r="B81" s="113"/>
      <c r="C81" s="130" t="s">
        <v>547</v>
      </c>
      <c r="D81" s="113"/>
      <c r="E81" s="130"/>
      <c r="F81" s="113"/>
    </row>
    <row r="82" spans="1:6">
      <c r="A82" s="113"/>
      <c r="B82" s="113"/>
      <c r="C82" s="130" t="s">
        <v>1602</v>
      </c>
      <c r="D82" s="113"/>
      <c r="E82" s="130"/>
      <c r="F82" s="113"/>
    </row>
    <row r="83" spans="1:6">
      <c r="A83" s="113"/>
      <c r="B83" s="113"/>
      <c r="C83" s="130" t="s">
        <v>1052</v>
      </c>
      <c r="D83" s="113"/>
      <c r="E83" s="130"/>
      <c r="F83" s="113"/>
    </row>
    <row r="84" spans="1:6">
      <c r="A84" s="113"/>
      <c r="B84" s="113"/>
      <c r="C84" s="135" t="s">
        <v>1288</v>
      </c>
      <c r="D84" s="113"/>
      <c r="E84" s="130"/>
      <c r="F84" s="113"/>
    </row>
    <row r="85" spans="1:6">
      <c r="A85" s="113">
        <v>190</v>
      </c>
      <c r="B85" s="113" t="s">
        <v>1524</v>
      </c>
      <c r="C85" s="130" t="s">
        <v>2347</v>
      </c>
      <c r="D85" s="113" t="e">
        <f>Data!I1353</f>
        <v>#REF!</v>
      </c>
      <c r="E85" s="130" t="s">
        <v>1207</v>
      </c>
      <c r="F85" s="113" t="e">
        <f>(A85*D85)/1000</f>
        <v>#REF!</v>
      </c>
    </row>
    <row r="86" spans="1:6">
      <c r="A86" s="113">
        <v>0.12</v>
      </c>
      <c r="B86" s="113" t="s">
        <v>702</v>
      </c>
      <c r="C86" s="130" t="s">
        <v>1527</v>
      </c>
      <c r="D86" s="113" t="e">
        <f>Data!I1354</f>
        <v>#REF!</v>
      </c>
      <c r="E86" s="130" t="s">
        <v>702</v>
      </c>
      <c r="F86" s="113" t="e">
        <f t="shared" ref="F86:F92" si="0">(A86*D86)</f>
        <v>#REF!</v>
      </c>
    </row>
    <row r="87" spans="1:6">
      <c r="A87" s="113">
        <v>10</v>
      </c>
      <c r="B87" s="113" t="s">
        <v>488</v>
      </c>
      <c r="C87" s="130" t="s">
        <v>1054</v>
      </c>
      <c r="D87" s="113" t="e">
        <f>Data!I1355</f>
        <v>#REF!</v>
      </c>
      <c r="E87" s="130" t="s">
        <v>488</v>
      </c>
      <c r="F87" s="113" t="e">
        <f t="shared" si="0"/>
        <v>#REF!</v>
      </c>
    </row>
    <row r="88" spans="1:6">
      <c r="A88" s="134">
        <v>1.54</v>
      </c>
      <c r="B88" s="113" t="s">
        <v>1341</v>
      </c>
      <c r="C88" s="130" t="s">
        <v>779</v>
      </c>
      <c r="D88" s="113">
        <f>Data!I1356</f>
        <v>42.7</v>
      </c>
      <c r="E88" s="130" t="s">
        <v>1341</v>
      </c>
      <c r="F88" s="113">
        <f t="shared" si="0"/>
        <v>65.760000000000005</v>
      </c>
    </row>
    <row r="89" spans="1:6">
      <c r="A89" s="113">
        <v>1.1000000000000001</v>
      </c>
      <c r="B89" s="113" t="s">
        <v>619</v>
      </c>
      <c r="C89" s="130" t="s">
        <v>1637</v>
      </c>
      <c r="D89" s="113">
        <f>Data!I1357</f>
        <v>999</v>
      </c>
      <c r="E89" s="130" t="s">
        <v>619</v>
      </c>
      <c r="F89" s="113">
        <f t="shared" si="0"/>
        <v>1098.9000000000001</v>
      </c>
    </row>
    <row r="90" spans="1:6">
      <c r="A90" s="113">
        <v>2.1</v>
      </c>
      <c r="B90" s="113" t="s">
        <v>619</v>
      </c>
      <c r="C90" s="130" t="s">
        <v>1392</v>
      </c>
      <c r="D90" s="113">
        <f>Data!I1358</f>
        <v>932</v>
      </c>
      <c r="E90" s="130" t="s">
        <v>619</v>
      </c>
      <c r="F90" s="113">
        <f t="shared" si="0"/>
        <v>1957.2</v>
      </c>
    </row>
    <row r="91" spans="1:6">
      <c r="A91" s="113">
        <v>2.2000000000000002</v>
      </c>
      <c r="B91" s="113" t="s">
        <v>619</v>
      </c>
      <c r="C91" s="130" t="s">
        <v>1550</v>
      </c>
      <c r="D91" s="113">
        <f>Data!I1359</f>
        <v>651</v>
      </c>
      <c r="E91" s="130" t="s">
        <v>619</v>
      </c>
      <c r="F91" s="113">
        <f t="shared" si="0"/>
        <v>1432.2</v>
      </c>
    </row>
    <row r="92" spans="1:6">
      <c r="A92" s="113">
        <v>1.1000000000000001</v>
      </c>
      <c r="B92" s="113" t="s">
        <v>619</v>
      </c>
      <c r="C92" s="130" t="s">
        <v>245</v>
      </c>
      <c r="D92" s="113">
        <f>Data!I1360</f>
        <v>534</v>
      </c>
      <c r="E92" s="130" t="s">
        <v>619</v>
      </c>
      <c r="F92" s="113">
        <f t="shared" si="0"/>
        <v>587.4</v>
      </c>
    </row>
    <row r="93" spans="1:6">
      <c r="A93" s="113"/>
      <c r="B93" s="113" t="s">
        <v>358</v>
      </c>
      <c r="C93" s="130" t="s">
        <v>359</v>
      </c>
      <c r="D93" s="113"/>
      <c r="E93" s="130" t="s">
        <v>358</v>
      </c>
      <c r="F93" s="113">
        <v>0</v>
      </c>
    </row>
    <row r="94" spans="1:6">
      <c r="A94" s="113"/>
      <c r="B94" s="113"/>
      <c r="C94" s="113"/>
      <c r="D94" s="113"/>
      <c r="E94" s="130"/>
      <c r="F94" s="135" t="s">
        <v>1288</v>
      </c>
    </row>
    <row r="95" spans="1:6">
      <c r="A95" s="113"/>
      <c r="B95" s="113"/>
      <c r="C95" s="130" t="s">
        <v>351</v>
      </c>
      <c r="D95" s="113"/>
      <c r="E95" s="130"/>
      <c r="F95" s="113" t="e">
        <f>SUM(F85:F93)</f>
        <v>#REF!</v>
      </c>
    </row>
    <row r="96" spans="1:6">
      <c r="A96" s="113"/>
      <c r="B96" s="113"/>
      <c r="C96" s="113"/>
      <c r="D96" s="113"/>
      <c r="E96" s="130"/>
      <c r="F96" s="135" t="s">
        <v>1288</v>
      </c>
    </row>
    <row r="97" spans="1:6">
      <c r="A97" s="113"/>
      <c r="B97" s="113"/>
      <c r="C97" s="115" t="s">
        <v>447</v>
      </c>
      <c r="D97" s="113"/>
      <c r="E97" s="130"/>
      <c r="F97" s="127" t="e">
        <f>(F95/10)</f>
        <v>#REF!</v>
      </c>
    </row>
    <row r="98" spans="1:6">
      <c r="A98" s="113"/>
      <c r="B98" s="113"/>
      <c r="C98" s="113"/>
      <c r="D98" s="113"/>
      <c r="E98" s="130"/>
      <c r="F98" s="135" t="s">
        <v>1676</v>
      </c>
    </row>
    <row r="99" spans="1:6">
      <c r="A99" s="138">
        <v>29.5</v>
      </c>
      <c r="B99" s="113" t="s">
        <v>1833</v>
      </c>
      <c r="C99" s="130" t="s">
        <v>1470</v>
      </c>
      <c r="D99" s="113"/>
      <c r="E99" s="130"/>
      <c r="F99" s="113"/>
    </row>
    <row r="100" spans="1:6">
      <c r="A100" s="113"/>
      <c r="B100" s="113"/>
      <c r="C100" s="130" t="s">
        <v>691</v>
      </c>
      <c r="D100" s="113"/>
      <c r="E100" s="130"/>
      <c r="F100" s="113"/>
    </row>
    <row r="101" spans="1:6">
      <c r="A101" s="113"/>
      <c r="B101" s="113"/>
      <c r="C101" s="130" t="s">
        <v>1576</v>
      </c>
      <c r="D101" s="113"/>
      <c r="E101" s="130"/>
      <c r="F101" s="113"/>
    </row>
    <row r="102" spans="1:6">
      <c r="A102" s="113"/>
      <c r="B102" s="113"/>
      <c r="C102" s="135" t="s">
        <v>1288</v>
      </c>
      <c r="D102" s="135" t="s">
        <v>1288</v>
      </c>
      <c r="E102" s="130"/>
      <c r="F102" s="113"/>
    </row>
    <row r="103" spans="1:6">
      <c r="A103" s="113">
        <v>10</v>
      </c>
      <c r="B103" s="113" t="s">
        <v>488</v>
      </c>
      <c r="C103" s="130" t="s">
        <v>1577</v>
      </c>
      <c r="D103" s="113">
        <f>Data!I1248</f>
        <v>377.86</v>
      </c>
      <c r="E103" s="130" t="s">
        <v>488</v>
      </c>
      <c r="F103" s="113">
        <f>(A103*D103)</f>
        <v>3778.6</v>
      </c>
    </row>
    <row r="104" spans="1:6">
      <c r="A104" s="113">
        <v>0.21</v>
      </c>
      <c r="B104" s="113" t="s">
        <v>702</v>
      </c>
      <c r="C104" s="130" t="s">
        <v>1527</v>
      </c>
      <c r="D104" s="113" t="e">
        <f>Data!I1249</f>
        <v>#REF!</v>
      </c>
      <c r="E104" s="130" t="s">
        <v>702</v>
      </c>
      <c r="F104" s="113" t="e">
        <f>(A104*D104)</f>
        <v>#REF!</v>
      </c>
    </row>
    <row r="105" spans="1:6">
      <c r="A105" s="113"/>
      <c r="B105" s="113"/>
      <c r="C105" s="130" t="s">
        <v>1528</v>
      </c>
      <c r="D105" s="113" t="str">
        <f>Data!I1250</f>
        <v xml:space="preserve"> </v>
      </c>
      <c r="E105" s="130"/>
      <c r="F105" s="130" t="s">
        <v>790</v>
      </c>
    </row>
    <row r="106" spans="1:6">
      <c r="A106" s="113">
        <v>1.1000000000000001</v>
      </c>
      <c r="B106" s="113" t="s">
        <v>619</v>
      </c>
      <c r="C106" s="130" t="s">
        <v>1637</v>
      </c>
      <c r="D106" s="113">
        <f>Data!I1251</f>
        <v>999</v>
      </c>
      <c r="E106" s="130" t="s">
        <v>619</v>
      </c>
      <c r="F106" s="113">
        <f>(A106*D106)</f>
        <v>1098.9000000000001</v>
      </c>
    </row>
    <row r="107" spans="1:6">
      <c r="A107" s="113">
        <v>1.1000000000000001</v>
      </c>
      <c r="B107" s="113" t="s">
        <v>619</v>
      </c>
      <c r="C107" s="130" t="s">
        <v>1392</v>
      </c>
      <c r="D107" s="113">
        <f>Data!I1252</f>
        <v>932</v>
      </c>
      <c r="E107" s="130" t="s">
        <v>619</v>
      </c>
      <c r="F107" s="113">
        <f>(A107*D107)</f>
        <v>1025.2</v>
      </c>
    </row>
    <row r="108" spans="1:6">
      <c r="A108" s="113">
        <v>2.2000000000000002</v>
      </c>
      <c r="B108" s="113" t="s">
        <v>619</v>
      </c>
      <c r="C108" s="130" t="s">
        <v>1550</v>
      </c>
      <c r="D108" s="113">
        <f>Data!I1253</f>
        <v>651</v>
      </c>
      <c r="E108" s="130" t="s">
        <v>619</v>
      </c>
      <c r="F108" s="113">
        <f>(A108*D108)</f>
        <v>1432.2</v>
      </c>
    </row>
    <row r="109" spans="1:6">
      <c r="A109" s="113">
        <v>2.2000000000000002</v>
      </c>
      <c r="B109" s="113" t="s">
        <v>619</v>
      </c>
      <c r="C109" s="130" t="s">
        <v>245</v>
      </c>
      <c r="D109" s="113">
        <f>Data!I1254</f>
        <v>534</v>
      </c>
      <c r="E109" s="130" t="s">
        <v>619</v>
      </c>
      <c r="F109" s="113">
        <f>(A109*D109)</f>
        <v>1174.8</v>
      </c>
    </row>
    <row r="110" spans="1:6">
      <c r="A110" s="134">
        <v>20</v>
      </c>
      <c r="B110" s="113" t="s">
        <v>1341</v>
      </c>
      <c r="C110" s="130" t="s">
        <v>695</v>
      </c>
      <c r="D110" s="113" t="e">
        <f>Data!I1255</f>
        <v>#REF!</v>
      </c>
      <c r="E110" s="130" t="s">
        <v>694</v>
      </c>
      <c r="F110" s="113" t="e">
        <f>(A110*D110)/1000</f>
        <v>#REF!</v>
      </c>
    </row>
    <row r="111" spans="1:6">
      <c r="A111" s="134">
        <v>2</v>
      </c>
      <c r="B111" s="113" t="s">
        <v>1341</v>
      </c>
      <c r="C111" s="130" t="s">
        <v>2565</v>
      </c>
      <c r="D111" s="113">
        <f>Data!I1256</f>
        <v>36.1</v>
      </c>
      <c r="E111" s="130" t="s">
        <v>1341</v>
      </c>
      <c r="F111" s="113">
        <f>(A111*D111)</f>
        <v>72.2</v>
      </c>
    </row>
    <row r="112" spans="1:6">
      <c r="A112" s="113">
        <v>1.6</v>
      </c>
      <c r="B112" s="113" t="s">
        <v>619</v>
      </c>
      <c r="C112" s="130" t="s">
        <v>1392</v>
      </c>
      <c r="D112" s="113">
        <f>Data!I1257</f>
        <v>932</v>
      </c>
      <c r="E112" s="130" t="s">
        <v>619</v>
      </c>
      <c r="F112" s="113">
        <f>(A112*D112)</f>
        <v>1491.2</v>
      </c>
    </row>
    <row r="113" spans="1:6">
      <c r="A113" s="113">
        <v>0.5</v>
      </c>
      <c r="B113" s="113" t="s">
        <v>619</v>
      </c>
      <c r="C113" s="130" t="s">
        <v>1550</v>
      </c>
      <c r="D113" s="113">
        <f>Data!I1258</f>
        <v>651</v>
      </c>
      <c r="E113" s="130" t="s">
        <v>619</v>
      </c>
      <c r="F113" s="113">
        <f>(A113*D113)</f>
        <v>325.5</v>
      </c>
    </row>
    <row r="114" spans="1:6">
      <c r="A114" s="113">
        <v>1.1000000000000001</v>
      </c>
      <c r="B114" s="113" t="s">
        <v>619</v>
      </c>
      <c r="C114" s="130" t="s">
        <v>245</v>
      </c>
      <c r="D114" s="113">
        <f>Data!I1259</f>
        <v>534</v>
      </c>
      <c r="E114" s="130" t="s">
        <v>619</v>
      </c>
      <c r="F114" s="113">
        <f>(A114*D114)</f>
        <v>587.4</v>
      </c>
    </row>
    <row r="115" spans="1:6">
      <c r="A115" s="113"/>
      <c r="B115" s="113" t="s">
        <v>358</v>
      </c>
      <c r="C115" s="130" t="s">
        <v>359</v>
      </c>
      <c r="D115" s="113"/>
      <c r="E115" s="130" t="s">
        <v>358</v>
      </c>
      <c r="F115" s="113">
        <v>0</v>
      </c>
    </row>
    <row r="116" spans="1:6">
      <c r="A116" s="113"/>
      <c r="B116" s="113"/>
      <c r="C116" s="113"/>
      <c r="D116" s="113"/>
      <c r="E116" s="130"/>
      <c r="F116" s="135" t="s">
        <v>1288</v>
      </c>
    </row>
    <row r="117" spans="1:6">
      <c r="A117" s="113"/>
      <c r="B117" s="113"/>
      <c r="C117" s="130" t="s">
        <v>351</v>
      </c>
      <c r="D117" s="113"/>
      <c r="E117" s="130"/>
      <c r="F117" s="113" t="e">
        <f>SUM(F103:F115)</f>
        <v>#REF!</v>
      </c>
    </row>
    <row r="118" spans="1:6">
      <c r="A118" s="113"/>
      <c r="B118" s="113"/>
      <c r="C118" s="113"/>
      <c r="D118" s="113"/>
      <c r="E118" s="130"/>
      <c r="F118" s="135" t="s">
        <v>1288</v>
      </c>
    </row>
    <row r="119" spans="1:6">
      <c r="A119" s="113"/>
      <c r="B119" s="113"/>
      <c r="C119" s="115" t="s">
        <v>447</v>
      </c>
      <c r="D119" s="113"/>
      <c r="E119" s="130"/>
      <c r="F119" s="127" t="e">
        <f>(F117/10)</f>
        <v>#REF!</v>
      </c>
    </row>
    <row r="120" spans="1:6">
      <c r="A120" s="113"/>
      <c r="B120" s="113"/>
      <c r="C120" s="113"/>
      <c r="D120" s="113"/>
      <c r="E120" s="130"/>
      <c r="F120" s="135" t="s">
        <v>1676</v>
      </c>
    </row>
    <row r="121" spans="1:6">
      <c r="A121" s="114" t="s">
        <v>928</v>
      </c>
      <c r="B121" s="113" t="s">
        <v>1833</v>
      </c>
      <c r="C121" s="130" t="s">
        <v>61</v>
      </c>
      <c r="D121" s="113"/>
      <c r="E121" s="130"/>
      <c r="F121" s="113"/>
    </row>
    <row r="122" spans="1:6">
      <c r="A122" s="113"/>
      <c r="B122" s="113"/>
      <c r="C122" s="130" t="s">
        <v>892</v>
      </c>
      <c r="D122" s="113"/>
      <c r="E122" s="130"/>
      <c r="F122" s="113"/>
    </row>
    <row r="123" spans="1:6">
      <c r="A123" s="113"/>
      <c r="B123" s="113"/>
      <c r="C123" s="130" t="s">
        <v>893</v>
      </c>
      <c r="D123" s="113"/>
      <c r="E123" s="130"/>
      <c r="F123" s="113"/>
    </row>
    <row r="124" spans="1:6">
      <c r="A124" s="113"/>
      <c r="B124" s="113"/>
      <c r="C124" s="130" t="s">
        <v>894</v>
      </c>
      <c r="D124" s="113"/>
      <c r="E124" s="130"/>
      <c r="F124" s="113"/>
    </row>
    <row r="125" spans="1:6">
      <c r="A125" s="113"/>
      <c r="B125" s="113"/>
      <c r="C125" s="135" t="s">
        <v>1288</v>
      </c>
      <c r="D125" s="113"/>
      <c r="E125" s="130"/>
      <c r="F125" s="113"/>
    </row>
    <row r="126" spans="1:6">
      <c r="A126" s="113">
        <v>1</v>
      </c>
      <c r="B126" s="113" t="s">
        <v>701</v>
      </c>
      <c r="C126" s="130" t="s">
        <v>568</v>
      </c>
      <c r="D126" s="113">
        <f>Data!P1968</f>
        <v>1201</v>
      </c>
      <c r="E126" s="130" t="s">
        <v>701</v>
      </c>
      <c r="F126" s="113">
        <f t="shared" ref="F126:F132" si="1">(A126*D126)</f>
        <v>1201</v>
      </c>
    </row>
    <row r="127" spans="1:6">
      <c r="A127" s="113">
        <v>0.65</v>
      </c>
      <c r="B127" s="113" t="s">
        <v>702</v>
      </c>
      <c r="C127" s="130" t="s">
        <v>194</v>
      </c>
      <c r="D127" s="113">
        <f>Data!P1969</f>
        <v>224.1</v>
      </c>
      <c r="E127" s="130" t="s">
        <v>702</v>
      </c>
      <c r="F127" s="113">
        <f t="shared" si="1"/>
        <v>145.66999999999999</v>
      </c>
    </row>
    <row r="128" spans="1:6">
      <c r="A128" s="113">
        <v>0.56999999999999995</v>
      </c>
      <c r="B128" s="113" t="s">
        <v>702</v>
      </c>
      <c r="C128" s="130" t="s">
        <v>195</v>
      </c>
      <c r="D128" s="113">
        <f>Data!P1970</f>
        <v>38.950000000000003</v>
      </c>
      <c r="E128" s="130" t="s">
        <v>702</v>
      </c>
      <c r="F128" s="113">
        <f t="shared" si="1"/>
        <v>22.2</v>
      </c>
    </row>
    <row r="129" spans="1:6">
      <c r="A129" s="134">
        <v>8.1000000000000003E-2</v>
      </c>
      <c r="B129" s="113" t="s">
        <v>702</v>
      </c>
      <c r="C129" s="130" t="s">
        <v>196</v>
      </c>
      <c r="D129" s="113" t="e">
        <f>Data!P1971</f>
        <v>#REF!</v>
      </c>
      <c r="E129" s="130" t="s">
        <v>702</v>
      </c>
      <c r="F129" s="113" t="e">
        <f t="shared" si="1"/>
        <v>#REF!</v>
      </c>
    </row>
    <row r="130" spans="1:6">
      <c r="A130" s="113">
        <v>1</v>
      </c>
      <c r="B130" s="113" t="s">
        <v>701</v>
      </c>
      <c r="C130" s="130" t="s">
        <v>1711</v>
      </c>
      <c r="D130" s="113">
        <f>Data!P1972</f>
        <v>866</v>
      </c>
      <c r="E130" s="130" t="s">
        <v>701</v>
      </c>
      <c r="F130" s="113">
        <f t="shared" si="1"/>
        <v>866</v>
      </c>
    </row>
    <row r="131" spans="1:6">
      <c r="A131" s="113">
        <v>0.5</v>
      </c>
      <c r="B131" s="113" t="s">
        <v>701</v>
      </c>
      <c r="C131" s="130" t="s">
        <v>1392</v>
      </c>
      <c r="D131" s="113">
        <f>Data!P1973</f>
        <v>932</v>
      </c>
      <c r="E131" s="130" t="s">
        <v>701</v>
      </c>
      <c r="F131" s="113">
        <f t="shared" si="1"/>
        <v>466</v>
      </c>
    </row>
    <row r="132" spans="1:6">
      <c r="A132" s="113">
        <v>0.5</v>
      </c>
      <c r="B132" s="113" t="s">
        <v>701</v>
      </c>
      <c r="C132" s="130" t="s">
        <v>1550</v>
      </c>
      <c r="D132" s="113">
        <f>Data!P1974</f>
        <v>651</v>
      </c>
      <c r="E132" s="130" t="s">
        <v>701</v>
      </c>
      <c r="F132" s="113">
        <f t="shared" si="1"/>
        <v>325.5</v>
      </c>
    </row>
    <row r="133" spans="1:6">
      <c r="A133" s="113"/>
      <c r="B133" s="113"/>
      <c r="C133" s="129" t="s">
        <v>2572</v>
      </c>
      <c r="D133" s="113" t="str">
        <f>Data!P1975</f>
        <v/>
      </c>
      <c r="E133" s="130"/>
      <c r="F133" s="148">
        <v>-164</v>
      </c>
    </row>
    <row r="134" spans="1:6">
      <c r="A134" s="113"/>
      <c r="B134" s="113"/>
      <c r="C134" s="129" t="s">
        <v>2573</v>
      </c>
      <c r="D134" s="113"/>
      <c r="E134" s="130"/>
      <c r="F134" s="148">
        <v>134.1</v>
      </c>
    </row>
    <row r="135" spans="1:6" ht="16.5" thickBot="1">
      <c r="A135" s="113"/>
      <c r="B135" s="113" t="s">
        <v>528</v>
      </c>
      <c r="C135" s="129" t="s">
        <v>1850</v>
      </c>
      <c r="D135" s="113"/>
      <c r="E135" s="130"/>
      <c r="F135" s="113">
        <v>0.32</v>
      </c>
    </row>
    <row r="136" spans="1:6" ht="16.5" thickTop="1">
      <c r="A136" s="113"/>
      <c r="B136" s="113"/>
      <c r="C136" s="130" t="s">
        <v>1428</v>
      </c>
      <c r="D136" s="113"/>
      <c r="E136" s="130"/>
      <c r="F136" s="149" t="e">
        <f>SUM(F126:F135)</f>
        <v>#REF!</v>
      </c>
    </row>
    <row r="137" spans="1:6" ht="16.5" thickBot="1">
      <c r="A137" s="113"/>
      <c r="B137" s="113"/>
      <c r="C137" s="113"/>
      <c r="D137" s="113"/>
      <c r="E137" s="130"/>
      <c r="F137" s="150"/>
    </row>
    <row r="138" spans="1:6" ht="16.5" thickTop="1">
      <c r="A138" s="113"/>
      <c r="B138" s="113"/>
      <c r="C138" s="113"/>
      <c r="D138" s="113"/>
      <c r="E138" s="113"/>
      <c r="F138" s="113"/>
    </row>
    <row r="139" spans="1:6">
      <c r="A139" s="114" t="s">
        <v>197</v>
      </c>
      <c r="B139" s="113" t="s">
        <v>1833</v>
      </c>
      <c r="C139" s="130" t="s">
        <v>61</v>
      </c>
      <c r="D139" s="113"/>
      <c r="E139" s="130"/>
      <c r="F139" s="113"/>
    </row>
    <row r="140" spans="1:6">
      <c r="A140" s="113"/>
      <c r="B140" s="113"/>
      <c r="C140" s="130" t="s">
        <v>892</v>
      </c>
      <c r="D140" s="113"/>
      <c r="E140" s="130"/>
      <c r="F140" s="113"/>
    </row>
    <row r="141" spans="1:6">
      <c r="A141" s="113"/>
      <c r="B141" s="113"/>
      <c r="C141" s="130" t="s">
        <v>893</v>
      </c>
      <c r="D141" s="113"/>
      <c r="E141" s="130"/>
      <c r="F141" s="113"/>
    </row>
    <row r="142" spans="1:6">
      <c r="A142" s="113"/>
      <c r="B142" s="113"/>
      <c r="C142" s="130" t="s">
        <v>198</v>
      </c>
      <c r="D142" s="113"/>
      <c r="E142" s="130"/>
      <c r="F142" s="113"/>
    </row>
    <row r="143" spans="1:6">
      <c r="A143" s="113"/>
      <c r="B143" s="113"/>
      <c r="C143" s="135" t="s">
        <v>1288</v>
      </c>
      <c r="D143" s="113"/>
      <c r="E143" s="130"/>
      <c r="F143" s="113"/>
    </row>
    <row r="144" spans="1:6">
      <c r="A144" s="113">
        <v>1</v>
      </c>
      <c r="B144" s="113" t="s">
        <v>701</v>
      </c>
      <c r="C144" s="130" t="s">
        <v>568</v>
      </c>
      <c r="D144" s="113">
        <f>Data!P1986</f>
        <v>1201</v>
      </c>
      <c r="E144" s="130" t="s">
        <v>701</v>
      </c>
      <c r="F144" s="113">
        <f>(A144*D144)</f>
        <v>1201</v>
      </c>
    </row>
    <row r="145" spans="1:6">
      <c r="A145" s="134">
        <v>0.40500000000000003</v>
      </c>
      <c r="B145" s="113" t="s">
        <v>702</v>
      </c>
      <c r="C145" s="130" t="s">
        <v>1804</v>
      </c>
      <c r="D145" s="113" t="e">
        <f>Data!P1987</f>
        <v>#REF!</v>
      </c>
      <c r="E145" s="130" t="s">
        <v>702</v>
      </c>
      <c r="F145" s="113" t="e">
        <f>(A145*D145)</f>
        <v>#REF!</v>
      </c>
    </row>
    <row r="146" spans="1:6">
      <c r="A146" s="113"/>
      <c r="B146" s="113"/>
      <c r="C146" s="130" t="s">
        <v>887</v>
      </c>
      <c r="D146" s="113" t="str">
        <f>Data!P1988</f>
        <v/>
      </c>
      <c r="E146" s="130"/>
      <c r="F146" s="130" t="s">
        <v>790</v>
      </c>
    </row>
    <row r="147" spans="1:6">
      <c r="A147" s="113">
        <v>1.89</v>
      </c>
      <c r="B147" s="113" t="s">
        <v>488</v>
      </c>
      <c r="C147" s="130" t="s">
        <v>207</v>
      </c>
      <c r="D147" s="113" t="e">
        <f>Data!P1989</f>
        <v>#REF!</v>
      </c>
      <c r="E147" s="130" t="s">
        <v>488</v>
      </c>
      <c r="F147" s="113" t="e">
        <f>(A147*D147)</f>
        <v>#REF!</v>
      </c>
    </row>
    <row r="148" spans="1:6">
      <c r="A148" s="113"/>
      <c r="B148" s="113"/>
      <c r="C148" s="130" t="s">
        <v>208</v>
      </c>
      <c r="D148" s="113" t="str">
        <f>Data!P1990</f>
        <v/>
      </c>
      <c r="E148" s="130"/>
      <c r="F148" s="130" t="s">
        <v>790</v>
      </c>
    </row>
    <row r="149" spans="1:6">
      <c r="A149" s="134">
        <v>8.1000000000000003E-2</v>
      </c>
      <c r="B149" s="113" t="s">
        <v>702</v>
      </c>
      <c r="C149" s="130" t="s">
        <v>209</v>
      </c>
      <c r="D149" s="113" t="e">
        <f>Data!P1991</f>
        <v>#REF!</v>
      </c>
      <c r="E149" s="130" t="s">
        <v>702</v>
      </c>
      <c r="F149" s="113" t="e">
        <f>(A149*D149)</f>
        <v>#REF!</v>
      </c>
    </row>
    <row r="150" spans="1:6">
      <c r="A150" s="113"/>
      <c r="B150" s="113"/>
      <c r="C150" s="130" t="s">
        <v>210</v>
      </c>
      <c r="D150" s="113">
        <f>Data!P1992</f>
        <v>0</v>
      </c>
      <c r="E150" s="130"/>
      <c r="F150" s="113"/>
    </row>
    <row r="151" spans="1:6">
      <c r="A151" s="113">
        <v>1</v>
      </c>
      <c r="B151" s="113" t="s">
        <v>619</v>
      </c>
      <c r="C151" s="130" t="s">
        <v>1711</v>
      </c>
      <c r="D151" s="113">
        <f>Data!P1993</f>
        <v>866</v>
      </c>
      <c r="E151" s="130" t="s">
        <v>619</v>
      </c>
      <c r="F151" s="113">
        <f>(A151*D151)</f>
        <v>866</v>
      </c>
    </row>
    <row r="152" spans="1:6">
      <c r="A152" s="113">
        <v>0.5</v>
      </c>
      <c r="B152" s="113" t="s">
        <v>701</v>
      </c>
      <c r="C152" s="130" t="s">
        <v>1392</v>
      </c>
      <c r="D152" s="113">
        <f>Data!P1994</f>
        <v>932</v>
      </c>
      <c r="E152" s="130" t="s">
        <v>701</v>
      </c>
      <c r="F152" s="148">
        <f>(A152*D152)</f>
        <v>466</v>
      </c>
    </row>
    <row r="153" spans="1:6">
      <c r="A153" s="113">
        <v>0.5</v>
      </c>
      <c r="B153" s="113" t="s">
        <v>701</v>
      </c>
      <c r="C153" s="130" t="s">
        <v>1550</v>
      </c>
      <c r="D153" s="113">
        <f>Data!P1995</f>
        <v>651</v>
      </c>
      <c r="E153" s="130" t="s">
        <v>701</v>
      </c>
      <c r="F153" s="148">
        <f>(A153*D153)</f>
        <v>325.5</v>
      </c>
    </row>
    <row r="154" spans="1:6">
      <c r="A154" s="113"/>
      <c r="B154" s="113"/>
      <c r="C154" s="129" t="s">
        <v>2572</v>
      </c>
      <c r="D154" s="113" t="str">
        <f>Data!P1996</f>
        <v/>
      </c>
      <c r="E154" s="130"/>
      <c r="F154" s="148">
        <v>-164</v>
      </c>
    </row>
    <row r="155" spans="1:6">
      <c r="A155" s="113"/>
      <c r="B155" s="113"/>
      <c r="C155" s="129" t="s">
        <v>2573</v>
      </c>
      <c r="D155" s="113"/>
      <c r="E155" s="130"/>
      <c r="F155" s="148">
        <v>134.1</v>
      </c>
    </row>
    <row r="156" spans="1:6" ht="16.5" thickBot="1">
      <c r="A156" s="113"/>
      <c r="B156" s="113" t="s">
        <v>528</v>
      </c>
      <c r="C156" s="129" t="s">
        <v>1850</v>
      </c>
      <c r="D156" s="113"/>
      <c r="E156" s="130"/>
      <c r="F156" s="148">
        <v>0.47</v>
      </c>
    </row>
    <row r="157" spans="1:6" ht="16.5" thickTop="1">
      <c r="A157" s="113"/>
      <c r="B157" s="113"/>
      <c r="C157" s="130" t="s">
        <v>1428</v>
      </c>
      <c r="D157" s="113"/>
      <c r="E157" s="130"/>
      <c r="F157" s="149" t="e">
        <f>SUM(F144:F156)</f>
        <v>#REF!</v>
      </c>
    </row>
    <row r="158" spans="1:6" ht="16.5" thickBot="1">
      <c r="A158" s="113"/>
      <c r="B158" s="113"/>
      <c r="C158" s="113"/>
      <c r="D158" s="113"/>
      <c r="E158" s="130"/>
      <c r="F158" s="150"/>
    </row>
    <row r="159" spans="1:6" ht="16.5" thickTop="1">
      <c r="A159" s="113"/>
      <c r="B159" s="113"/>
      <c r="C159" s="113"/>
      <c r="D159" s="113"/>
      <c r="E159" s="113"/>
      <c r="F159" s="113"/>
    </row>
    <row r="160" spans="1:6">
      <c r="A160" s="137">
        <v>57</v>
      </c>
      <c r="B160" s="113" t="s">
        <v>1833</v>
      </c>
      <c r="C160" s="130" t="s">
        <v>3281</v>
      </c>
      <c r="D160" s="113"/>
      <c r="E160" s="130"/>
      <c r="F160" s="113"/>
    </row>
    <row r="161" spans="1:6">
      <c r="A161" s="113"/>
      <c r="B161" s="113"/>
      <c r="C161" s="130" t="s">
        <v>162</v>
      </c>
      <c r="D161" s="113"/>
      <c r="E161" s="130"/>
      <c r="F161" s="113"/>
    </row>
    <row r="162" spans="1:6">
      <c r="A162" s="113"/>
      <c r="B162" s="113"/>
      <c r="C162" s="130" t="s">
        <v>1444</v>
      </c>
      <c r="D162" s="113"/>
      <c r="E162" s="130"/>
      <c r="F162" s="113"/>
    </row>
    <row r="163" spans="1:6">
      <c r="A163" s="113"/>
      <c r="B163" s="113"/>
      <c r="C163" s="135" t="s">
        <v>1288</v>
      </c>
      <c r="D163" s="113"/>
      <c r="E163" s="130"/>
      <c r="F163" s="113"/>
    </row>
    <row r="164" spans="1:6" ht="78.75">
      <c r="A164" s="147">
        <v>1</v>
      </c>
      <c r="B164" s="147" t="s">
        <v>628</v>
      </c>
      <c r="C164" s="116" t="s">
        <v>911</v>
      </c>
      <c r="D164" s="147">
        <f>Data!P2006</f>
        <v>3090</v>
      </c>
      <c r="E164" s="132" t="s">
        <v>628</v>
      </c>
      <c r="F164" s="147">
        <f>(A164*D164)</f>
        <v>3090</v>
      </c>
    </row>
    <row r="165" spans="1:6">
      <c r="A165" s="113"/>
      <c r="B165" s="113"/>
      <c r="C165" s="129" t="s">
        <v>946</v>
      </c>
      <c r="D165" s="147">
        <f>Data!P2007</f>
        <v>0</v>
      </c>
      <c r="E165" s="130"/>
      <c r="F165" s="113"/>
    </row>
    <row r="166" spans="1:6">
      <c r="A166" s="113">
        <v>1</v>
      </c>
      <c r="B166" s="113" t="s">
        <v>701</v>
      </c>
      <c r="C166" s="130" t="s">
        <v>1637</v>
      </c>
      <c r="D166" s="147">
        <f>Data!P2008</f>
        <v>999</v>
      </c>
      <c r="E166" s="130" t="s">
        <v>701</v>
      </c>
      <c r="F166" s="113">
        <f>(A166*D166)</f>
        <v>999</v>
      </c>
    </row>
    <row r="167" spans="1:6">
      <c r="A167" s="113">
        <v>2</v>
      </c>
      <c r="B167" s="113" t="s">
        <v>701</v>
      </c>
      <c r="C167" s="130" t="s">
        <v>1711</v>
      </c>
      <c r="D167" s="147">
        <f>Data!P2009</f>
        <v>866</v>
      </c>
      <c r="E167" s="130" t="s">
        <v>701</v>
      </c>
      <c r="F167" s="113">
        <f>(A167*D167)</f>
        <v>1732</v>
      </c>
    </row>
    <row r="168" spans="1:6">
      <c r="A168" s="113">
        <v>1</v>
      </c>
      <c r="B168" s="113" t="s">
        <v>701</v>
      </c>
      <c r="C168" s="130" t="s">
        <v>245</v>
      </c>
      <c r="D168" s="147">
        <f>Data!P2010</f>
        <v>534</v>
      </c>
      <c r="E168" s="130" t="s">
        <v>701</v>
      </c>
      <c r="F168" s="113">
        <f>(A168*D168)</f>
        <v>534</v>
      </c>
    </row>
    <row r="169" spans="1:6">
      <c r="A169" s="113"/>
      <c r="B169" s="113"/>
      <c r="C169" s="129" t="s">
        <v>569</v>
      </c>
      <c r="D169" s="147">
        <f>Data!P2011</f>
        <v>0</v>
      </c>
      <c r="E169" s="130"/>
      <c r="F169" s="113"/>
    </row>
    <row r="170" spans="1:6">
      <c r="A170" s="113">
        <v>0.5</v>
      </c>
      <c r="B170" s="113" t="s">
        <v>701</v>
      </c>
      <c r="C170" s="130" t="s">
        <v>1711</v>
      </c>
      <c r="D170" s="147">
        <f>Data!P2012</f>
        <v>866</v>
      </c>
      <c r="E170" s="130" t="s">
        <v>701</v>
      </c>
      <c r="F170" s="113">
        <f>(A170*D170)</f>
        <v>433</v>
      </c>
    </row>
    <row r="171" spans="1:6">
      <c r="A171" s="113">
        <v>0.5</v>
      </c>
      <c r="B171" s="113" t="s">
        <v>701</v>
      </c>
      <c r="C171" s="130" t="s">
        <v>1550</v>
      </c>
      <c r="D171" s="147">
        <f>Data!P2013</f>
        <v>651</v>
      </c>
      <c r="E171" s="130" t="s">
        <v>701</v>
      </c>
      <c r="F171" s="113">
        <f>(A171*D171)</f>
        <v>325.5</v>
      </c>
    </row>
    <row r="172" spans="1:6">
      <c r="A172" s="113"/>
      <c r="B172" s="113"/>
      <c r="C172" s="129" t="s">
        <v>2572</v>
      </c>
      <c r="D172" s="147">
        <f>Data!P2014</f>
        <v>0</v>
      </c>
      <c r="E172" s="130"/>
      <c r="F172" s="113">
        <v>-164</v>
      </c>
    </row>
    <row r="173" spans="1:6">
      <c r="A173" s="113"/>
      <c r="B173" s="113"/>
      <c r="C173" s="129" t="s">
        <v>2573</v>
      </c>
      <c r="D173" s="113"/>
      <c r="E173" s="130"/>
      <c r="F173" s="113">
        <v>134.1</v>
      </c>
    </row>
    <row r="174" spans="1:6">
      <c r="A174" s="113"/>
      <c r="B174" s="113" t="s">
        <v>358</v>
      </c>
      <c r="C174" s="130" t="s">
        <v>359</v>
      </c>
      <c r="D174" s="113"/>
      <c r="E174" s="130" t="s">
        <v>358</v>
      </c>
      <c r="F174" s="113">
        <v>0.7</v>
      </c>
    </row>
    <row r="175" spans="1:6">
      <c r="A175" s="113"/>
      <c r="B175" s="113"/>
      <c r="C175" s="130" t="s">
        <v>1428</v>
      </c>
      <c r="D175" s="113"/>
      <c r="E175" s="130"/>
      <c r="F175" s="113"/>
    </row>
    <row r="176" spans="1:6">
      <c r="A176" s="113"/>
      <c r="B176" s="113"/>
      <c r="C176" s="113"/>
      <c r="D176" s="113"/>
      <c r="E176" s="130"/>
      <c r="F176" s="127">
        <f>SUM(F164:F175)</f>
        <v>7084.3</v>
      </c>
    </row>
    <row r="177" spans="1:6">
      <c r="A177" s="114" t="s">
        <v>957</v>
      </c>
      <c r="B177" s="113" t="s">
        <v>1833</v>
      </c>
      <c r="C177" s="130" t="s">
        <v>1812</v>
      </c>
      <c r="D177" s="113"/>
      <c r="E177" s="130"/>
      <c r="F177" s="113"/>
    </row>
    <row r="178" spans="1:6">
      <c r="A178" s="113"/>
      <c r="B178" s="113"/>
      <c r="C178" s="130" t="s">
        <v>1727</v>
      </c>
      <c r="D178" s="113"/>
      <c r="E178" s="130"/>
      <c r="F178" s="113"/>
    </row>
    <row r="179" spans="1:6">
      <c r="A179" s="113"/>
      <c r="B179" s="113"/>
      <c r="C179" s="135" t="s">
        <v>1288</v>
      </c>
      <c r="D179" s="113"/>
      <c r="E179" s="130"/>
      <c r="F179" s="113"/>
    </row>
    <row r="180" spans="1:6">
      <c r="A180" s="113">
        <v>1</v>
      </c>
      <c r="B180" s="113" t="s">
        <v>701</v>
      </c>
      <c r="C180" s="130" t="s">
        <v>1813</v>
      </c>
      <c r="D180" s="113">
        <f>Data!I2116</f>
        <v>156</v>
      </c>
      <c r="E180" s="130" t="s">
        <v>701</v>
      </c>
      <c r="F180" s="113">
        <f>(A180*D180)</f>
        <v>156</v>
      </c>
    </row>
    <row r="181" spans="1:6">
      <c r="A181" s="113"/>
      <c r="B181" s="113" t="s">
        <v>358</v>
      </c>
      <c r="C181" s="130" t="s">
        <v>1375</v>
      </c>
      <c r="D181" s="113"/>
      <c r="E181" s="130" t="s">
        <v>358</v>
      </c>
      <c r="F181" s="113">
        <v>4</v>
      </c>
    </row>
    <row r="182" spans="1:6">
      <c r="A182" s="113"/>
      <c r="B182" s="113"/>
      <c r="C182" s="113"/>
      <c r="D182" s="113"/>
      <c r="E182" s="130" t="s">
        <v>790</v>
      </c>
      <c r="F182" s="135" t="s">
        <v>1288</v>
      </c>
    </row>
    <row r="183" spans="1:6">
      <c r="A183" s="113"/>
      <c r="B183" s="113"/>
      <c r="C183" s="130" t="s">
        <v>1428</v>
      </c>
      <c r="D183" s="113"/>
      <c r="E183" s="130"/>
      <c r="F183" s="127">
        <f>SUM(F180:F182)</f>
        <v>160</v>
      </c>
    </row>
    <row r="184" spans="1:6">
      <c r="A184" s="113"/>
      <c r="B184" s="113"/>
      <c r="C184" s="113"/>
      <c r="D184" s="113"/>
      <c r="E184" s="130"/>
      <c r="F184" s="135" t="s">
        <v>1288</v>
      </c>
    </row>
    <row r="185" spans="1:6">
      <c r="A185" s="114" t="s">
        <v>1055</v>
      </c>
      <c r="B185" s="113" t="s">
        <v>1833</v>
      </c>
      <c r="C185" s="130" t="s">
        <v>1</v>
      </c>
      <c r="D185" s="113"/>
      <c r="E185" s="130"/>
      <c r="F185" s="113"/>
    </row>
    <row r="186" spans="1:6">
      <c r="A186" s="113"/>
      <c r="B186" s="113"/>
      <c r="C186" s="135" t="s">
        <v>1288</v>
      </c>
      <c r="D186" s="113"/>
      <c r="E186" s="130"/>
      <c r="F186" s="113"/>
    </row>
    <row r="187" spans="1:6">
      <c r="A187" s="113">
        <v>0.14000000000000001</v>
      </c>
      <c r="B187" s="113" t="s">
        <v>702</v>
      </c>
      <c r="C187" s="130" t="s">
        <v>1325</v>
      </c>
      <c r="D187" s="113" t="e">
        <f>Data!I1392</f>
        <v>#REF!</v>
      </c>
      <c r="E187" s="130" t="s">
        <v>702</v>
      </c>
      <c r="F187" s="113" t="e">
        <f>(A187*D187)</f>
        <v>#REF!</v>
      </c>
    </row>
    <row r="188" spans="1:6">
      <c r="A188" s="113">
        <v>1.1000000000000001</v>
      </c>
      <c r="B188" s="113" t="s">
        <v>701</v>
      </c>
      <c r="C188" s="130" t="s">
        <v>1637</v>
      </c>
      <c r="D188" s="113">
        <f>Data!I1393</f>
        <v>999</v>
      </c>
      <c r="E188" s="130" t="s">
        <v>701</v>
      </c>
      <c r="F188" s="113">
        <f>(A188*D188)</f>
        <v>1098.9000000000001</v>
      </c>
    </row>
    <row r="189" spans="1:6">
      <c r="A189" s="113">
        <v>0.5</v>
      </c>
      <c r="B189" s="113" t="s">
        <v>701</v>
      </c>
      <c r="C189" s="130" t="s">
        <v>1550</v>
      </c>
      <c r="D189" s="113">
        <f>Data!I1394</f>
        <v>651</v>
      </c>
      <c r="E189" s="130" t="s">
        <v>701</v>
      </c>
      <c r="F189" s="113">
        <f>(A189*D189)</f>
        <v>325.5</v>
      </c>
    </row>
    <row r="190" spans="1:6">
      <c r="A190" s="113">
        <v>1.1000000000000001</v>
      </c>
      <c r="B190" s="113" t="s">
        <v>701</v>
      </c>
      <c r="C190" s="130" t="s">
        <v>245</v>
      </c>
      <c r="D190" s="113">
        <f>Data!I1395</f>
        <v>534</v>
      </c>
      <c r="E190" s="130" t="s">
        <v>701</v>
      </c>
      <c r="F190" s="113">
        <f>(A190*D190)</f>
        <v>587.4</v>
      </c>
    </row>
    <row r="191" spans="1:6">
      <c r="A191" s="113"/>
      <c r="B191" s="113" t="s">
        <v>358</v>
      </c>
      <c r="C191" s="130" t="s">
        <v>359</v>
      </c>
      <c r="D191" s="113" t="str">
        <f>Data!I1396</f>
        <v xml:space="preserve"> </v>
      </c>
      <c r="E191" s="130" t="s">
        <v>358</v>
      </c>
      <c r="F191" s="113">
        <v>5</v>
      </c>
    </row>
    <row r="192" spans="1:6">
      <c r="A192" s="113"/>
      <c r="B192" s="113"/>
      <c r="C192" s="113"/>
      <c r="D192" s="113"/>
      <c r="E192" s="130"/>
      <c r="F192" s="135" t="s">
        <v>1288</v>
      </c>
    </row>
    <row r="193" spans="1:6">
      <c r="A193" s="113"/>
      <c r="B193" s="113"/>
      <c r="C193" s="130" t="s">
        <v>351</v>
      </c>
      <c r="D193" s="113"/>
      <c r="E193" s="130"/>
      <c r="F193" s="113" t="e">
        <f>SUM(F187:F192)</f>
        <v>#REF!</v>
      </c>
    </row>
    <row r="194" spans="1:6">
      <c r="A194" s="113"/>
      <c r="B194" s="113"/>
      <c r="C194" s="113"/>
      <c r="D194" s="113"/>
      <c r="E194" s="130"/>
      <c r="F194" s="135" t="s">
        <v>1288</v>
      </c>
    </row>
    <row r="195" spans="1:6">
      <c r="A195" s="113"/>
      <c r="B195" s="113"/>
      <c r="C195" s="115" t="s">
        <v>447</v>
      </c>
      <c r="D195" s="113"/>
      <c r="E195" s="130"/>
      <c r="F195" s="127" t="e">
        <f>(F193/10)</f>
        <v>#REF!</v>
      </c>
    </row>
    <row r="196" spans="1:6">
      <c r="A196" s="113"/>
      <c r="B196" s="113"/>
      <c r="C196" s="113"/>
      <c r="D196" s="113"/>
      <c r="E196" s="130"/>
      <c r="F196" s="135" t="s">
        <v>1676</v>
      </c>
    </row>
    <row r="197" spans="1:6">
      <c r="A197" s="114" t="s">
        <v>4</v>
      </c>
      <c r="B197" s="113" t="s">
        <v>1833</v>
      </c>
      <c r="C197" s="130" t="s">
        <v>5</v>
      </c>
      <c r="D197" s="113"/>
      <c r="E197" s="130"/>
      <c r="F197" s="113"/>
    </row>
    <row r="198" spans="1:6">
      <c r="A198" s="113"/>
      <c r="B198" s="113"/>
      <c r="C198" s="135" t="s">
        <v>1288</v>
      </c>
      <c r="D198" s="113"/>
      <c r="E198" s="130"/>
      <c r="F198" s="113"/>
    </row>
    <row r="199" spans="1:6">
      <c r="A199" s="113">
        <v>0.1</v>
      </c>
      <c r="B199" s="113" t="s">
        <v>702</v>
      </c>
      <c r="C199" s="130" t="s">
        <v>1100</v>
      </c>
      <c r="D199" s="113" t="e">
        <f>Data!I1418</f>
        <v>#REF!</v>
      </c>
      <c r="E199" s="130" t="s">
        <v>702</v>
      </c>
      <c r="F199" s="113" t="e">
        <f>(A199*D199)</f>
        <v>#REF!</v>
      </c>
    </row>
    <row r="200" spans="1:6">
      <c r="A200" s="113">
        <v>1.1000000000000001</v>
      </c>
      <c r="B200" s="113" t="s">
        <v>701</v>
      </c>
      <c r="C200" s="130" t="s">
        <v>1637</v>
      </c>
      <c r="D200" s="113">
        <f>Data!I1419</f>
        <v>999</v>
      </c>
      <c r="E200" s="130" t="s">
        <v>701</v>
      </c>
      <c r="F200" s="113">
        <f>(A200*D200)</f>
        <v>1098.9000000000001</v>
      </c>
    </row>
    <row r="201" spans="1:6">
      <c r="A201" s="113">
        <v>1.1000000000000001</v>
      </c>
      <c r="B201" s="113" t="s">
        <v>701</v>
      </c>
      <c r="C201" s="130" t="s">
        <v>1550</v>
      </c>
      <c r="D201" s="113">
        <f>Data!I1420</f>
        <v>651</v>
      </c>
      <c r="E201" s="130" t="s">
        <v>701</v>
      </c>
      <c r="F201" s="113">
        <f>(A201*D201)</f>
        <v>716.1</v>
      </c>
    </row>
    <row r="202" spans="1:6">
      <c r="A202" s="113">
        <v>1.1000000000000001</v>
      </c>
      <c r="B202" s="113" t="s">
        <v>701</v>
      </c>
      <c r="C202" s="130" t="s">
        <v>245</v>
      </c>
      <c r="D202" s="113">
        <f>Data!I1421</f>
        <v>534</v>
      </c>
      <c r="E202" s="130" t="s">
        <v>701</v>
      </c>
      <c r="F202" s="113">
        <f>(A202*D202)</f>
        <v>587.4</v>
      </c>
    </row>
    <row r="203" spans="1:6">
      <c r="A203" s="113"/>
      <c r="B203" s="113" t="s">
        <v>358</v>
      </c>
      <c r="C203" s="130" t="s">
        <v>359</v>
      </c>
      <c r="D203" s="113" t="str">
        <f>Data!I1422</f>
        <v xml:space="preserve"> </v>
      </c>
      <c r="E203" s="130" t="s">
        <v>358</v>
      </c>
      <c r="F203" s="113"/>
    </row>
    <row r="204" spans="1:6">
      <c r="A204" s="113"/>
      <c r="B204" s="113"/>
      <c r="C204" s="113"/>
      <c r="D204" s="113"/>
      <c r="E204" s="130"/>
      <c r="F204" s="135" t="s">
        <v>1288</v>
      </c>
    </row>
    <row r="205" spans="1:6">
      <c r="A205" s="113"/>
      <c r="B205" s="113"/>
      <c r="C205" s="130" t="s">
        <v>351</v>
      </c>
      <c r="D205" s="113"/>
      <c r="E205" s="130"/>
      <c r="F205" s="113" t="e">
        <f>SUM(F199:F203)</f>
        <v>#REF!</v>
      </c>
    </row>
    <row r="206" spans="1:6">
      <c r="A206" s="113"/>
      <c r="B206" s="113"/>
      <c r="C206" s="114"/>
      <c r="D206" s="113"/>
      <c r="E206" s="130"/>
      <c r="F206" s="135" t="s">
        <v>1288</v>
      </c>
    </row>
    <row r="207" spans="1:6">
      <c r="A207" s="113"/>
      <c r="B207" s="113"/>
      <c r="C207" s="115" t="s">
        <v>447</v>
      </c>
      <c r="D207" s="127"/>
      <c r="E207" s="129"/>
      <c r="F207" s="127" t="e">
        <f>(F205/10)</f>
        <v>#REF!</v>
      </c>
    </row>
    <row r="208" spans="1:6">
      <c r="A208" s="113"/>
      <c r="B208" s="113"/>
      <c r="C208" s="113"/>
      <c r="D208" s="113"/>
      <c r="E208" s="130"/>
      <c r="F208" s="135" t="s">
        <v>1676</v>
      </c>
    </row>
    <row r="209" spans="1:6">
      <c r="A209" s="138">
        <v>37.1</v>
      </c>
      <c r="B209" s="113" t="s">
        <v>1833</v>
      </c>
      <c r="C209" s="130" t="s">
        <v>311</v>
      </c>
      <c r="D209" s="113"/>
      <c r="E209" s="130"/>
      <c r="F209" s="113"/>
    </row>
    <row r="210" spans="1:6">
      <c r="A210" s="113"/>
      <c r="B210" s="113"/>
      <c r="C210" s="135" t="s">
        <v>1288</v>
      </c>
      <c r="D210" s="113"/>
      <c r="E210" s="130"/>
      <c r="F210" s="113"/>
    </row>
    <row r="211" spans="1:6">
      <c r="A211" s="113">
        <v>0.09</v>
      </c>
      <c r="B211" s="113" t="s">
        <v>702</v>
      </c>
      <c r="C211" s="130" t="s">
        <v>1632</v>
      </c>
      <c r="D211" s="113">
        <f>Data!I1490</f>
        <v>1348</v>
      </c>
      <c r="E211" s="130" t="s">
        <v>702</v>
      </c>
      <c r="F211" s="113">
        <f>(A211*D211)</f>
        <v>121.32</v>
      </c>
    </row>
    <row r="212" spans="1:6">
      <c r="A212" s="113">
        <v>2.2000000000000002</v>
      </c>
      <c r="B212" s="113" t="s">
        <v>701</v>
      </c>
      <c r="C212" s="130" t="s">
        <v>1392</v>
      </c>
      <c r="D212" s="113">
        <f>Data!I1491</f>
        <v>932</v>
      </c>
      <c r="E212" s="130" t="s">
        <v>701</v>
      </c>
      <c r="F212" s="113">
        <f>(A212*D212)</f>
        <v>2050.4</v>
      </c>
    </row>
    <row r="213" spans="1:6">
      <c r="A213" s="113">
        <v>0.5</v>
      </c>
      <c r="B213" s="113" t="s">
        <v>701</v>
      </c>
      <c r="C213" s="130" t="s">
        <v>1550</v>
      </c>
      <c r="D213" s="113">
        <f>Data!I1492</f>
        <v>651</v>
      </c>
      <c r="E213" s="130" t="s">
        <v>701</v>
      </c>
      <c r="F213" s="113">
        <f>(A213*D213)</f>
        <v>325.5</v>
      </c>
    </row>
    <row r="214" spans="1:6">
      <c r="A214" s="113">
        <v>3.8</v>
      </c>
      <c r="B214" s="113" t="s">
        <v>701</v>
      </c>
      <c r="C214" s="130" t="s">
        <v>245</v>
      </c>
      <c r="D214" s="113">
        <f>Data!I1493</f>
        <v>534</v>
      </c>
      <c r="E214" s="130" t="s">
        <v>701</v>
      </c>
      <c r="F214" s="113">
        <f>(A214*D214)</f>
        <v>2029.2</v>
      </c>
    </row>
    <row r="215" spans="1:6">
      <c r="A215" s="113"/>
      <c r="B215" s="113" t="s">
        <v>358</v>
      </c>
      <c r="C215" s="130" t="s">
        <v>404</v>
      </c>
      <c r="D215" s="113" t="str">
        <f>Data!I1494</f>
        <v xml:space="preserve"> </v>
      </c>
      <c r="E215" s="130" t="s">
        <v>358</v>
      </c>
      <c r="F215" s="113">
        <v>1.5</v>
      </c>
    </row>
    <row r="216" spans="1:6">
      <c r="A216" s="113"/>
      <c r="B216" s="113"/>
      <c r="C216" s="113"/>
      <c r="D216" s="113"/>
      <c r="E216" s="130"/>
      <c r="F216" s="135" t="s">
        <v>1288</v>
      </c>
    </row>
    <row r="217" spans="1:6">
      <c r="A217" s="113"/>
      <c r="B217" s="113"/>
      <c r="C217" s="130" t="s">
        <v>1493</v>
      </c>
      <c r="D217" s="113"/>
      <c r="E217" s="130"/>
      <c r="F217" s="113">
        <f>SUM(F210:F215)</f>
        <v>4527.92</v>
      </c>
    </row>
    <row r="218" spans="1:6">
      <c r="A218" s="113"/>
      <c r="B218" s="113"/>
      <c r="C218" s="113"/>
      <c r="D218" s="113"/>
      <c r="E218" s="130"/>
      <c r="F218" s="135" t="s">
        <v>1288</v>
      </c>
    </row>
    <row r="219" spans="1:6">
      <c r="A219" s="113"/>
      <c r="B219" s="113"/>
      <c r="C219" s="115" t="s">
        <v>447</v>
      </c>
      <c r="D219" s="127"/>
      <c r="E219" s="129"/>
      <c r="F219" s="127">
        <f>(F217/100)</f>
        <v>45.28</v>
      </c>
    </row>
    <row r="220" spans="1:6">
      <c r="A220" s="113"/>
      <c r="B220" s="113"/>
      <c r="C220" s="113"/>
      <c r="D220" s="113"/>
      <c r="E220" s="130"/>
      <c r="F220" s="135" t="s">
        <v>1676</v>
      </c>
    </row>
    <row r="221" spans="1:6">
      <c r="A221" s="114" t="s">
        <v>687</v>
      </c>
      <c r="B221" s="113" t="s">
        <v>1833</v>
      </c>
      <c r="C221" s="130" t="s">
        <v>809</v>
      </c>
      <c r="D221" s="113"/>
      <c r="E221" s="114"/>
      <c r="F221" s="113"/>
    </row>
    <row r="222" spans="1:6">
      <c r="A222" s="113"/>
      <c r="B222" s="113"/>
      <c r="C222" s="130" t="s">
        <v>810</v>
      </c>
      <c r="D222" s="113"/>
      <c r="E222" s="114"/>
      <c r="F222" s="113"/>
    </row>
    <row r="223" spans="1:6">
      <c r="A223" s="113"/>
      <c r="B223" s="113"/>
      <c r="C223" s="130" t="s">
        <v>811</v>
      </c>
      <c r="D223" s="113"/>
      <c r="E223" s="114"/>
      <c r="F223" s="113"/>
    </row>
    <row r="224" spans="1:6">
      <c r="A224" s="113"/>
      <c r="B224" s="113"/>
      <c r="C224" s="130" t="s">
        <v>22</v>
      </c>
      <c r="D224" s="113"/>
      <c r="E224" s="114"/>
      <c r="F224" s="113"/>
    </row>
    <row r="225" spans="1:6">
      <c r="A225" s="113"/>
      <c r="B225" s="113"/>
      <c r="C225" s="135" t="s">
        <v>1288</v>
      </c>
      <c r="D225" s="113"/>
      <c r="E225" s="114"/>
      <c r="F225" s="113"/>
    </row>
    <row r="226" spans="1:6">
      <c r="A226" s="113">
        <v>1.8</v>
      </c>
      <c r="B226" s="113" t="s">
        <v>1341</v>
      </c>
      <c r="C226" s="130" t="s">
        <v>1047</v>
      </c>
      <c r="D226" s="113">
        <f>Data!I2711</f>
        <v>22.6</v>
      </c>
      <c r="E226" s="114" t="s">
        <v>1341</v>
      </c>
      <c r="F226" s="113">
        <f>(A226*D226)</f>
        <v>40.68</v>
      </c>
    </row>
    <row r="227" spans="1:6">
      <c r="A227" s="113">
        <v>0.25</v>
      </c>
      <c r="B227" s="113" t="s">
        <v>701</v>
      </c>
      <c r="C227" s="130" t="s">
        <v>23</v>
      </c>
      <c r="D227" s="113">
        <f>Data!I2712</f>
        <v>797</v>
      </c>
      <c r="E227" s="114" t="s">
        <v>701</v>
      </c>
      <c r="F227" s="113">
        <f>(A227*D227)</f>
        <v>199.25</v>
      </c>
    </row>
    <row r="228" spans="1:6">
      <c r="A228" s="113">
        <v>0.25</v>
      </c>
      <c r="B228" s="113" t="s">
        <v>701</v>
      </c>
      <c r="C228" s="130" t="s">
        <v>754</v>
      </c>
      <c r="D228" s="113">
        <f>Data!I2713</f>
        <v>651</v>
      </c>
      <c r="E228" s="114" t="s">
        <v>701</v>
      </c>
      <c r="F228" s="113">
        <f>(A228*D228)</f>
        <v>162.75</v>
      </c>
    </row>
    <row r="229" spans="1:6">
      <c r="A229" s="113">
        <v>0.4</v>
      </c>
      <c r="B229" s="113" t="s">
        <v>701</v>
      </c>
      <c r="C229" s="130" t="s">
        <v>245</v>
      </c>
      <c r="D229" s="113">
        <f>Data!I2714</f>
        <v>534</v>
      </c>
      <c r="E229" s="114" t="s">
        <v>701</v>
      </c>
      <c r="F229" s="113">
        <f>(A229*D229)</f>
        <v>213.6</v>
      </c>
    </row>
    <row r="230" spans="1:6">
      <c r="A230" s="113"/>
      <c r="B230" s="113"/>
      <c r="C230" s="130"/>
      <c r="D230" s="113" t="str">
        <f>Data!I2715</f>
        <v xml:space="preserve"> </v>
      </c>
      <c r="E230" s="114"/>
      <c r="F230" s="113">
        <f>SUM(F226:F229)</f>
        <v>616.28</v>
      </c>
    </row>
    <row r="231" spans="1:6">
      <c r="A231" s="113"/>
      <c r="B231" s="113"/>
      <c r="C231" s="127"/>
      <c r="D231" s="127"/>
      <c r="E231" s="115"/>
      <c r="F231" s="136">
        <f>F230/10</f>
        <v>61.63</v>
      </c>
    </row>
    <row r="232" spans="1:6">
      <c r="A232" s="114"/>
      <c r="B232" s="113" t="s">
        <v>1833</v>
      </c>
      <c r="C232" s="130" t="s">
        <v>3284</v>
      </c>
      <c r="D232" s="113"/>
      <c r="E232" s="114"/>
      <c r="F232" s="113"/>
    </row>
    <row r="233" spans="1:6">
      <c r="A233" s="113"/>
      <c r="B233" s="113"/>
      <c r="C233" s="130" t="s">
        <v>1237</v>
      </c>
      <c r="D233" s="113"/>
      <c r="E233" s="114"/>
      <c r="F233" s="113"/>
    </row>
    <row r="234" spans="1:6">
      <c r="A234" s="113"/>
      <c r="B234" s="113"/>
      <c r="C234" s="129" t="s">
        <v>1546</v>
      </c>
      <c r="D234" s="113"/>
      <c r="E234" s="114"/>
      <c r="F234" s="113"/>
    </row>
    <row r="235" spans="1:6">
      <c r="A235" s="113"/>
      <c r="B235" s="113"/>
      <c r="C235" s="135" t="s">
        <v>1288</v>
      </c>
      <c r="D235" s="113"/>
      <c r="E235" s="114"/>
      <c r="F235" s="113"/>
    </row>
    <row r="236" spans="1:6">
      <c r="A236" s="113">
        <v>1.34</v>
      </c>
      <c r="B236" s="113" t="s">
        <v>1341</v>
      </c>
      <c r="C236" s="130" t="s">
        <v>3032</v>
      </c>
      <c r="D236" s="113">
        <f>Data!I3340</f>
        <v>73.8</v>
      </c>
      <c r="E236" s="130" t="s">
        <v>1341</v>
      </c>
      <c r="F236" s="113">
        <f>(A236*D236)</f>
        <v>98.89</v>
      </c>
    </row>
    <row r="237" spans="1:6">
      <c r="A237" s="113">
        <v>0.5</v>
      </c>
      <c r="B237" s="113" t="s">
        <v>619</v>
      </c>
      <c r="C237" s="130" t="s">
        <v>960</v>
      </c>
      <c r="D237" s="113">
        <f>Data!I3341</f>
        <v>797</v>
      </c>
      <c r="E237" s="113" t="s">
        <v>619</v>
      </c>
      <c r="F237" s="113">
        <f>(A237*D237)</f>
        <v>398.5</v>
      </c>
    </row>
    <row r="238" spans="1:6">
      <c r="A238" s="113">
        <v>0.5</v>
      </c>
      <c r="B238" s="113" t="s">
        <v>619</v>
      </c>
      <c r="C238" s="130" t="s">
        <v>1550</v>
      </c>
      <c r="D238" s="113">
        <f>Data!I3342</f>
        <v>651</v>
      </c>
      <c r="E238" s="113" t="s">
        <v>619</v>
      </c>
      <c r="F238" s="113">
        <f>(A238*D238)</f>
        <v>325.5</v>
      </c>
    </row>
    <row r="239" spans="1:6">
      <c r="A239" s="113">
        <v>0.8</v>
      </c>
      <c r="B239" s="113" t="s">
        <v>619</v>
      </c>
      <c r="C239" s="130" t="s">
        <v>245</v>
      </c>
      <c r="D239" s="113">
        <f>Data!I3343</f>
        <v>534</v>
      </c>
      <c r="E239" s="113" t="s">
        <v>619</v>
      </c>
      <c r="F239" s="113">
        <f>(A239*D239)</f>
        <v>427.2</v>
      </c>
    </row>
    <row r="240" spans="1:6">
      <c r="A240" s="113"/>
      <c r="B240" s="113" t="s">
        <v>358</v>
      </c>
      <c r="C240" s="130" t="s">
        <v>962</v>
      </c>
      <c r="D240" s="113" t="str">
        <f>Data!I3344</f>
        <v xml:space="preserve"> </v>
      </c>
      <c r="E240" s="114" t="s">
        <v>358</v>
      </c>
      <c r="F240" s="113">
        <v>2.6</v>
      </c>
    </row>
    <row r="241" spans="1:6">
      <c r="A241" s="113"/>
      <c r="B241" s="113"/>
      <c r="C241" s="113"/>
      <c r="D241" s="113"/>
      <c r="E241" s="114"/>
      <c r="F241" s="135" t="s">
        <v>1288</v>
      </c>
    </row>
    <row r="242" spans="1:6">
      <c r="A242" s="113"/>
      <c r="B242" s="113"/>
      <c r="C242" s="130" t="s">
        <v>351</v>
      </c>
      <c r="D242" s="113"/>
      <c r="E242" s="114"/>
      <c r="F242" s="113">
        <f>SUM(F236:F241)</f>
        <v>1252.69</v>
      </c>
    </row>
    <row r="243" spans="1:6">
      <c r="A243" s="113"/>
      <c r="B243" s="113"/>
      <c r="C243" s="113"/>
      <c r="D243" s="113"/>
      <c r="E243" s="114"/>
      <c r="F243" s="135" t="s">
        <v>1288</v>
      </c>
    </row>
    <row r="244" spans="1:6">
      <c r="A244" s="113"/>
      <c r="B244" s="113"/>
      <c r="C244" s="129" t="s">
        <v>447</v>
      </c>
      <c r="D244" s="113"/>
      <c r="E244" s="114"/>
      <c r="F244" s="127">
        <f>(F242/10)</f>
        <v>125.27</v>
      </c>
    </row>
    <row r="245" spans="1:6">
      <c r="A245" s="114" t="s">
        <v>1117</v>
      </c>
      <c r="B245" s="113" t="s">
        <v>1833</v>
      </c>
      <c r="C245" s="130" t="s">
        <v>3279</v>
      </c>
      <c r="D245" s="113"/>
      <c r="E245" s="114"/>
      <c r="F245" s="113"/>
    </row>
    <row r="246" spans="1:6">
      <c r="A246" s="113"/>
      <c r="B246" s="113"/>
      <c r="C246" s="130" t="s">
        <v>1237</v>
      </c>
      <c r="D246" s="113"/>
      <c r="E246" s="114"/>
      <c r="F246" s="113"/>
    </row>
    <row r="247" spans="1:6">
      <c r="A247" s="113"/>
      <c r="B247" s="113"/>
      <c r="C247" s="129" t="s">
        <v>974</v>
      </c>
      <c r="D247" s="113"/>
      <c r="E247" s="114"/>
      <c r="F247" s="113"/>
    </row>
    <row r="248" spans="1:6">
      <c r="A248" s="113"/>
      <c r="B248" s="113"/>
      <c r="C248" s="135" t="s">
        <v>1288</v>
      </c>
      <c r="D248" s="113"/>
      <c r="E248" s="114"/>
      <c r="F248" s="113"/>
    </row>
    <row r="249" spans="1:6">
      <c r="A249" s="113">
        <v>1.4</v>
      </c>
      <c r="B249" s="113" t="s">
        <v>1008</v>
      </c>
      <c r="C249" s="129" t="s">
        <v>2996</v>
      </c>
      <c r="D249" s="142">
        <f>Data!P1319</f>
        <v>295.60000000000002</v>
      </c>
      <c r="E249" s="114" t="s">
        <v>1008</v>
      </c>
      <c r="F249" s="113">
        <f>D249*A249</f>
        <v>413.84</v>
      </c>
    </row>
    <row r="250" spans="1:6">
      <c r="A250" s="113">
        <v>0.98</v>
      </c>
      <c r="B250" s="113" t="s">
        <v>1008</v>
      </c>
      <c r="C250" s="130" t="s">
        <v>2997</v>
      </c>
      <c r="D250" s="142">
        <f>Data!P1320</f>
        <v>147.5</v>
      </c>
      <c r="E250" s="114" t="s">
        <v>1008</v>
      </c>
      <c r="F250" s="113">
        <f>(A250*D250)</f>
        <v>144.55000000000001</v>
      </c>
    </row>
    <row r="251" spans="1:6">
      <c r="A251" s="113">
        <v>2.2000000000000002</v>
      </c>
      <c r="B251" s="113" t="s">
        <v>619</v>
      </c>
      <c r="C251" s="130" t="s">
        <v>960</v>
      </c>
      <c r="D251" s="142">
        <f>Data!P1321</f>
        <v>797</v>
      </c>
      <c r="E251" s="114" t="s">
        <v>619</v>
      </c>
      <c r="F251" s="113">
        <f>(A251*D251)</f>
        <v>1753.4</v>
      </c>
    </row>
    <row r="252" spans="1:6">
      <c r="A252" s="113"/>
      <c r="B252" s="113" t="s">
        <v>358</v>
      </c>
      <c r="C252" s="130" t="s">
        <v>962</v>
      </c>
      <c r="D252" s="142" t="str">
        <f>Data!P1322</f>
        <v xml:space="preserve"> </v>
      </c>
      <c r="E252" s="114" t="s">
        <v>358</v>
      </c>
      <c r="F252" s="113">
        <v>2.5499999999999998</v>
      </c>
    </row>
    <row r="253" spans="1:6">
      <c r="A253" s="113"/>
      <c r="B253" s="113"/>
      <c r="C253" s="113"/>
      <c r="D253" s="113"/>
      <c r="E253" s="114"/>
      <c r="F253" s="135"/>
    </row>
    <row r="254" spans="1:6">
      <c r="A254" s="113"/>
      <c r="B254" s="113"/>
      <c r="C254" s="130" t="s">
        <v>351</v>
      </c>
      <c r="D254" s="113"/>
      <c r="E254" s="114"/>
      <c r="F254" s="113">
        <f>SUM(F249:F252)</f>
        <v>2314.34</v>
      </c>
    </row>
    <row r="255" spans="1:6">
      <c r="A255" s="113"/>
      <c r="B255" s="113"/>
      <c r="C255" s="113"/>
      <c r="D255" s="113"/>
      <c r="E255" s="114"/>
      <c r="F255" s="135" t="s">
        <v>1288</v>
      </c>
    </row>
    <row r="256" spans="1:6">
      <c r="A256" s="113"/>
      <c r="B256" s="113"/>
      <c r="C256" s="130" t="s">
        <v>447</v>
      </c>
      <c r="D256" s="113"/>
      <c r="E256" s="114"/>
      <c r="F256" s="127">
        <f>(F254/10)</f>
        <v>231.43</v>
      </c>
    </row>
    <row r="257" spans="1:6">
      <c r="A257" s="113"/>
      <c r="B257" s="113"/>
      <c r="C257" s="113"/>
      <c r="D257" s="113"/>
      <c r="E257" s="114"/>
      <c r="F257" s="135" t="s">
        <v>1676</v>
      </c>
    </row>
    <row r="258" spans="1:6">
      <c r="A258" s="114" t="s">
        <v>1347</v>
      </c>
      <c r="B258" s="113"/>
      <c r="C258" s="130" t="s">
        <v>3003</v>
      </c>
      <c r="D258" s="113"/>
      <c r="E258" s="130"/>
      <c r="F258" s="142">
        <v>10.050000000000001</v>
      </c>
    </row>
    <row r="259" spans="1:6">
      <c r="A259" s="113"/>
      <c r="B259" s="113"/>
      <c r="C259" s="130" t="s">
        <v>1854</v>
      </c>
      <c r="D259" s="113"/>
      <c r="E259" s="130"/>
      <c r="F259" s="127">
        <f>700*F258</f>
        <v>7035</v>
      </c>
    </row>
    <row r="260" spans="1:6">
      <c r="A260" s="114"/>
      <c r="B260" s="113" t="s">
        <v>1833</v>
      </c>
      <c r="C260" s="130" t="s">
        <v>3473</v>
      </c>
      <c r="D260" s="113"/>
      <c r="E260" s="114"/>
      <c r="F260" s="113"/>
    </row>
    <row r="261" spans="1:6">
      <c r="A261" s="113"/>
      <c r="B261" s="113"/>
      <c r="C261" s="130" t="s">
        <v>1237</v>
      </c>
      <c r="D261" s="113"/>
      <c r="E261" s="114"/>
      <c r="F261" s="113"/>
    </row>
    <row r="262" spans="1:6">
      <c r="A262" s="113"/>
      <c r="B262" s="113"/>
      <c r="C262" s="129" t="s">
        <v>1546</v>
      </c>
      <c r="D262" s="113"/>
      <c r="E262" s="114"/>
      <c r="F262" s="113"/>
    </row>
    <row r="263" spans="1:6">
      <c r="A263" s="113"/>
      <c r="B263" s="113"/>
      <c r="C263" s="135" t="s">
        <v>1288</v>
      </c>
      <c r="D263" s="113"/>
      <c r="E263" s="114"/>
      <c r="F263" s="113"/>
    </row>
    <row r="264" spans="1:6">
      <c r="A264" s="113">
        <v>1.34</v>
      </c>
      <c r="B264" s="113" t="s">
        <v>1341</v>
      </c>
      <c r="C264" s="130" t="s">
        <v>3032</v>
      </c>
      <c r="D264" s="113">
        <f>Data!I3340</f>
        <v>73.8</v>
      </c>
      <c r="E264" s="130" t="s">
        <v>1341</v>
      </c>
      <c r="F264" s="113">
        <f>(A264*D264)</f>
        <v>98.89</v>
      </c>
    </row>
    <row r="265" spans="1:6">
      <c r="A265" s="113">
        <v>0.5</v>
      </c>
      <c r="B265" s="113" t="s">
        <v>619</v>
      </c>
      <c r="C265" s="130" t="s">
        <v>960</v>
      </c>
      <c r="D265" s="113">
        <f>Data!I3341</f>
        <v>797</v>
      </c>
      <c r="E265" s="113" t="s">
        <v>619</v>
      </c>
      <c r="F265" s="113">
        <f>(A265*D265)</f>
        <v>398.5</v>
      </c>
    </row>
    <row r="266" spans="1:6">
      <c r="A266" s="113">
        <v>0.5</v>
      </c>
      <c r="B266" s="113" t="s">
        <v>619</v>
      </c>
      <c r="C266" s="130" t="s">
        <v>1550</v>
      </c>
      <c r="D266" s="113">
        <f>Data!I3342</f>
        <v>651</v>
      </c>
      <c r="E266" s="113" t="s">
        <v>619</v>
      </c>
      <c r="F266" s="113">
        <f>(A266*D266)</f>
        <v>325.5</v>
      </c>
    </row>
    <row r="267" spans="1:6">
      <c r="A267" s="113">
        <v>0.8</v>
      </c>
      <c r="B267" s="113" t="s">
        <v>619</v>
      </c>
      <c r="C267" s="130" t="s">
        <v>245</v>
      </c>
      <c r="D267" s="113">
        <f>Data!I3343</f>
        <v>534</v>
      </c>
      <c r="E267" s="113" t="s">
        <v>619</v>
      </c>
      <c r="F267" s="113">
        <f>(A267*D267)</f>
        <v>427.2</v>
      </c>
    </row>
    <row r="268" spans="1:6">
      <c r="A268" s="113">
        <v>10</v>
      </c>
      <c r="B268" s="113" t="s">
        <v>488</v>
      </c>
      <c r="C268" s="130" t="s">
        <v>1975</v>
      </c>
      <c r="D268" s="113">
        <v>4</v>
      </c>
      <c r="E268" s="113" t="s">
        <v>488</v>
      </c>
      <c r="F268" s="113">
        <f>(A268*D268)</f>
        <v>40</v>
      </c>
    </row>
    <row r="269" spans="1:6">
      <c r="A269" s="113"/>
      <c r="B269" s="113" t="s">
        <v>358</v>
      </c>
      <c r="C269" s="130" t="s">
        <v>962</v>
      </c>
      <c r="D269" s="113" t="str">
        <f>Data!I3344</f>
        <v xml:space="preserve"> </v>
      </c>
      <c r="E269" s="114" t="s">
        <v>358</v>
      </c>
      <c r="F269" s="113">
        <v>2.6</v>
      </c>
    </row>
    <row r="270" spans="1:6">
      <c r="A270" s="113"/>
      <c r="B270" s="113"/>
      <c r="C270" s="113"/>
      <c r="D270" s="113"/>
      <c r="E270" s="114"/>
      <c r="F270" s="135" t="s">
        <v>1288</v>
      </c>
    </row>
    <row r="271" spans="1:6">
      <c r="A271" s="113"/>
      <c r="B271" s="113"/>
      <c r="C271" s="130" t="s">
        <v>351</v>
      </c>
      <c r="D271" s="113"/>
      <c r="E271" s="114"/>
      <c r="F271" s="113">
        <f>SUM(F264:F270)</f>
        <v>1292.69</v>
      </c>
    </row>
    <row r="272" spans="1:6">
      <c r="A272" s="113"/>
      <c r="B272" s="113"/>
      <c r="C272" s="113"/>
      <c r="D272" s="113"/>
      <c r="E272" s="114"/>
      <c r="F272" s="135" t="s">
        <v>1288</v>
      </c>
    </row>
    <row r="273" spans="1:6">
      <c r="A273" s="113"/>
      <c r="B273" s="113"/>
      <c r="C273" s="129" t="s">
        <v>447</v>
      </c>
      <c r="D273" s="113"/>
      <c r="E273" s="114"/>
      <c r="F273" s="127">
        <f>(F271/10)</f>
        <v>129.27000000000001</v>
      </c>
    </row>
    <row r="274" spans="1:6">
      <c r="A274" s="113"/>
      <c r="B274" s="130" t="s">
        <v>544</v>
      </c>
      <c r="C274" s="130" t="s">
        <v>903</v>
      </c>
      <c r="D274" s="113"/>
      <c r="E274" s="113"/>
      <c r="F274" s="113"/>
    </row>
    <row r="275" spans="1:6">
      <c r="A275" s="113"/>
      <c r="B275" s="113"/>
      <c r="C275" s="135" t="s">
        <v>1288</v>
      </c>
      <c r="D275" s="113"/>
      <c r="E275" s="113"/>
      <c r="F275" s="113"/>
    </row>
    <row r="276" spans="1:6">
      <c r="A276" s="113">
        <v>7.0000000000000007E-2</v>
      </c>
      <c r="B276" s="130" t="s">
        <v>702</v>
      </c>
      <c r="C276" s="130" t="s">
        <v>1632</v>
      </c>
      <c r="D276" s="113">
        <f>Data!P390</f>
        <v>1348</v>
      </c>
      <c r="E276" s="130" t="s">
        <v>702</v>
      </c>
      <c r="F276" s="113">
        <f>(A276*D276)</f>
        <v>94.36</v>
      </c>
    </row>
    <row r="277" spans="1:6">
      <c r="A277" s="113">
        <v>1.6</v>
      </c>
      <c r="B277" s="130" t="s">
        <v>701</v>
      </c>
      <c r="C277" s="130" t="s">
        <v>1392</v>
      </c>
      <c r="D277" s="113">
        <f>Data!P391</f>
        <v>932</v>
      </c>
      <c r="E277" s="130" t="s">
        <v>701</v>
      </c>
      <c r="F277" s="113">
        <f>(A277*D277)</f>
        <v>1491.2</v>
      </c>
    </row>
    <row r="278" spans="1:6">
      <c r="A278" s="113">
        <v>0.5</v>
      </c>
      <c r="B278" s="130" t="s">
        <v>701</v>
      </c>
      <c r="C278" s="130" t="s">
        <v>1550</v>
      </c>
      <c r="D278" s="113">
        <f>Data!P392</f>
        <v>651</v>
      </c>
      <c r="E278" s="130" t="s">
        <v>701</v>
      </c>
      <c r="F278" s="113">
        <f>(A278*D278)</f>
        <v>325.5</v>
      </c>
    </row>
    <row r="279" spans="1:6">
      <c r="A279" s="113">
        <v>2.7</v>
      </c>
      <c r="B279" s="130" t="s">
        <v>701</v>
      </c>
      <c r="C279" s="130" t="s">
        <v>245</v>
      </c>
      <c r="D279" s="113">
        <f>Data!P393</f>
        <v>534</v>
      </c>
      <c r="E279" s="130" t="s">
        <v>701</v>
      </c>
      <c r="F279" s="113">
        <f>(A279*D279)</f>
        <v>1441.8</v>
      </c>
    </row>
    <row r="280" spans="1:6">
      <c r="A280" s="113">
        <v>100</v>
      </c>
      <c r="B280" s="113" t="s">
        <v>488</v>
      </c>
      <c r="C280" s="130" t="s">
        <v>1975</v>
      </c>
      <c r="D280" s="113">
        <v>4</v>
      </c>
      <c r="E280" s="113" t="s">
        <v>488</v>
      </c>
      <c r="F280" s="113">
        <f>(A280*D280)</f>
        <v>400</v>
      </c>
    </row>
    <row r="281" spans="1:6">
      <c r="A281" s="113"/>
      <c r="B281" s="130" t="s">
        <v>358</v>
      </c>
      <c r="C281" s="130" t="s">
        <v>1491</v>
      </c>
      <c r="D281" s="113" t="str">
        <f>Data!P394</f>
        <v xml:space="preserve"> </v>
      </c>
      <c r="E281" s="130" t="s">
        <v>358</v>
      </c>
      <c r="F281" s="113">
        <v>2.09</v>
      </c>
    </row>
    <row r="282" spans="1:6">
      <c r="A282" s="113"/>
      <c r="B282" s="113"/>
      <c r="C282" s="113"/>
      <c r="D282" s="113"/>
      <c r="E282" s="113"/>
      <c r="F282" s="135" t="s">
        <v>1288</v>
      </c>
    </row>
    <row r="283" spans="1:6">
      <c r="A283" s="113"/>
      <c r="B283" s="113"/>
      <c r="C283" s="130" t="s">
        <v>1493</v>
      </c>
      <c r="D283" s="113"/>
      <c r="E283" s="113"/>
      <c r="F283" s="113">
        <f>SUM(F275:F281)</f>
        <v>3754.95</v>
      </c>
    </row>
    <row r="284" spans="1:6">
      <c r="A284" s="113"/>
      <c r="B284" s="113"/>
      <c r="C284" s="113"/>
      <c r="D284" s="113"/>
      <c r="E284" s="113"/>
      <c r="F284" s="135" t="s">
        <v>1288</v>
      </c>
    </row>
    <row r="285" spans="1:6">
      <c r="A285" s="113"/>
      <c r="B285" s="113"/>
      <c r="C285" s="130" t="s">
        <v>447</v>
      </c>
      <c r="D285" s="113"/>
      <c r="E285" s="113"/>
      <c r="F285" s="127">
        <f>(F283/100)</f>
        <v>37.549999999999997</v>
      </c>
    </row>
    <row r="286" spans="1:6">
      <c r="A286" s="113"/>
      <c r="B286" s="113"/>
      <c r="C286" s="113"/>
      <c r="D286" s="113"/>
      <c r="E286" s="113"/>
      <c r="F286" s="135" t="s">
        <v>1676</v>
      </c>
    </row>
    <row r="287" spans="1:6">
      <c r="A287" s="113"/>
      <c r="B287" s="113"/>
      <c r="C287" s="113" t="s">
        <v>1998</v>
      </c>
      <c r="D287" s="113"/>
      <c r="E287" s="113"/>
      <c r="F287" s="113"/>
    </row>
    <row r="288" spans="1:6">
      <c r="A288" s="113"/>
      <c r="B288" s="113"/>
      <c r="C288" s="113" t="s">
        <v>851</v>
      </c>
      <c r="D288" s="113"/>
      <c r="E288" s="113"/>
      <c r="F288" s="113"/>
    </row>
    <row r="289" spans="1:6">
      <c r="A289" s="113"/>
      <c r="B289" s="113"/>
      <c r="C289" s="113" t="s">
        <v>1007</v>
      </c>
      <c r="D289" s="113"/>
      <c r="E289" s="113"/>
      <c r="F289" s="113"/>
    </row>
    <row r="290" spans="1:6">
      <c r="A290" s="113"/>
      <c r="B290" s="113"/>
      <c r="C290" s="113"/>
      <c r="D290" s="113"/>
      <c r="E290" s="113"/>
      <c r="F290" s="113"/>
    </row>
    <row r="291" spans="1:6">
      <c r="A291" s="113">
        <v>1.1100000000000001</v>
      </c>
      <c r="B291" s="113" t="s">
        <v>1922</v>
      </c>
      <c r="C291" s="113" t="s">
        <v>961</v>
      </c>
      <c r="D291" s="113">
        <f>Data!I3196</f>
        <v>227.6</v>
      </c>
      <c r="E291" s="113" t="s">
        <v>1922</v>
      </c>
      <c r="F291" s="113">
        <f>D291*A291</f>
        <v>252.64</v>
      </c>
    </row>
    <row r="292" spans="1:6">
      <c r="A292" s="113">
        <v>0.7</v>
      </c>
      <c r="B292" s="113" t="s">
        <v>202</v>
      </c>
      <c r="C292" s="113" t="s">
        <v>960</v>
      </c>
      <c r="D292" s="113">
        <f>Data!I3197</f>
        <v>797</v>
      </c>
      <c r="E292" s="113" t="s">
        <v>202</v>
      </c>
      <c r="F292" s="113">
        <f>D292*A292</f>
        <v>557.9</v>
      </c>
    </row>
    <row r="293" spans="1:6">
      <c r="A293" s="113">
        <v>10</v>
      </c>
      <c r="B293" s="113" t="s">
        <v>1861</v>
      </c>
      <c r="C293" s="130" t="s">
        <v>3027</v>
      </c>
      <c r="D293" s="113">
        <f>Data!I3198</f>
        <v>9.1</v>
      </c>
      <c r="E293" s="113" t="s">
        <v>1861</v>
      </c>
      <c r="F293" s="113">
        <f>D293*A293</f>
        <v>91</v>
      </c>
    </row>
    <row r="294" spans="1:6">
      <c r="A294" s="113"/>
      <c r="B294" s="113"/>
      <c r="C294" s="130" t="s">
        <v>1996</v>
      </c>
      <c r="D294" s="113" t="str">
        <f>Data!I3199</f>
        <v>LS</v>
      </c>
      <c r="E294" s="114"/>
      <c r="F294" s="113">
        <v>2.8</v>
      </c>
    </row>
    <row r="295" spans="1:6">
      <c r="A295" s="113"/>
      <c r="B295" s="113"/>
      <c r="C295" s="113" t="s">
        <v>351</v>
      </c>
      <c r="D295" s="113"/>
      <c r="E295" s="114"/>
      <c r="F295" s="113">
        <f>SUM(F291:F294)</f>
        <v>904.34</v>
      </c>
    </row>
    <row r="296" spans="1:6">
      <c r="A296" s="113"/>
      <c r="B296" s="113"/>
      <c r="C296" s="113"/>
      <c r="D296" s="113"/>
      <c r="E296" s="114"/>
      <c r="F296" s="113"/>
    </row>
    <row r="297" spans="1:6">
      <c r="A297" s="113"/>
      <c r="B297" s="113"/>
      <c r="C297" s="113" t="s">
        <v>447</v>
      </c>
      <c r="D297" s="113"/>
      <c r="E297" s="114"/>
      <c r="F297" s="127">
        <f>F295/10</f>
        <v>90.43</v>
      </c>
    </row>
    <row r="298" spans="1:6">
      <c r="A298" s="113"/>
      <c r="B298" s="113"/>
      <c r="C298" s="113" t="s">
        <v>1998</v>
      </c>
      <c r="D298" s="113"/>
      <c r="E298" s="114"/>
      <c r="F298" s="113"/>
    </row>
    <row r="299" spans="1:6">
      <c r="A299" s="113"/>
      <c r="B299" s="113"/>
      <c r="C299" s="113" t="s">
        <v>1119</v>
      </c>
      <c r="D299" s="113"/>
      <c r="E299" s="114"/>
      <c r="F299" s="113"/>
    </row>
    <row r="300" spans="1:6">
      <c r="A300" s="113"/>
      <c r="B300" s="113"/>
      <c r="C300" s="113" t="s">
        <v>1007</v>
      </c>
      <c r="D300" s="113"/>
      <c r="E300" s="114"/>
      <c r="F300" s="113"/>
    </row>
    <row r="301" spans="1:6">
      <c r="A301" s="113"/>
      <c r="B301" s="113"/>
      <c r="C301" s="113"/>
      <c r="D301" s="113"/>
      <c r="E301" s="114"/>
      <c r="F301" s="113"/>
    </row>
    <row r="302" spans="1:6">
      <c r="A302" s="113">
        <v>1.33</v>
      </c>
      <c r="B302" s="113" t="s">
        <v>1922</v>
      </c>
      <c r="C302" s="113" t="s">
        <v>961</v>
      </c>
      <c r="D302" s="113">
        <f>Data!I3210</f>
        <v>238.9</v>
      </c>
      <c r="E302" s="113" t="s">
        <v>1922</v>
      </c>
      <c r="F302" s="113">
        <f>D302*A302</f>
        <v>317.74</v>
      </c>
    </row>
    <row r="303" spans="1:6">
      <c r="A303" s="113">
        <v>0.7</v>
      </c>
      <c r="B303" s="113" t="s">
        <v>202</v>
      </c>
      <c r="C303" s="113" t="s">
        <v>960</v>
      </c>
      <c r="D303" s="113">
        <f>Data!I3211</f>
        <v>797</v>
      </c>
      <c r="E303" s="113" t="s">
        <v>202</v>
      </c>
      <c r="F303" s="113">
        <f>D303*A303</f>
        <v>557.9</v>
      </c>
    </row>
    <row r="304" spans="1:6">
      <c r="A304" s="113">
        <v>10</v>
      </c>
      <c r="B304" s="113" t="s">
        <v>1861</v>
      </c>
      <c r="C304" s="113" t="s">
        <v>2851</v>
      </c>
      <c r="D304" s="113">
        <f>Data!I3212</f>
        <v>9.85</v>
      </c>
      <c r="E304" s="113" t="s">
        <v>1861</v>
      </c>
      <c r="F304" s="113">
        <f>D304*A304</f>
        <v>98.5</v>
      </c>
    </row>
    <row r="305" spans="1:6">
      <c r="A305" s="113"/>
      <c r="B305" s="113"/>
      <c r="C305" s="113" t="s">
        <v>1996</v>
      </c>
      <c r="D305" s="113" t="str">
        <f>Data!I3213</f>
        <v>LS</v>
      </c>
      <c r="E305" s="114"/>
      <c r="F305" s="113">
        <v>3.43</v>
      </c>
    </row>
    <row r="306" spans="1:6">
      <c r="A306" s="113"/>
      <c r="B306" s="113"/>
      <c r="C306" s="113" t="s">
        <v>351</v>
      </c>
      <c r="D306" s="113"/>
      <c r="E306" s="114"/>
      <c r="F306" s="113">
        <f>SUM(F302:F305)</f>
        <v>977.57</v>
      </c>
    </row>
    <row r="307" spans="1:6">
      <c r="A307" s="113"/>
      <c r="B307" s="113"/>
      <c r="C307" s="113"/>
      <c r="D307" s="113"/>
      <c r="E307" s="114"/>
      <c r="F307" s="113"/>
    </row>
    <row r="308" spans="1:6">
      <c r="A308" s="113"/>
      <c r="B308" s="113"/>
      <c r="C308" s="113" t="s">
        <v>447</v>
      </c>
      <c r="D308" s="113"/>
      <c r="E308" s="114"/>
      <c r="F308" s="127">
        <f>F306/10</f>
        <v>97.76</v>
      </c>
    </row>
    <row r="309" spans="1:6">
      <c r="A309" s="113"/>
      <c r="B309" s="113"/>
      <c r="C309" s="127" t="s">
        <v>2582</v>
      </c>
      <c r="D309" s="113"/>
      <c r="E309" s="113"/>
      <c r="F309" s="113"/>
    </row>
    <row r="310" spans="1:6">
      <c r="A310" s="113"/>
      <c r="B310" s="113"/>
      <c r="C310" s="113"/>
      <c r="D310" s="113"/>
      <c r="E310" s="113"/>
      <c r="F310" s="113"/>
    </row>
    <row r="311" spans="1:6">
      <c r="A311" s="113">
        <v>1.4</v>
      </c>
      <c r="B311" s="113" t="s">
        <v>1008</v>
      </c>
      <c r="C311" s="113" t="s">
        <v>974</v>
      </c>
      <c r="D311" s="142">
        <f>Data!I3353</f>
        <v>295.60000000000002</v>
      </c>
      <c r="E311" s="113" t="s">
        <v>1008</v>
      </c>
      <c r="F311" s="113">
        <f>D311*A311</f>
        <v>413.84</v>
      </c>
    </row>
    <row r="312" spans="1:6">
      <c r="A312" s="113">
        <v>1.5</v>
      </c>
      <c r="B312" s="113" t="s">
        <v>619</v>
      </c>
      <c r="C312" s="113" t="s">
        <v>2584</v>
      </c>
      <c r="D312" s="142">
        <f>Data!I3354</f>
        <v>797</v>
      </c>
      <c r="E312" s="113" t="s">
        <v>619</v>
      </c>
      <c r="F312" s="113">
        <f>D312*A312</f>
        <v>1195.5</v>
      </c>
    </row>
    <row r="313" spans="1:6">
      <c r="A313" s="113">
        <v>10</v>
      </c>
      <c r="B313" s="113" t="s">
        <v>1861</v>
      </c>
      <c r="C313" s="130" t="s">
        <v>2331</v>
      </c>
      <c r="D313" s="142">
        <f>Data!I3355</f>
        <v>4.2</v>
      </c>
      <c r="E313" s="113" t="s">
        <v>1861</v>
      </c>
      <c r="F313" s="113">
        <f>D313*A313</f>
        <v>42</v>
      </c>
    </row>
    <row r="314" spans="1:6">
      <c r="A314" s="113"/>
      <c r="B314" s="113"/>
      <c r="C314" s="130" t="s">
        <v>1996</v>
      </c>
      <c r="D314" s="142" t="str">
        <f>Data!I3356</f>
        <v>ls</v>
      </c>
      <c r="E314" s="114"/>
      <c r="F314" s="113">
        <v>4.33</v>
      </c>
    </row>
    <row r="315" spans="1:6">
      <c r="A315" s="113"/>
      <c r="B315" s="113"/>
      <c r="C315" s="130" t="s">
        <v>351</v>
      </c>
      <c r="D315" s="113"/>
      <c r="E315" s="114"/>
      <c r="F315" s="113">
        <f>SUM(F311:F314)</f>
        <v>1655.67</v>
      </c>
    </row>
    <row r="316" spans="1:6">
      <c r="A316" s="113"/>
      <c r="B316" s="113"/>
      <c r="C316" s="129" t="s">
        <v>447</v>
      </c>
      <c r="D316" s="113"/>
      <c r="E316" s="114"/>
      <c r="F316" s="113">
        <f>F315/10</f>
        <v>165.57</v>
      </c>
    </row>
    <row r="317" spans="1:6">
      <c r="A317" s="138">
        <v>44.1</v>
      </c>
      <c r="B317" s="113" t="s">
        <v>1833</v>
      </c>
      <c r="C317" s="130" t="s">
        <v>1298</v>
      </c>
      <c r="D317" s="113"/>
      <c r="E317" s="130"/>
      <c r="F317" s="113"/>
    </row>
    <row r="318" spans="1:6">
      <c r="A318" s="113"/>
      <c r="B318" s="113"/>
      <c r="C318" s="130" t="s">
        <v>1299</v>
      </c>
      <c r="D318" s="113"/>
      <c r="E318" s="130"/>
      <c r="F318" s="113"/>
    </row>
    <row r="319" spans="1:6">
      <c r="A319" s="113"/>
      <c r="B319" s="113"/>
      <c r="C319" s="130" t="s">
        <v>3280</v>
      </c>
      <c r="D319" s="113"/>
      <c r="E319" s="130"/>
      <c r="F319" s="113"/>
    </row>
    <row r="320" spans="1:6">
      <c r="A320" s="113"/>
      <c r="B320" s="113"/>
      <c r="C320" s="135" t="s">
        <v>1288</v>
      </c>
      <c r="D320" s="113"/>
      <c r="E320" s="130"/>
      <c r="F320" s="113"/>
    </row>
    <row r="321" spans="1:6">
      <c r="A321" s="113">
        <v>3</v>
      </c>
      <c r="B321" s="113" t="s">
        <v>1443</v>
      </c>
      <c r="C321" s="130" t="s">
        <v>1670</v>
      </c>
      <c r="D321" s="113">
        <f>Data!I1626</f>
        <v>120.54</v>
      </c>
      <c r="E321" s="130" t="s">
        <v>1443</v>
      </c>
      <c r="F321" s="113">
        <f t="shared" ref="F321:F326" si="2">(A321*D321)</f>
        <v>361.62</v>
      </c>
    </row>
    <row r="322" spans="1:6">
      <c r="A322" s="113">
        <v>1</v>
      </c>
      <c r="B322" s="113" t="s">
        <v>701</v>
      </c>
      <c r="C322" s="130" t="s">
        <v>1707</v>
      </c>
      <c r="D322" s="113">
        <f>Data!I1627</f>
        <v>76</v>
      </c>
      <c r="E322" s="130" t="s">
        <v>701</v>
      </c>
      <c r="F322" s="113">
        <f t="shared" si="2"/>
        <v>76</v>
      </c>
    </row>
    <row r="323" spans="1:6">
      <c r="A323" s="113">
        <v>1</v>
      </c>
      <c r="B323" s="113" t="s">
        <v>701</v>
      </c>
      <c r="C323" s="130" t="s">
        <v>1708</v>
      </c>
      <c r="D323" s="113">
        <f>Data!I1628</f>
        <v>83.4</v>
      </c>
      <c r="E323" s="130" t="s">
        <v>701</v>
      </c>
      <c r="F323" s="113">
        <f t="shared" si="2"/>
        <v>83.4</v>
      </c>
    </row>
    <row r="324" spans="1:6">
      <c r="A324" s="113">
        <v>2</v>
      </c>
      <c r="B324" s="113" t="s">
        <v>701</v>
      </c>
      <c r="C324" s="130" t="s">
        <v>1709</v>
      </c>
      <c r="D324" s="113">
        <f>Data!I1629</f>
        <v>21.6</v>
      </c>
      <c r="E324" s="130" t="s">
        <v>701</v>
      </c>
      <c r="F324" s="113">
        <f t="shared" si="2"/>
        <v>43.2</v>
      </c>
    </row>
    <row r="325" spans="1:6">
      <c r="A325" s="113">
        <v>1</v>
      </c>
      <c r="B325" s="113" t="s">
        <v>701</v>
      </c>
      <c r="C325" s="130" t="s">
        <v>1710</v>
      </c>
      <c r="D325" s="113">
        <f>Data!I1630</f>
        <v>32.1</v>
      </c>
      <c r="E325" s="130" t="s">
        <v>701</v>
      </c>
      <c r="F325" s="113">
        <f t="shared" si="2"/>
        <v>32.1</v>
      </c>
    </row>
    <row r="326" spans="1:6">
      <c r="A326" s="113">
        <v>0.5</v>
      </c>
      <c r="B326" s="113" t="s">
        <v>701</v>
      </c>
      <c r="C326" s="130" t="s">
        <v>1711</v>
      </c>
      <c r="D326" s="113">
        <f>Data!I1631</f>
        <v>866</v>
      </c>
      <c r="E326" s="130" t="s">
        <v>701</v>
      </c>
      <c r="F326" s="113">
        <f t="shared" si="2"/>
        <v>433</v>
      </c>
    </row>
    <row r="327" spans="1:6">
      <c r="A327" s="113"/>
      <c r="B327" s="113" t="s">
        <v>358</v>
      </c>
      <c r="C327" s="130" t="s">
        <v>486</v>
      </c>
      <c r="D327" s="113"/>
      <c r="E327" s="130" t="s">
        <v>358</v>
      </c>
      <c r="F327" s="113"/>
    </row>
    <row r="328" spans="1:6">
      <c r="A328" s="113"/>
      <c r="B328" s="113"/>
      <c r="C328" s="130" t="s">
        <v>15</v>
      </c>
      <c r="D328" s="113"/>
      <c r="E328" s="130"/>
      <c r="F328" s="113"/>
    </row>
    <row r="329" spans="1:6">
      <c r="A329" s="113"/>
      <c r="B329" s="113"/>
      <c r="C329" s="113"/>
      <c r="D329" s="113"/>
      <c r="E329" s="130"/>
      <c r="F329" s="135" t="s">
        <v>1288</v>
      </c>
    </row>
    <row r="330" spans="1:6">
      <c r="A330" s="113"/>
      <c r="B330" s="113"/>
      <c r="C330" s="130" t="s">
        <v>1072</v>
      </c>
      <c r="D330" s="113"/>
      <c r="E330" s="130"/>
      <c r="F330" s="113">
        <f>SUM(F321:F327)</f>
        <v>1029.32</v>
      </c>
    </row>
    <row r="331" spans="1:6">
      <c r="A331" s="130" t="s">
        <v>790</v>
      </c>
      <c r="B331" s="113"/>
      <c r="C331" s="113"/>
      <c r="D331" s="113"/>
      <c r="E331" s="130"/>
      <c r="F331" s="113"/>
    </row>
    <row r="332" spans="1:6">
      <c r="A332" s="113"/>
      <c r="B332" s="113"/>
      <c r="C332" s="113"/>
      <c r="D332" s="113"/>
      <c r="E332" s="130"/>
      <c r="F332" s="135" t="s">
        <v>1288</v>
      </c>
    </row>
    <row r="333" spans="1:6">
      <c r="A333" s="113"/>
      <c r="B333" s="113"/>
      <c r="C333" s="115" t="s">
        <v>1253</v>
      </c>
      <c r="D333" s="127"/>
      <c r="E333" s="129"/>
      <c r="F333" s="127">
        <f>(F330/3)</f>
        <v>343.11</v>
      </c>
    </row>
    <row r="334" spans="1:6">
      <c r="A334" s="113"/>
      <c r="B334" s="113"/>
      <c r="C334" s="130"/>
      <c r="D334" s="113"/>
      <c r="E334" s="130"/>
      <c r="F334" s="135" t="s">
        <v>1676</v>
      </c>
    </row>
    <row r="335" spans="1:6">
      <c r="A335" s="114" t="s">
        <v>570</v>
      </c>
      <c r="B335" s="113" t="s">
        <v>1833</v>
      </c>
      <c r="C335" s="130" t="s">
        <v>653</v>
      </c>
      <c r="D335" s="113"/>
      <c r="E335" s="130"/>
      <c r="F335" s="113"/>
    </row>
    <row r="336" spans="1:6">
      <c r="A336" s="113"/>
      <c r="B336" s="113"/>
      <c r="C336" s="130" t="s">
        <v>131</v>
      </c>
      <c r="D336" s="113"/>
      <c r="E336" s="130"/>
      <c r="F336" s="113"/>
    </row>
    <row r="337" spans="1:6">
      <c r="A337" s="113"/>
      <c r="B337" s="113"/>
      <c r="C337" s="135" t="s">
        <v>1288</v>
      </c>
      <c r="D337" s="113"/>
      <c r="E337" s="130"/>
      <c r="F337" s="113"/>
    </row>
    <row r="338" spans="1:6">
      <c r="A338" s="113"/>
      <c r="B338" s="113" t="s">
        <v>550</v>
      </c>
      <c r="C338" s="130" t="s">
        <v>29</v>
      </c>
      <c r="D338" s="113"/>
      <c r="E338" s="130"/>
      <c r="F338" s="113"/>
    </row>
    <row r="339" spans="1:6">
      <c r="A339" s="113"/>
      <c r="B339" s="113"/>
      <c r="C339" s="130" t="s">
        <v>3282</v>
      </c>
      <c r="D339" s="113"/>
      <c r="E339" s="130"/>
      <c r="F339" s="113"/>
    </row>
    <row r="340" spans="1:6">
      <c r="A340" s="113"/>
      <c r="B340" s="113"/>
      <c r="C340" s="130" t="s">
        <v>765</v>
      </c>
      <c r="D340" s="113"/>
      <c r="E340" s="130"/>
      <c r="F340" s="113"/>
    </row>
    <row r="341" spans="1:6">
      <c r="A341" s="113"/>
      <c r="B341" s="113"/>
      <c r="C341" s="130" t="s">
        <v>766</v>
      </c>
      <c r="D341" s="113"/>
      <c r="E341" s="130"/>
      <c r="F341" s="113"/>
    </row>
    <row r="342" spans="1:6">
      <c r="A342" s="113"/>
      <c r="B342" s="113"/>
      <c r="C342" s="130" t="s">
        <v>1712</v>
      </c>
      <c r="D342" s="113"/>
      <c r="E342" s="130"/>
      <c r="F342" s="113"/>
    </row>
    <row r="343" spans="1:6">
      <c r="A343" s="113"/>
      <c r="B343" s="113"/>
      <c r="C343" s="130" t="s">
        <v>1713</v>
      </c>
      <c r="D343" s="113"/>
      <c r="E343" s="130"/>
      <c r="F343" s="113"/>
    </row>
    <row r="344" spans="1:6">
      <c r="A344" s="113"/>
      <c r="B344" s="113"/>
      <c r="C344" s="130" t="s">
        <v>160</v>
      </c>
      <c r="D344" s="113"/>
      <c r="E344" s="130"/>
      <c r="F344" s="113"/>
    </row>
    <row r="345" spans="1:6">
      <c r="A345" s="113"/>
      <c r="B345" s="113"/>
      <c r="C345" s="135" t="s">
        <v>1288</v>
      </c>
      <c r="D345" s="113"/>
      <c r="E345" s="130"/>
      <c r="F345" s="113"/>
    </row>
    <row r="346" spans="1:6">
      <c r="A346" s="113">
        <v>3</v>
      </c>
      <c r="B346" s="113" t="s">
        <v>1443</v>
      </c>
      <c r="C346" s="130" t="s">
        <v>1714</v>
      </c>
      <c r="D346" s="113">
        <f>Data!I2049</f>
        <v>193.05</v>
      </c>
      <c r="E346" s="130" t="s">
        <v>1443</v>
      </c>
      <c r="F346" s="113">
        <f t="shared" ref="F346:F352" si="3">(A346*D346)</f>
        <v>579.15</v>
      </c>
    </row>
    <row r="347" spans="1:6">
      <c r="A347" s="113">
        <v>1</v>
      </c>
      <c r="B347" s="113" t="s">
        <v>619</v>
      </c>
      <c r="C347" s="130" t="s">
        <v>540</v>
      </c>
      <c r="D347" s="113">
        <f>Data!I2050</f>
        <v>76</v>
      </c>
      <c r="E347" s="130" t="s">
        <v>1395</v>
      </c>
      <c r="F347" s="113">
        <f t="shared" si="3"/>
        <v>76</v>
      </c>
    </row>
    <row r="348" spans="1:6">
      <c r="A348" s="113">
        <v>1</v>
      </c>
      <c r="B348" s="113" t="s">
        <v>619</v>
      </c>
      <c r="C348" s="130" t="s">
        <v>541</v>
      </c>
      <c r="D348" s="113">
        <f>Data!I2051</f>
        <v>82.3</v>
      </c>
      <c r="E348" s="130" t="s">
        <v>1395</v>
      </c>
      <c r="F348" s="113">
        <f t="shared" si="3"/>
        <v>82.3</v>
      </c>
    </row>
    <row r="349" spans="1:6">
      <c r="A349" s="113">
        <v>1</v>
      </c>
      <c r="B349" s="113" t="s">
        <v>619</v>
      </c>
      <c r="C349" s="130" t="s">
        <v>2526</v>
      </c>
      <c r="D349" s="113">
        <f>Data!I2052</f>
        <v>187.8</v>
      </c>
      <c r="E349" s="130" t="s">
        <v>1395</v>
      </c>
      <c r="F349" s="113">
        <f t="shared" si="3"/>
        <v>187.8</v>
      </c>
    </row>
    <row r="350" spans="1:6">
      <c r="A350" s="113">
        <v>0.5</v>
      </c>
      <c r="B350" s="113" t="s">
        <v>701</v>
      </c>
      <c r="C350" s="130" t="s">
        <v>1711</v>
      </c>
      <c r="D350" s="113">
        <f>Data!I2053</f>
        <v>866</v>
      </c>
      <c r="E350" s="130" t="s">
        <v>1395</v>
      </c>
      <c r="F350" s="113">
        <f t="shared" si="3"/>
        <v>433</v>
      </c>
    </row>
    <row r="351" spans="1:6">
      <c r="A351" s="113">
        <v>0.5</v>
      </c>
      <c r="B351" s="113" t="s">
        <v>701</v>
      </c>
      <c r="C351" s="130" t="s">
        <v>1392</v>
      </c>
      <c r="D351" s="113">
        <f>Data!I2054</f>
        <v>932</v>
      </c>
      <c r="E351" s="130" t="s">
        <v>1395</v>
      </c>
      <c r="F351" s="113">
        <f t="shared" si="3"/>
        <v>466</v>
      </c>
    </row>
    <row r="352" spans="1:6">
      <c r="A352" s="113">
        <v>0.5</v>
      </c>
      <c r="B352" s="113" t="s">
        <v>701</v>
      </c>
      <c r="C352" s="130" t="s">
        <v>1550</v>
      </c>
      <c r="D352" s="113">
        <f>Data!I2055</f>
        <v>651</v>
      </c>
      <c r="E352" s="130" t="s">
        <v>1395</v>
      </c>
      <c r="F352" s="113">
        <f t="shared" si="3"/>
        <v>325.5</v>
      </c>
    </row>
    <row r="353" spans="1:6">
      <c r="A353" s="113"/>
      <c r="B353" s="113" t="s">
        <v>358</v>
      </c>
      <c r="C353" s="130" t="s">
        <v>1236</v>
      </c>
      <c r="D353" s="113">
        <f>Data!I2056</f>
        <v>2.79</v>
      </c>
      <c r="E353" s="130" t="s">
        <v>358</v>
      </c>
      <c r="F353" s="113">
        <v>2.79</v>
      </c>
    </row>
    <row r="354" spans="1:6">
      <c r="A354" s="113"/>
      <c r="B354" s="113"/>
      <c r="C354" s="130" t="s">
        <v>63</v>
      </c>
      <c r="D354" s="113"/>
      <c r="E354" s="130"/>
      <c r="F354" s="113"/>
    </row>
    <row r="355" spans="1:6">
      <c r="A355" s="113"/>
      <c r="B355" s="113"/>
      <c r="C355" s="130" t="s">
        <v>154</v>
      </c>
      <c r="D355" s="113"/>
      <c r="E355" s="130"/>
      <c r="F355" s="113"/>
    </row>
    <row r="356" spans="1:6">
      <c r="A356" s="113"/>
      <c r="B356" s="113"/>
      <c r="C356" s="130" t="s">
        <v>589</v>
      </c>
      <c r="D356" s="113"/>
      <c r="E356" s="130" t="s">
        <v>358</v>
      </c>
      <c r="F356" s="113">
        <v>0.12</v>
      </c>
    </row>
    <row r="357" spans="1:6">
      <c r="A357" s="113"/>
      <c r="B357" s="113"/>
      <c r="C357" s="113"/>
      <c r="D357" s="113"/>
      <c r="E357" s="130"/>
      <c r="F357" s="135" t="s">
        <v>1288</v>
      </c>
    </row>
    <row r="358" spans="1:6">
      <c r="A358" s="113"/>
      <c r="B358" s="113"/>
      <c r="C358" s="130" t="s">
        <v>1072</v>
      </c>
      <c r="D358" s="113"/>
      <c r="E358" s="130"/>
      <c r="F358" s="113">
        <f>SUM(F346:F356)</f>
        <v>2152.66</v>
      </c>
    </row>
    <row r="359" spans="1:6">
      <c r="A359" s="113"/>
      <c r="B359" s="113"/>
      <c r="C359" s="113"/>
      <c r="D359" s="113"/>
      <c r="E359" s="130"/>
      <c r="F359" s="135" t="s">
        <v>1288</v>
      </c>
    </row>
    <row r="360" spans="1:6">
      <c r="A360" s="113"/>
      <c r="B360" s="113"/>
      <c r="C360" s="130" t="s">
        <v>1253</v>
      </c>
      <c r="D360" s="113"/>
      <c r="E360" s="130"/>
      <c r="F360" s="113">
        <f>(F358/3)</f>
        <v>717.55</v>
      </c>
    </row>
    <row r="361" spans="1:6">
      <c r="A361" s="113"/>
      <c r="B361" s="113"/>
      <c r="C361" s="113"/>
      <c r="D361" s="113"/>
      <c r="E361" s="130"/>
      <c r="F361" s="135" t="s">
        <v>1288</v>
      </c>
    </row>
    <row r="362" spans="1:6">
      <c r="A362" s="114" t="s">
        <v>590</v>
      </c>
      <c r="B362" s="113" t="s">
        <v>223</v>
      </c>
      <c r="C362" s="130" t="s">
        <v>591</v>
      </c>
      <c r="D362" s="113"/>
      <c r="E362" s="130"/>
      <c r="F362" s="113"/>
    </row>
    <row r="363" spans="1:6">
      <c r="A363" s="113"/>
      <c r="B363" s="113"/>
      <c r="C363" s="130" t="s">
        <v>3283</v>
      </c>
      <c r="D363" s="113"/>
      <c r="E363" s="130"/>
      <c r="F363" s="113"/>
    </row>
    <row r="364" spans="1:6">
      <c r="A364" s="113"/>
      <c r="B364" s="113"/>
      <c r="C364" s="130" t="s">
        <v>765</v>
      </c>
      <c r="D364" s="113"/>
      <c r="E364" s="130"/>
      <c r="F364" s="113"/>
    </row>
    <row r="365" spans="1:6">
      <c r="A365" s="113"/>
      <c r="B365" s="113"/>
      <c r="C365" s="130" t="s">
        <v>592</v>
      </c>
      <c r="D365" s="113"/>
      <c r="E365" s="130"/>
      <c r="F365" s="113"/>
    </row>
    <row r="366" spans="1:6">
      <c r="A366" s="113"/>
      <c r="B366" s="113"/>
      <c r="C366" s="130" t="s">
        <v>439</v>
      </c>
      <c r="D366" s="113"/>
      <c r="E366" s="130"/>
      <c r="F366" s="113"/>
    </row>
    <row r="367" spans="1:6">
      <c r="A367" s="113"/>
      <c r="B367" s="113"/>
      <c r="C367" s="130" t="s">
        <v>1713</v>
      </c>
      <c r="D367" s="113"/>
      <c r="E367" s="130"/>
      <c r="F367" s="113"/>
    </row>
    <row r="368" spans="1:6">
      <c r="A368" s="113"/>
      <c r="B368" s="113"/>
      <c r="C368" s="130" t="s">
        <v>160</v>
      </c>
      <c r="D368" s="113"/>
      <c r="E368" s="130"/>
      <c r="F368" s="113"/>
    </row>
    <row r="369" spans="1:6">
      <c r="A369" s="113"/>
      <c r="B369" s="113"/>
      <c r="C369" s="135" t="s">
        <v>1288</v>
      </c>
      <c r="D369" s="113"/>
      <c r="E369" s="130"/>
      <c r="F369" s="113"/>
    </row>
    <row r="370" spans="1:6">
      <c r="A370" s="113">
        <v>3</v>
      </c>
      <c r="B370" s="113" t="s">
        <v>1443</v>
      </c>
      <c r="C370" s="130" t="s">
        <v>814</v>
      </c>
      <c r="D370" s="113">
        <f>Data!I2073</f>
        <v>115.85</v>
      </c>
      <c r="E370" s="130" t="s">
        <v>1443</v>
      </c>
      <c r="F370" s="113">
        <f t="shared" ref="F370:F376" si="4">(A370*D370)</f>
        <v>347.55</v>
      </c>
    </row>
    <row r="371" spans="1:6">
      <c r="A371" s="113">
        <v>1</v>
      </c>
      <c r="B371" s="113" t="s">
        <v>619</v>
      </c>
      <c r="C371" s="130" t="s">
        <v>815</v>
      </c>
      <c r="D371" s="113">
        <f>Data!I2074</f>
        <v>45</v>
      </c>
      <c r="E371" s="130" t="s">
        <v>1395</v>
      </c>
      <c r="F371" s="113">
        <f t="shared" si="4"/>
        <v>45</v>
      </c>
    </row>
    <row r="372" spans="1:6">
      <c r="A372" s="113">
        <v>1</v>
      </c>
      <c r="B372" s="113" t="s">
        <v>619</v>
      </c>
      <c r="C372" s="130" t="s">
        <v>816</v>
      </c>
      <c r="D372" s="113">
        <f>Data!I2075</f>
        <v>55.5</v>
      </c>
      <c r="E372" s="130" t="s">
        <v>1395</v>
      </c>
      <c r="F372" s="113">
        <f t="shared" si="4"/>
        <v>55.5</v>
      </c>
    </row>
    <row r="373" spans="1:6">
      <c r="A373" s="113">
        <v>1</v>
      </c>
      <c r="B373" s="113" t="s">
        <v>619</v>
      </c>
      <c r="C373" s="130" t="s">
        <v>64</v>
      </c>
      <c r="D373" s="113">
        <f>Data!I2076</f>
        <v>125.2</v>
      </c>
      <c r="E373" s="130" t="s">
        <v>1395</v>
      </c>
      <c r="F373" s="113">
        <f t="shared" si="4"/>
        <v>125.2</v>
      </c>
    </row>
    <row r="374" spans="1:6">
      <c r="A374" s="113">
        <v>0.5</v>
      </c>
      <c r="B374" s="113" t="s">
        <v>701</v>
      </c>
      <c r="C374" s="130" t="s">
        <v>1711</v>
      </c>
      <c r="D374" s="113">
        <f>Data!I2077</f>
        <v>866</v>
      </c>
      <c r="E374" s="130" t="s">
        <v>1395</v>
      </c>
      <c r="F374" s="113">
        <f t="shared" si="4"/>
        <v>433</v>
      </c>
    </row>
    <row r="375" spans="1:6">
      <c r="A375" s="113">
        <v>0.5</v>
      </c>
      <c r="B375" s="113" t="s">
        <v>701</v>
      </c>
      <c r="C375" s="130" t="s">
        <v>1392</v>
      </c>
      <c r="D375" s="113">
        <f>Data!I2078</f>
        <v>932</v>
      </c>
      <c r="E375" s="130" t="s">
        <v>1395</v>
      </c>
      <c r="F375" s="113">
        <f t="shared" si="4"/>
        <v>466</v>
      </c>
    </row>
    <row r="376" spans="1:6">
      <c r="A376" s="113">
        <v>0.5</v>
      </c>
      <c r="B376" s="113" t="s">
        <v>701</v>
      </c>
      <c r="C376" s="130" t="s">
        <v>1550</v>
      </c>
      <c r="D376" s="113">
        <f>Data!I2079</f>
        <v>651</v>
      </c>
      <c r="E376" s="130" t="s">
        <v>1395</v>
      </c>
      <c r="F376" s="113">
        <f t="shared" si="4"/>
        <v>325.5</v>
      </c>
    </row>
    <row r="377" spans="1:6">
      <c r="A377" s="113"/>
      <c r="B377" s="113" t="s">
        <v>358</v>
      </c>
      <c r="C377" s="130" t="s">
        <v>1236</v>
      </c>
      <c r="D377" s="113" t="str">
        <f>Data!I2080</f>
        <v xml:space="preserve"> </v>
      </c>
      <c r="E377" s="130" t="s">
        <v>358</v>
      </c>
      <c r="F377" s="113">
        <v>2.73</v>
      </c>
    </row>
    <row r="378" spans="1:6">
      <c r="A378" s="113"/>
      <c r="B378" s="113"/>
      <c r="C378" s="130" t="s">
        <v>63</v>
      </c>
      <c r="D378" s="113"/>
      <c r="E378" s="130"/>
      <c r="F378" s="113"/>
    </row>
    <row r="379" spans="1:6">
      <c r="A379" s="113"/>
      <c r="B379" s="113"/>
      <c r="C379" s="130" t="s">
        <v>154</v>
      </c>
      <c r="D379" s="113"/>
      <c r="E379" s="130"/>
      <c r="F379" s="113"/>
    </row>
    <row r="380" spans="1:6">
      <c r="A380" s="113"/>
      <c r="B380" s="113"/>
      <c r="C380" s="130" t="s">
        <v>589</v>
      </c>
      <c r="D380" s="113"/>
      <c r="E380" s="130" t="s">
        <v>358</v>
      </c>
      <c r="F380" s="113">
        <v>0.27</v>
      </c>
    </row>
    <row r="381" spans="1:6">
      <c r="A381" s="113"/>
      <c r="B381" s="113"/>
      <c r="C381" s="113"/>
      <c r="D381" s="113"/>
      <c r="E381" s="130"/>
      <c r="F381" s="135" t="s">
        <v>1288</v>
      </c>
    </row>
    <row r="382" spans="1:6">
      <c r="A382" s="113"/>
      <c r="B382" s="113"/>
      <c r="C382" s="130" t="s">
        <v>1072</v>
      </c>
      <c r="D382" s="113"/>
      <c r="E382" s="130"/>
      <c r="F382" s="113">
        <f>SUM(F370:F380)</f>
        <v>1800.75</v>
      </c>
    </row>
    <row r="383" spans="1:6">
      <c r="A383" s="113"/>
      <c r="B383" s="113"/>
      <c r="C383" s="113"/>
      <c r="D383" s="113"/>
      <c r="E383" s="130"/>
      <c r="F383" s="135" t="s">
        <v>1288</v>
      </c>
    </row>
    <row r="384" spans="1:6">
      <c r="A384" s="113"/>
      <c r="B384" s="113"/>
      <c r="C384" s="130" t="s">
        <v>1253</v>
      </c>
      <c r="D384" s="113"/>
      <c r="E384" s="130"/>
      <c r="F384" s="113">
        <f>(F382/3)</f>
        <v>600.25</v>
      </c>
    </row>
    <row r="385" spans="1:6">
      <c r="A385" s="113"/>
      <c r="B385" s="113"/>
      <c r="C385" s="113"/>
      <c r="D385" s="113"/>
      <c r="E385" s="130"/>
      <c r="F385" s="135" t="s">
        <v>1288</v>
      </c>
    </row>
    <row r="386" spans="1:6">
      <c r="A386" s="137">
        <v>52</v>
      </c>
      <c r="B386" s="113" t="s">
        <v>1833</v>
      </c>
      <c r="C386" s="130" t="s">
        <v>77</v>
      </c>
      <c r="D386" s="113"/>
      <c r="E386" s="130"/>
      <c r="F386" s="113"/>
    </row>
    <row r="387" spans="1:6">
      <c r="A387" s="113"/>
      <c r="B387" s="113"/>
      <c r="C387" s="130" t="s">
        <v>1765</v>
      </c>
      <c r="D387" s="113"/>
      <c r="E387" s="130"/>
      <c r="F387" s="113"/>
    </row>
    <row r="388" spans="1:6">
      <c r="A388" s="113"/>
      <c r="B388" s="113"/>
      <c r="C388" s="130" t="s">
        <v>1766</v>
      </c>
      <c r="D388" s="113"/>
      <c r="E388" s="130"/>
      <c r="F388" s="113"/>
    </row>
    <row r="389" spans="1:6">
      <c r="A389" s="113"/>
      <c r="B389" s="113"/>
      <c r="C389" s="130" t="s">
        <v>1142</v>
      </c>
      <c r="D389" s="113"/>
      <c r="E389" s="130"/>
      <c r="F389" s="113"/>
    </row>
    <row r="390" spans="1:6">
      <c r="A390" s="113"/>
      <c r="B390" s="113"/>
      <c r="C390" s="130" t="s">
        <v>1143</v>
      </c>
      <c r="D390" s="113"/>
      <c r="E390" s="130"/>
      <c r="F390" s="113"/>
    </row>
    <row r="391" spans="1:6">
      <c r="A391" s="113"/>
      <c r="B391" s="113"/>
      <c r="C391" s="130" t="s">
        <v>1098</v>
      </c>
      <c r="D391" s="113"/>
      <c r="E391" s="130"/>
      <c r="F391" s="113"/>
    </row>
    <row r="392" spans="1:6">
      <c r="A392" s="113"/>
      <c r="B392" s="113"/>
      <c r="C392" s="130" t="s">
        <v>1099</v>
      </c>
      <c r="D392" s="113"/>
      <c r="E392" s="130"/>
      <c r="F392" s="113"/>
    </row>
    <row r="393" spans="1:6">
      <c r="A393" s="113"/>
      <c r="B393" s="113"/>
      <c r="C393" s="130" t="s">
        <v>567</v>
      </c>
      <c r="D393" s="113"/>
      <c r="E393" s="130"/>
      <c r="F393" s="113"/>
    </row>
    <row r="394" spans="1:6">
      <c r="A394" s="113"/>
      <c r="B394" s="113"/>
      <c r="C394" s="135" t="s">
        <v>1676</v>
      </c>
      <c r="D394" s="135" t="s">
        <v>1676</v>
      </c>
      <c r="E394" s="130"/>
      <c r="F394" s="113"/>
    </row>
    <row r="395" spans="1:6">
      <c r="A395" s="113"/>
      <c r="B395" s="113" t="s">
        <v>1833</v>
      </c>
      <c r="C395" s="130" t="s">
        <v>739</v>
      </c>
      <c r="D395" s="113"/>
      <c r="E395" s="130"/>
      <c r="F395" s="113"/>
    </row>
    <row r="396" spans="1:6">
      <c r="A396" s="113"/>
      <c r="B396" s="113"/>
      <c r="C396" s="130" t="s">
        <v>651</v>
      </c>
      <c r="D396" s="113"/>
      <c r="E396" s="130"/>
      <c r="F396" s="113"/>
    </row>
    <row r="397" spans="1:6">
      <c r="A397" s="113"/>
      <c r="B397" s="113" t="s">
        <v>419</v>
      </c>
      <c r="C397" s="130" t="s">
        <v>596</v>
      </c>
      <c r="D397" s="113"/>
      <c r="E397" s="130"/>
      <c r="F397" s="113"/>
    </row>
    <row r="398" spans="1:6">
      <c r="A398" s="113"/>
      <c r="B398" s="113"/>
      <c r="C398" s="135" t="s">
        <v>1288</v>
      </c>
      <c r="D398" s="113"/>
      <c r="E398" s="130"/>
      <c r="F398" s="113"/>
    </row>
    <row r="399" spans="1:6">
      <c r="A399" s="113">
        <v>1</v>
      </c>
      <c r="B399" s="113" t="s">
        <v>669</v>
      </c>
      <c r="C399" s="130" t="s">
        <v>597</v>
      </c>
      <c r="D399" s="113">
        <f>Data!I1878</f>
        <v>35</v>
      </c>
      <c r="E399" s="130" t="s">
        <v>669</v>
      </c>
      <c r="F399" s="113">
        <f>(A399*D399)</f>
        <v>35</v>
      </c>
    </row>
    <row r="400" spans="1:6">
      <c r="A400" s="113">
        <v>1</v>
      </c>
      <c r="B400" s="113" t="s">
        <v>358</v>
      </c>
      <c r="C400" s="130" t="s">
        <v>723</v>
      </c>
      <c r="D400" s="113">
        <f>Data!I1879</f>
        <v>14</v>
      </c>
      <c r="E400" s="130" t="s">
        <v>358</v>
      </c>
      <c r="F400" s="113">
        <f>(A400*D400)</f>
        <v>14</v>
      </c>
    </row>
    <row r="401" spans="1:6">
      <c r="A401" s="113">
        <v>1</v>
      </c>
      <c r="B401" s="113" t="s">
        <v>669</v>
      </c>
      <c r="C401" s="130" t="s">
        <v>132</v>
      </c>
      <c r="D401" s="113">
        <f>Data!I1880</f>
        <v>185.4</v>
      </c>
      <c r="E401" s="130" t="s">
        <v>669</v>
      </c>
      <c r="F401" s="113">
        <f>(A401*D401)</f>
        <v>185.4</v>
      </c>
    </row>
    <row r="402" spans="1:6">
      <c r="A402" s="113"/>
      <c r="B402" s="113"/>
      <c r="C402" s="113"/>
      <c r="D402" s="113" t="str">
        <f>Data!I1881</f>
        <v xml:space="preserve"> </v>
      </c>
      <c r="E402" s="130"/>
      <c r="F402" s="135" t="s">
        <v>1288</v>
      </c>
    </row>
    <row r="403" spans="1:6">
      <c r="A403" s="113"/>
      <c r="B403" s="113"/>
      <c r="C403" s="130" t="s">
        <v>298</v>
      </c>
      <c r="D403" s="113"/>
      <c r="E403" s="130"/>
      <c r="F403" s="127">
        <f>SUM(F399:F401)</f>
        <v>234.4</v>
      </c>
    </row>
    <row r="404" spans="1:6">
      <c r="A404" s="113"/>
      <c r="B404" s="113"/>
      <c r="C404" s="113"/>
      <c r="D404" s="130" t="s">
        <v>790</v>
      </c>
      <c r="E404" s="130"/>
      <c r="F404" s="135" t="s">
        <v>1676</v>
      </c>
    </row>
    <row r="405" spans="1:6">
      <c r="A405" s="113"/>
      <c r="B405" s="113" t="s">
        <v>1552</v>
      </c>
      <c r="C405" s="130" t="s">
        <v>296</v>
      </c>
      <c r="D405" s="113"/>
      <c r="E405" s="130"/>
      <c r="F405" s="113"/>
    </row>
    <row r="406" spans="1:6">
      <c r="A406" s="113"/>
      <c r="B406" s="113"/>
      <c r="C406" s="135" t="s">
        <v>1288</v>
      </c>
      <c r="D406" s="113"/>
      <c r="E406" s="130"/>
      <c r="F406" s="113"/>
    </row>
    <row r="407" spans="1:6">
      <c r="A407" s="113">
        <v>1</v>
      </c>
      <c r="B407" s="113" t="s">
        <v>669</v>
      </c>
      <c r="C407" s="130" t="s">
        <v>1364</v>
      </c>
      <c r="D407" s="113">
        <f>Data!I1886</f>
        <v>52</v>
      </c>
      <c r="E407" s="130" t="s">
        <v>669</v>
      </c>
      <c r="F407" s="113">
        <f>(A407*D407)</f>
        <v>52</v>
      </c>
    </row>
    <row r="408" spans="1:6">
      <c r="A408" s="113">
        <v>1</v>
      </c>
      <c r="B408" s="113" t="s">
        <v>358</v>
      </c>
      <c r="C408" s="130" t="s">
        <v>1365</v>
      </c>
      <c r="D408" s="113">
        <f>Data!I1887</f>
        <v>10.4</v>
      </c>
      <c r="E408" s="130" t="s">
        <v>358</v>
      </c>
      <c r="F408" s="113">
        <f>(A408*D408)</f>
        <v>10.4</v>
      </c>
    </row>
    <row r="409" spans="1:6">
      <c r="A409" s="113">
        <v>1</v>
      </c>
      <c r="B409" s="113" t="s">
        <v>669</v>
      </c>
      <c r="C409" s="130" t="s">
        <v>132</v>
      </c>
      <c r="D409" s="113">
        <f>Data!I1888</f>
        <v>189.61</v>
      </c>
      <c r="E409" s="130" t="s">
        <v>669</v>
      </c>
      <c r="F409" s="113">
        <f>(A409*D409)</f>
        <v>189.61</v>
      </c>
    </row>
    <row r="410" spans="1:6">
      <c r="A410" s="113"/>
      <c r="B410" s="113"/>
      <c r="C410" s="113"/>
      <c r="D410" s="113" t="str">
        <f>Data!I1889</f>
        <v xml:space="preserve"> </v>
      </c>
      <c r="E410" s="130"/>
      <c r="F410" s="135" t="s">
        <v>1288</v>
      </c>
    </row>
    <row r="411" spans="1:6">
      <c r="A411" s="113"/>
      <c r="B411" s="113"/>
      <c r="C411" s="130" t="s">
        <v>298</v>
      </c>
      <c r="D411" s="113"/>
      <c r="E411" s="130"/>
      <c r="F411" s="127">
        <f>SUM(F407:F409)</f>
        <v>252.01</v>
      </c>
    </row>
    <row r="412" spans="1:6">
      <c r="A412" s="113"/>
      <c r="B412" s="113"/>
      <c r="C412" s="113"/>
      <c r="D412" s="130" t="s">
        <v>790</v>
      </c>
      <c r="E412" s="130"/>
      <c r="F412" s="135" t="s">
        <v>1676</v>
      </c>
    </row>
    <row r="413" spans="1:6">
      <c r="A413" s="113"/>
      <c r="B413" s="113"/>
      <c r="C413" s="127" t="s">
        <v>172</v>
      </c>
      <c r="D413" s="113"/>
      <c r="E413" s="130"/>
      <c r="F413" s="113"/>
    </row>
    <row r="414" spans="1:6">
      <c r="A414" s="113"/>
      <c r="B414" s="113"/>
      <c r="C414" s="113"/>
      <c r="D414" s="113"/>
      <c r="E414" s="130"/>
      <c r="F414" s="113"/>
    </row>
    <row r="415" spans="1:6">
      <c r="A415" s="130" t="s">
        <v>173</v>
      </c>
      <c r="B415" s="130"/>
      <c r="C415" s="130"/>
      <c r="D415" s="113">
        <v>15.21</v>
      </c>
      <c r="E415" s="130" t="s">
        <v>283</v>
      </c>
      <c r="F415" s="113"/>
    </row>
    <row r="416" spans="1:6">
      <c r="A416" s="113" t="s">
        <v>174</v>
      </c>
      <c r="B416" s="113"/>
      <c r="C416" s="113"/>
      <c r="D416" s="113">
        <v>22.61</v>
      </c>
      <c r="E416" s="130" t="s">
        <v>283</v>
      </c>
      <c r="F416" s="113"/>
    </row>
    <row r="417" spans="1:6">
      <c r="A417" s="113" t="s">
        <v>410</v>
      </c>
      <c r="B417" s="113"/>
      <c r="C417" s="113"/>
      <c r="D417" s="113">
        <v>3.24</v>
      </c>
      <c r="E417" s="130" t="s">
        <v>283</v>
      </c>
      <c r="F417" s="113"/>
    </row>
    <row r="418" spans="1:6">
      <c r="A418" s="113" t="s">
        <v>411</v>
      </c>
      <c r="B418" s="113"/>
      <c r="C418" s="113"/>
      <c r="D418" s="113">
        <v>2.16</v>
      </c>
      <c r="E418" s="130" t="s">
        <v>283</v>
      </c>
      <c r="F418" s="113"/>
    </row>
    <row r="419" spans="1:6">
      <c r="A419" s="113"/>
      <c r="B419" s="113"/>
      <c r="C419" s="113"/>
      <c r="D419" s="113"/>
      <c r="E419" s="130"/>
      <c r="F419" s="113"/>
    </row>
    <row r="420" spans="1:6">
      <c r="A420" s="113"/>
      <c r="B420" s="113"/>
      <c r="C420" s="113"/>
      <c r="D420" s="139" t="s">
        <v>119</v>
      </c>
      <c r="E420" s="130"/>
      <c r="F420" s="113"/>
    </row>
    <row r="421" spans="1:6">
      <c r="A421" s="113"/>
      <c r="B421" s="113"/>
      <c r="C421" s="113"/>
      <c r="D421" s="113">
        <f>SUM(D415:D419)</f>
        <v>43.22</v>
      </c>
      <c r="E421" s="130"/>
      <c r="F421" s="113"/>
    </row>
    <row r="422" spans="1:6">
      <c r="A422" s="113"/>
      <c r="B422" s="113"/>
      <c r="C422" s="113"/>
      <c r="D422" s="113" t="s">
        <v>1374</v>
      </c>
      <c r="E422" s="130"/>
      <c r="F422" s="113"/>
    </row>
    <row r="423" spans="1:6">
      <c r="A423" s="113"/>
      <c r="B423" s="113"/>
      <c r="C423" s="113"/>
      <c r="D423" s="113"/>
      <c r="E423" s="130"/>
      <c r="F423" s="113"/>
    </row>
    <row r="424" spans="1:6">
      <c r="A424" s="113"/>
      <c r="B424" s="113"/>
      <c r="C424" s="113"/>
      <c r="D424" s="113"/>
      <c r="E424" s="130"/>
      <c r="F424" s="113"/>
    </row>
    <row r="425" spans="1:6">
      <c r="A425" s="113">
        <v>43.22</v>
      </c>
      <c r="B425" s="113" t="s">
        <v>1341</v>
      </c>
      <c r="C425" s="113" t="s">
        <v>412</v>
      </c>
      <c r="D425" s="113">
        <f>Data!I2466</f>
        <v>70.150000000000006</v>
      </c>
      <c r="E425" s="130" t="s">
        <v>1341</v>
      </c>
      <c r="F425" s="113">
        <f>D425*A425</f>
        <v>3031.88</v>
      </c>
    </row>
    <row r="426" spans="1:6">
      <c r="A426" s="113">
        <v>0.81</v>
      </c>
      <c r="B426" s="113" t="s">
        <v>1861</v>
      </c>
      <c r="C426" s="113" t="s">
        <v>1729</v>
      </c>
      <c r="D426" s="113">
        <f>Data!I2467</f>
        <v>379.9</v>
      </c>
      <c r="E426" s="130" t="s">
        <v>1861</v>
      </c>
      <c r="F426" s="113">
        <f>D426*A426</f>
        <v>307.72000000000003</v>
      </c>
    </row>
    <row r="427" spans="1:6">
      <c r="A427" s="113">
        <v>0.81</v>
      </c>
      <c r="B427" s="113" t="s">
        <v>1861</v>
      </c>
      <c r="C427" s="113" t="s">
        <v>1586</v>
      </c>
      <c r="D427" s="113">
        <f>Data!I2468</f>
        <v>116.55</v>
      </c>
      <c r="E427" s="130" t="s">
        <v>1861</v>
      </c>
      <c r="F427" s="113">
        <f>D427*A427</f>
        <v>94.41</v>
      </c>
    </row>
    <row r="428" spans="1:6">
      <c r="A428" s="113"/>
      <c r="B428" s="113"/>
      <c r="C428" s="113" t="s">
        <v>414</v>
      </c>
      <c r="D428" s="113">
        <f>Data!I2469</f>
        <v>46.61</v>
      </c>
      <c r="E428" s="130" t="s">
        <v>358</v>
      </c>
      <c r="F428" s="113">
        <f>D428</f>
        <v>46.61</v>
      </c>
    </row>
    <row r="429" spans="1:6">
      <c r="A429" s="113"/>
      <c r="B429" s="113"/>
      <c r="C429" s="113"/>
      <c r="D429" s="113"/>
      <c r="E429" s="130"/>
      <c r="F429" s="139" t="s">
        <v>119</v>
      </c>
    </row>
    <row r="430" spans="1:6">
      <c r="A430" s="113"/>
      <c r="B430" s="113"/>
      <c r="C430" s="127" t="s">
        <v>415</v>
      </c>
      <c r="D430" s="113"/>
      <c r="E430" s="130"/>
      <c r="F430" s="127">
        <f>SUM(F425:F428)</f>
        <v>3480.62</v>
      </c>
    </row>
    <row r="431" spans="1:6">
      <c r="A431" s="113"/>
      <c r="B431" s="113"/>
      <c r="C431" s="113">
        <f>0.6*1.35</f>
        <v>0.81</v>
      </c>
      <c r="D431" s="113"/>
      <c r="E431" s="130"/>
      <c r="F431" s="139" t="s">
        <v>119</v>
      </c>
    </row>
    <row r="432" spans="1:6">
      <c r="A432" s="113"/>
      <c r="B432" s="113"/>
      <c r="C432" s="127" t="s">
        <v>409</v>
      </c>
      <c r="D432" s="113"/>
      <c r="E432" s="130"/>
      <c r="F432" s="127">
        <f>F430/C431</f>
        <v>4297.0600000000004</v>
      </c>
    </row>
    <row r="433" spans="1:6">
      <c r="A433" s="113"/>
      <c r="B433" s="113"/>
      <c r="C433" s="113"/>
      <c r="D433" s="113"/>
      <c r="E433" s="130"/>
      <c r="F433" s="113"/>
    </row>
    <row r="434" spans="1:6">
      <c r="A434" s="130" t="s">
        <v>1741</v>
      </c>
      <c r="B434" s="130"/>
      <c r="C434" s="130"/>
      <c r="D434" s="113">
        <v>11.78</v>
      </c>
      <c r="E434" s="130" t="s">
        <v>283</v>
      </c>
      <c r="F434" s="113"/>
    </row>
    <row r="435" spans="1:6">
      <c r="A435" s="113" t="s">
        <v>1097</v>
      </c>
      <c r="B435" s="113"/>
      <c r="C435" s="113"/>
      <c r="D435" s="113">
        <v>15.07</v>
      </c>
      <c r="E435" s="130" t="s">
        <v>283</v>
      </c>
      <c r="F435" s="113"/>
    </row>
    <row r="436" spans="1:6">
      <c r="A436" s="113" t="s">
        <v>1659</v>
      </c>
      <c r="B436" s="113"/>
      <c r="C436" s="113"/>
      <c r="D436" s="113">
        <v>2.16</v>
      </c>
      <c r="E436" s="130" t="s">
        <v>283</v>
      </c>
      <c r="F436" s="113"/>
    </row>
    <row r="437" spans="1:6">
      <c r="A437" s="113" t="s">
        <v>411</v>
      </c>
      <c r="B437" s="113"/>
      <c r="C437" s="113"/>
      <c r="D437" s="113">
        <v>2.16</v>
      </c>
      <c r="E437" s="130" t="s">
        <v>283</v>
      </c>
      <c r="F437" s="113"/>
    </row>
    <row r="438" spans="1:6">
      <c r="A438" s="113" t="s">
        <v>440</v>
      </c>
      <c r="B438" s="113"/>
      <c r="C438" s="113"/>
      <c r="D438" s="113">
        <f>1.91-0.08</f>
        <v>1.83</v>
      </c>
      <c r="E438" s="130"/>
      <c r="F438" s="113"/>
    </row>
    <row r="439" spans="1:6">
      <c r="A439" s="113"/>
      <c r="B439" s="113"/>
      <c r="C439" s="113"/>
      <c r="D439" s="139" t="s">
        <v>711</v>
      </c>
      <c r="E439" s="130"/>
      <c r="F439" s="113"/>
    </row>
    <row r="440" spans="1:6">
      <c r="A440" s="113"/>
      <c r="B440" s="113"/>
      <c r="C440" s="113"/>
      <c r="D440" s="127">
        <f>SUM(D434:D438)</f>
        <v>33</v>
      </c>
      <c r="E440" s="130" t="s">
        <v>283</v>
      </c>
      <c r="F440" s="113"/>
    </row>
    <row r="441" spans="1:6">
      <c r="A441" s="113"/>
      <c r="B441" s="113"/>
      <c r="C441" s="113"/>
      <c r="D441" s="139" t="s">
        <v>711</v>
      </c>
      <c r="E441" s="130"/>
      <c r="F441" s="113"/>
    </row>
    <row r="442" spans="1:6">
      <c r="A442" s="113"/>
      <c r="B442" s="113"/>
      <c r="C442" s="113"/>
      <c r="D442" s="113"/>
      <c r="E442" s="130"/>
      <c r="F442" s="113"/>
    </row>
    <row r="443" spans="1:6">
      <c r="A443" s="113"/>
      <c r="B443" s="113"/>
      <c r="C443" s="113"/>
      <c r="D443" s="113"/>
      <c r="E443" s="130"/>
      <c r="F443" s="113"/>
    </row>
    <row r="444" spans="1:6">
      <c r="A444" s="113">
        <f>D440</f>
        <v>33</v>
      </c>
      <c r="B444" s="113" t="s">
        <v>1341</v>
      </c>
      <c r="C444" s="113" t="s">
        <v>412</v>
      </c>
      <c r="D444" s="113">
        <f>D425</f>
        <v>70.150000000000006</v>
      </c>
      <c r="E444" s="130" t="s">
        <v>1341</v>
      </c>
      <c r="F444" s="113">
        <f>D444*A444</f>
        <v>2314.9499999999998</v>
      </c>
    </row>
    <row r="445" spans="1:6">
      <c r="A445" s="113">
        <v>0.54</v>
      </c>
      <c r="B445" s="113" t="s">
        <v>1861</v>
      </c>
      <c r="C445" s="113" t="s">
        <v>1729</v>
      </c>
      <c r="D445" s="113">
        <f>D426</f>
        <v>379.9</v>
      </c>
      <c r="E445" s="130" t="s">
        <v>1861</v>
      </c>
      <c r="F445" s="113">
        <f>D445*A445</f>
        <v>205.15</v>
      </c>
    </row>
    <row r="446" spans="1:6">
      <c r="A446" s="113">
        <v>0.54</v>
      </c>
      <c r="B446" s="113" t="s">
        <v>1861</v>
      </c>
      <c r="C446" s="113" t="str">
        <f>C427</f>
        <v>Fly proof  Mesh</v>
      </c>
      <c r="D446" s="113">
        <f>D427</f>
        <v>116.55</v>
      </c>
      <c r="E446" s="130" t="s">
        <v>1861</v>
      </c>
      <c r="F446" s="113">
        <f>D446*A446</f>
        <v>62.94</v>
      </c>
    </row>
    <row r="447" spans="1:6">
      <c r="A447" s="113"/>
      <c r="B447" s="113"/>
      <c r="C447" s="113" t="s">
        <v>414</v>
      </c>
      <c r="D447" s="113">
        <v>53.5</v>
      </c>
      <c r="E447" s="130" t="s">
        <v>358</v>
      </c>
      <c r="F447" s="113">
        <v>52.8</v>
      </c>
    </row>
    <row r="448" spans="1:6">
      <c r="A448" s="113"/>
      <c r="B448" s="113"/>
      <c r="C448" s="113"/>
      <c r="D448" s="113"/>
      <c r="E448" s="130"/>
      <c r="F448" s="139" t="s">
        <v>119</v>
      </c>
    </row>
    <row r="449" spans="1:6">
      <c r="A449" s="113"/>
      <c r="B449" s="113"/>
      <c r="C449" s="127" t="s">
        <v>415</v>
      </c>
      <c r="D449" s="113"/>
      <c r="E449" s="130"/>
      <c r="F449" s="127">
        <f>SUM(F444:F447)</f>
        <v>2635.84</v>
      </c>
    </row>
    <row r="450" spans="1:6">
      <c r="A450" s="113"/>
      <c r="B450" s="113"/>
      <c r="C450" s="113"/>
      <c r="D450" s="113"/>
      <c r="E450" s="130"/>
      <c r="F450" s="139" t="s">
        <v>119</v>
      </c>
    </row>
    <row r="451" spans="1:6">
      <c r="A451" s="113"/>
      <c r="B451" s="113"/>
      <c r="C451" s="113"/>
      <c r="D451" s="127" t="s">
        <v>1957</v>
      </c>
      <c r="E451" s="130"/>
      <c r="F451" s="127">
        <f>F449/0.54</f>
        <v>4881.1899999999996</v>
      </c>
    </row>
    <row r="452" spans="1:6">
      <c r="A452" s="113"/>
      <c r="B452" s="113"/>
      <c r="C452" s="113"/>
      <c r="D452" s="113"/>
      <c r="E452" s="130"/>
      <c r="F452" s="113"/>
    </row>
    <row r="453" spans="1:6">
      <c r="A453" s="113"/>
      <c r="B453" s="113"/>
      <c r="C453" s="113"/>
      <c r="D453" s="113"/>
      <c r="E453" s="130"/>
      <c r="F453" s="113"/>
    </row>
    <row r="454" spans="1:6">
      <c r="A454" s="113"/>
      <c r="B454" s="113"/>
      <c r="C454" s="127" t="s">
        <v>1621</v>
      </c>
      <c r="D454" s="113"/>
      <c r="E454" s="130"/>
      <c r="F454" s="113"/>
    </row>
    <row r="455" spans="1:6">
      <c r="A455" s="113"/>
      <c r="B455" s="113"/>
      <c r="C455" s="113"/>
      <c r="D455" s="113"/>
      <c r="E455" s="130"/>
      <c r="F455" s="113"/>
    </row>
    <row r="456" spans="1:6">
      <c r="A456" s="130" t="s">
        <v>1483</v>
      </c>
      <c r="B456" s="130"/>
      <c r="C456" s="130"/>
      <c r="D456" s="113">
        <v>9.42</v>
      </c>
      <c r="E456" s="130" t="s">
        <v>283</v>
      </c>
      <c r="F456" s="130"/>
    </row>
    <row r="457" spans="1:6">
      <c r="A457" s="113" t="s">
        <v>1484</v>
      </c>
      <c r="B457" s="113"/>
      <c r="C457" s="113"/>
      <c r="D457" s="113">
        <v>9.42</v>
      </c>
      <c r="E457" s="130" t="s">
        <v>283</v>
      </c>
      <c r="F457" s="130"/>
    </row>
    <row r="458" spans="1:6">
      <c r="A458" s="113" t="s">
        <v>52</v>
      </c>
      <c r="B458" s="113"/>
      <c r="C458" s="113"/>
      <c r="D458" s="113">
        <v>1.44</v>
      </c>
      <c r="E458" s="130" t="s">
        <v>283</v>
      </c>
      <c r="F458" s="130"/>
    </row>
    <row r="459" spans="1:6">
      <c r="A459" s="113" t="s">
        <v>411</v>
      </c>
      <c r="B459" s="113"/>
      <c r="C459" s="113"/>
      <c r="D459" s="113">
        <v>2.16</v>
      </c>
      <c r="E459" s="130" t="s">
        <v>283</v>
      </c>
      <c r="F459" s="130"/>
    </row>
    <row r="460" spans="1:6">
      <c r="A460" s="113" t="s">
        <v>440</v>
      </c>
      <c r="B460" s="113"/>
      <c r="C460" s="113"/>
      <c r="D460" s="113">
        <v>1.56</v>
      </c>
      <c r="E460" s="130"/>
      <c r="F460" s="130"/>
    </row>
    <row r="461" spans="1:6">
      <c r="A461" s="113"/>
      <c r="B461" s="113"/>
      <c r="C461" s="113"/>
      <c r="D461" s="139" t="s">
        <v>711</v>
      </c>
      <c r="E461" s="130"/>
      <c r="F461" s="130"/>
    </row>
    <row r="462" spans="1:6">
      <c r="A462" s="113"/>
      <c r="B462" s="113"/>
      <c r="C462" s="113"/>
      <c r="D462" s="113">
        <f>SUM(D456:D460)</f>
        <v>24</v>
      </c>
      <c r="E462" s="130" t="s">
        <v>283</v>
      </c>
      <c r="F462" s="130"/>
    </row>
    <row r="463" spans="1:6">
      <c r="A463" s="113"/>
      <c r="B463" s="113"/>
      <c r="C463" s="113"/>
      <c r="D463" s="139" t="s">
        <v>711</v>
      </c>
      <c r="E463" s="130"/>
      <c r="F463" s="113"/>
    </row>
    <row r="464" spans="1:6">
      <c r="A464" s="113"/>
      <c r="B464" s="113"/>
      <c r="C464" s="113"/>
      <c r="D464" s="113"/>
      <c r="E464" s="130"/>
      <c r="F464" s="113"/>
    </row>
    <row r="465" spans="1:6">
      <c r="A465" s="113"/>
      <c r="B465" s="113"/>
      <c r="C465" s="113"/>
      <c r="D465" s="113"/>
      <c r="E465" s="130"/>
      <c r="F465" s="113"/>
    </row>
    <row r="466" spans="1:6">
      <c r="A466" s="113">
        <v>24</v>
      </c>
      <c r="B466" s="113" t="s">
        <v>1341</v>
      </c>
      <c r="C466" s="113" t="s">
        <v>412</v>
      </c>
      <c r="D466" s="113">
        <f>D444</f>
        <v>70.150000000000006</v>
      </c>
      <c r="E466" s="130" t="s">
        <v>1341</v>
      </c>
      <c r="F466" s="113">
        <f>D466*A466</f>
        <v>1683.6</v>
      </c>
    </row>
    <row r="467" spans="1:6">
      <c r="A467" s="113">
        <v>0.36</v>
      </c>
      <c r="B467" s="113" t="s">
        <v>1861</v>
      </c>
      <c r="C467" s="113" t="s">
        <v>1729</v>
      </c>
      <c r="D467" s="113">
        <f>D445</f>
        <v>379.9</v>
      </c>
      <c r="E467" s="130" t="s">
        <v>1861</v>
      </c>
      <c r="F467" s="113">
        <f>D467*A467</f>
        <v>136.76</v>
      </c>
    </row>
    <row r="468" spans="1:6">
      <c r="A468" s="113">
        <v>0.36</v>
      </c>
      <c r="B468" s="113" t="s">
        <v>1861</v>
      </c>
      <c r="C468" s="113" t="s">
        <v>413</v>
      </c>
      <c r="D468" s="113">
        <f>Data!I2509</f>
        <v>40.65</v>
      </c>
      <c r="E468" s="130" t="s">
        <v>1861</v>
      </c>
      <c r="F468" s="113">
        <f>D468*A468</f>
        <v>14.63</v>
      </c>
    </row>
    <row r="469" spans="1:6">
      <c r="A469" s="113"/>
      <c r="B469" s="113"/>
      <c r="C469" s="113" t="s">
        <v>463</v>
      </c>
      <c r="D469" s="113">
        <v>28.34</v>
      </c>
      <c r="E469" s="130" t="s">
        <v>358</v>
      </c>
      <c r="F469" s="113">
        <f>28.14</f>
        <v>28.14</v>
      </c>
    </row>
    <row r="470" spans="1:6">
      <c r="A470" s="113"/>
      <c r="B470" s="113"/>
      <c r="C470" s="113"/>
      <c r="D470" s="113"/>
      <c r="E470" s="130"/>
      <c r="F470" s="139" t="s">
        <v>119</v>
      </c>
    </row>
    <row r="471" spans="1:6">
      <c r="A471" s="113"/>
      <c r="B471" s="113"/>
      <c r="C471" s="127" t="s">
        <v>415</v>
      </c>
      <c r="D471" s="113"/>
      <c r="E471" s="130"/>
      <c r="F471" s="127">
        <f>SUM(F466:F469)</f>
        <v>1863.13</v>
      </c>
    </row>
    <row r="472" spans="1:6">
      <c r="A472" s="113"/>
      <c r="B472" s="113"/>
      <c r="C472" s="113"/>
      <c r="D472" s="113"/>
      <c r="E472" s="130"/>
      <c r="F472" s="139" t="s">
        <v>119</v>
      </c>
    </row>
    <row r="473" spans="1:6">
      <c r="A473" s="113"/>
      <c r="B473" s="113"/>
      <c r="C473" s="113"/>
      <c r="D473" s="113"/>
      <c r="E473" s="130"/>
      <c r="F473" s="113">
        <f>0.6*0.6</f>
        <v>0.36</v>
      </c>
    </row>
    <row r="474" spans="1:6">
      <c r="A474" s="113"/>
      <c r="B474" s="113"/>
      <c r="C474" s="127"/>
      <c r="D474" s="113"/>
      <c r="E474" s="130"/>
      <c r="F474" s="127">
        <f>F471/F473</f>
        <v>5175.3599999999997</v>
      </c>
    </row>
    <row r="475" spans="1:6">
      <c r="A475" s="114" t="s">
        <v>1459</v>
      </c>
      <c r="B475" s="113" t="s">
        <v>1833</v>
      </c>
      <c r="C475" s="130" t="s">
        <v>1215</v>
      </c>
      <c r="D475" s="113"/>
      <c r="E475" s="130"/>
      <c r="F475" s="113"/>
    </row>
    <row r="476" spans="1:6">
      <c r="A476" s="113"/>
      <c r="B476" s="113"/>
      <c r="C476" s="130" t="s">
        <v>130</v>
      </c>
      <c r="D476" s="113"/>
      <c r="E476" s="130"/>
      <c r="F476" s="113"/>
    </row>
    <row r="477" spans="1:6">
      <c r="A477" s="113"/>
      <c r="B477" s="113"/>
      <c r="C477" s="135" t="s">
        <v>1288</v>
      </c>
      <c r="D477" s="113"/>
      <c r="E477" s="130"/>
      <c r="F477" s="113"/>
    </row>
    <row r="478" spans="1:6">
      <c r="A478" s="113">
        <v>1</v>
      </c>
      <c r="B478" s="113" t="s">
        <v>1341</v>
      </c>
      <c r="C478" s="130" t="s">
        <v>2992</v>
      </c>
      <c r="D478" s="113">
        <f>Data!I1191</f>
        <v>69.599999999999994</v>
      </c>
      <c r="E478" s="130" t="s">
        <v>1341</v>
      </c>
      <c r="F478" s="127">
        <f>(A478*D478)</f>
        <v>69.599999999999994</v>
      </c>
    </row>
    <row r="479" spans="1:6">
      <c r="A479" s="113"/>
      <c r="B479" s="113"/>
      <c r="C479" s="113"/>
      <c r="D479" s="113"/>
      <c r="E479" s="130"/>
      <c r="F479" s="135" t="s">
        <v>1676</v>
      </c>
    </row>
    <row r="480" spans="1:6">
      <c r="A480" s="137">
        <v>41</v>
      </c>
      <c r="B480" s="113" t="s">
        <v>1833</v>
      </c>
      <c r="C480" s="130" t="s">
        <v>1118</v>
      </c>
      <c r="D480" s="113"/>
      <c r="E480" s="130"/>
      <c r="F480" s="113"/>
    </row>
    <row r="481" spans="1:6">
      <c r="A481" s="113"/>
      <c r="B481" s="113"/>
      <c r="C481" s="130" t="s">
        <v>851</v>
      </c>
      <c r="D481" s="113"/>
      <c r="E481" s="130"/>
      <c r="F481" s="113"/>
    </row>
    <row r="482" spans="1:6">
      <c r="A482" s="113"/>
      <c r="B482" s="113"/>
      <c r="C482" s="130" t="s">
        <v>1007</v>
      </c>
      <c r="D482" s="113"/>
      <c r="E482" s="130"/>
      <c r="F482" s="113"/>
    </row>
    <row r="483" spans="1:6">
      <c r="A483" s="113"/>
      <c r="B483" s="113"/>
      <c r="C483" s="135" t="s">
        <v>1288</v>
      </c>
      <c r="D483" s="113"/>
      <c r="E483" s="130"/>
      <c r="F483" s="113"/>
    </row>
    <row r="484" spans="1:6">
      <c r="A484" s="113">
        <v>2.2200000000000002</v>
      </c>
      <c r="B484" s="113" t="s">
        <v>1008</v>
      </c>
      <c r="C484" s="130" t="s">
        <v>961</v>
      </c>
      <c r="D484" s="113">
        <f>Data!I1547</f>
        <v>227.6</v>
      </c>
      <c r="E484" s="130" t="s">
        <v>1008</v>
      </c>
      <c r="F484" s="113">
        <f>(A484*D484)</f>
        <v>505.27</v>
      </c>
    </row>
    <row r="485" spans="1:6">
      <c r="A485" s="113">
        <v>1.1000000000000001</v>
      </c>
      <c r="B485" s="113" t="s">
        <v>619</v>
      </c>
      <c r="C485" s="130" t="s">
        <v>960</v>
      </c>
      <c r="D485" s="113">
        <f>Data!I1548</f>
        <v>797</v>
      </c>
      <c r="E485" s="130" t="s">
        <v>619</v>
      </c>
      <c r="F485" s="113">
        <f>(A485*D485)</f>
        <v>876.7</v>
      </c>
    </row>
    <row r="486" spans="1:6">
      <c r="A486" s="113"/>
      <c r="B486" s="113" t="s">
        <v>358</v>
      </c>
      <c r="C486" s="130" t="s">
        <v>962</v>
      </c>
      <c r="D486" s="113" t="str">
        <f>Data!I1549</f>
        <v xml:space="preserve"> </v>
      </c>
      <c r="E486" s="130" t="s">
        <v>358</v>
      </c>
      <c r="F486" s="113">
        <v>1.5</v>
      </c>
    </row>
    <row r="487" spans="1:6">
      <c r="A487" s="113"/>
      <c r="B487" s="113"/>
      <c r="C487" s="113"/>
      <c r="D487" s="113"/>
      <c r="E487" s="130"/>
      <c r="F487" s="135" t="s">
        <v>1288</v>
      </c>
    </row>
    <row r="488" spans="1:6">
      <c r="A488" s="113"/>
      <c r="B488" s="113"/>
      <c r="C488" s="130" t="s">
        <v>351</v>
      </c>
      <c r="D488" s="113"/>
      <c r="E488" s="130"/>
      <c r="F488" s="113">
        <f>SUM(F484:F486)</f>
        <v>1383.47</v>
      </c>
    </row>
    <row r="489" spans="1:6">
      <c r="A489" s="113"/>
      <c r="B489" s="113"/>
      <c r="C489" s="113"/>
      <c r="D489" s="113"/>
      <c r="E489" s="130"/>
      <c r="F489" s="135" t="s">
        <v>1288</v>
      </c>
    </row>
    <row r="490" spans="1:6">
      <c r="A490" s="113"/>
      <c r="B490" s="113"/>
      <c r="C490" s="115" t="s">
        <v>447</v>
      </c>
      <c r="D490" s="127"/>
      <c r="E490" s="129"/>
      <c r="F490" s="127">
        <f>(F488/10)</f>
        <v>138.35</v>
      </c>
    </row>
    <row r="491" spans="1:6">
      <c r="A491" s="114" t="s">
        <v>1172</v>
      </c>
      <c r="B491" s="113" t="s">
        <v>1833</v>
      </c>
      <c r="C491" s="130" t="s">
        <v>3278</v>
      </c>
      <c r="D491" s="113"/>
      <c r="E491" s="130"/>
      <c r="F491" s="113"/>
    </row>
    <row r="492" spans="1:6">
      <c r="A492" s="113"/>
      <c r="B492" s="113"/>
      <c r="C492" s="130" t="s">
        <v>1173</v>
      </c>
      <c r="D492" s="113"/>
      <c r="E492" s="130"/>
      <c r="F492" s="113"/>
    </row>
    <row r="493" spans="1:6">
      <c r="A493" s="113"/>
      <c r="B493" s="113"/>
      <c r="C493" s="135" t="s">
        <v>1288</v>
      </c>
      <c r="D493" s="135" t="s">
        <v>1288</v>
      </c>
      <c r="E493" s="130"/>
      <c r="F493" s="113"/>
    </row>
    <row r="494" spans="1:6">
      <c r="A494" s="133">
        <v>0.53339999999999999</v>
      </c>
      <c r="B494" s="113" t="s">
        <v>1861</v>
      </c>
      <c r="C494" s="130" t="s">
        <v>3446</v>
      </c>
      <c r="D494" s="113">
        <v>306.89999999999998</v>
      </c>
      <c r="E494" s="130" t="s">
        <v>1861</v>
      </c>
      <c r="F494" s="113">
        <f>(A494*D494)</f>
        <v>163.69999999999999</v>
      </c>
    </row>
    <row r="495" spans="1:6">
      <c r="A495" s="113">
        <v>4.24</v>
      </c>
      <c r="B495" s="113" t="s">
        <v>669</v>
      </c>
      <c r="C495" s="130" t="s">
        <v>2562</v>
      </c>
      <c r="D495" s="113">
        <v>35.61</v>
      </c>
      <c r="E495" s="130" t="s">
        <v>669</v>
      </c>
      <c r="F495" s="113">
        <f>(A495*D495)</f>
        <v>150.99</v>
      </c>
    </row>
    <row r="496" spans="1:6">
      <c r="A496" s="113">
        <v>16</v>
      </c>
      <c r="B496" s="113" t="s">
        <v>453</v>
      </c>
      <c r="C496" s="130" t="s">
        <v>2563</v>
      </c>
      <c r="D496" s="113">
        <v>1</v>
      </c>
      <c r="E496" s="130" t="s">
        <v>1134</v>
      </c>
      <c r="F496" s="113">
        <f>(A496*D496)</f>
        <v>16</v>
      </c>
    </row>
    <row r="497" spans="1:6">
      <c r="A497" s="133">
        <v>0.53339999999999999</v>
      </c>
      <c r="B497" s="113" t="s">
        <v>1861</v>
      </c>
      <c r="C497" s="130" t="s">
        <v>564</v>
      </c>
      <c r="D497" s="113">
        <f>Data!I1179</f>
        <v>215.74</v>
      </c>
      <c r="E497" s="130" t="s">
        <v>1861</v>
      </c>
      <c r="F497" s="113">
        <f>(A497*D497)</f>
        <v>115.08</v>
      </c>
    </row>
    <row r="498" spans="1:6">
      <c r="A498" s="113"/>
      <c r="B498" s="113" t="s">
        <v>358</v>
      </c>
      <c r="C498" s="130" t="s">
        <v>1850</v>
      </c>
      <c r="D498" s="113"/>
      <c r="E498" s="130" t="s">
        <v>358</v>
      </c>
      <c r="F498" s="113"/>
    </row>
    <row r="499" spans="1:6">
      <c r="A499" s="113"/>
      <c r="B499" s="113"/>
      <c r="C499" s="130" t="s">
        <v>1851</v>
      </c>
      <c r="D499" s="113"/>
      <c r="E499" s="130"/>
      <c r="F499" s="113"/>
    </row>
    <row r="500" spans="1:6">
      <c r="A500" s="113"/>
      <c r="B500" s="113"/>
      <c r="C500" s="113"/>
      <c r="D500" s="113"/>
      <c r="E500" s="130"/>
      <c r="F500" s="135" t="s">
        <v>1288</v>
      </c>
    </row>
    <row r="501" spans="1:6">
      <c r="A501" s="113"/>
      <c r="B501" s="113"/>
      <c r="C501" s="114" t="s">
        <v>1381</v>
      </c>
      <c r="D501" s="113"/>
      <c r="E501" s="130"/>
      <c r="F501" s="113">
        <f>SUM(F494:F498)</f>
        <v>445.77</v>
      </c>
    </row>
    <row r="502" spans="1:6">
      <c r="A502" s="113"/>
      <c r="B502" s="113"/>
      <c r="C502" s="113"/>
      <c r="D502" s="113"/>
      <c r="E502" s="130"/>
      <c r="F502" s="135" t="s">
        <v>1288</v>
      </c>
    </row>
    <row r="503" spans="1:6">
      <c r="A503" s="113"/>
      <c r="B503" s="113"/>
      <c r="C503" s="114" t="s">
        <v>1382</v>
      </c>
      <c r="D503" s="113"/>
      <c r="E503" s="130"/>
      <c r="F503" s="127">
        <f>ROUND(F501/0.5334,1)</f>
        <v>835.7</v>
      </c>
    </row>
    <row r="504" spans="1:6">
      <c r="A504" s="130" t="s">
        <v>790</v>
      </c>
      <c r="B504" s="113"/>
      <c r="C504" s="113"/>
      <c r="D504" s="113"/>
      <c r="E504" s="130"/>
      <c r="F504" s="135" t="s">
        <v>1676</v>
      </c>
    </row>
    <row r="505" spans="1:6" ht="189">
      <c r="A505" s="113"/>
      <c r="B505" s="113"/>
      <c r="C505" s="116" t="s">
        <v>1935</v>
      </c>
      <c r="D505" s="113"/>
      <c r="E505" s="114"/>
      <c r="F505" s="113"/>
    </row>
    <row r="506" spans="1:6" ht="31.5">
      <c r="A506" s="117">
        <v>90</v>
      </c>
      <c r="B506" s="117" t="s">
        <v>669</v>
      </c>
      <c r="C506" s="122" t="s">
        <v>1918</v>
      </c>
      <c r="D506" s="117" t="e">
        <f>#REF!</f>
        <v>#REF!</v>
      </c>
      <c r="E506" s="117" t="s">
        <v>1919</v>
      </c>
      <c r="F506" s="117" t="e">
        <f>A506*D506</f>
        <v>#REF!</v>
      </c>
    </row>
    <row r="507" spans="1:6" ht="31.5">
      <c r="A507" s="117">
        <v>45</v>
      </c>
      <c r="B507" s="117" t="s">
        <v>669</v>
      </c>
      <c r="C507" s="116" t="s">
        <v>1874</v>
      </c>
      <c r="D507" s="117" t="e">
        <f>#REF!</f>
        <v>#REF!</v>
      </c>
      <c r="E507" s="117" t="s">
        <v>1875</v>
      </c>
      <c r="F507" s="117" t="e">
        <f>A507*D507</f>
        <v>#REF!</v>
      </c>
    </row>
    <row r="508" spans="1:6">
      <c r="A508" s="117">
        <v>20</v>
      </c>
      <c r="B508" s="117" t="s">
        <v>1130</v>
      </c>
      <c r="C508" s="117" t="s">
        <v>1876</v>
      </c>
      <c r="D508" s="117" t="e">
        <f>#REF!</f>
        <v>#REF!</v>
      </c>
      <c r="E508" s="117" t="s">
        <v>1130</v>
      </c>
      <c r="F508" s="117" t="e">
        <f>A508*D508</f>
        <v>#REF!</v>
      </c>
    </row>
    <row r="509" spans="1:6">
      <c r="A509" s="117">
        <v>150</v>
      </c>
      <c r="B509" s="117" t="s">
        <v>1130</v>
      </c>
      <c r="C509" s="117" t="s">
        <v>2607</v>
      </c>
      <c r="D509" s="117" t="e">
        <f>#REF!</f>
        <v>#REF!</v>
      </c>
      <c r="E509" s="117" t="s">
        <v>1936</v>
      </c>
      <c r="F509" s="117" t="e">
        <f>(A509*D509)/1000</f>
        <v>#REF!</v>
      </c>
    </row>
    <row r="510" spans="1:6">
      <c r="A510" s="117">
        <v>10</v>
      </c>
      <c r="B510" s="117" t="s">
        <v>1130</v>
      </c>
      <c r="C510" s="117" t="s">
        <v>2062</v>
      </c>
      <c r="D510" s="117" t="e">
        <f>#REF!</f>
        <v>#REF!</v>
      </c>
      <c r="E510" s="117" t="s">
        <v>1130</v>
      </c>
      <c r="F510" s="117" t="e">
        <f>A510*D510</f>
        <v>#REF!</v>
      </c>
    </row>
    <row r="511" spans="1:6">
      <c r="A511" s="117">
        <v>10</v>
      </c>
      <c r="B511" s="117" t="s">
        <v>1130</v>
      </c>
      <c r="C511" s="117" t="s">
        <v>3054</v>
      </c>
      <c r="D511" s="117" t="e">
        <f>#REF!</f>
        <v>#REF!</v>
      </c>
      <c r="E511" s="117" t="s">
        <v>2063</v>
      </c>
      <c r="F511" s="117" t="e">
        <f>(A511*D511)/12</f>
        <v>#REF!</v>
      </c>
    </row>
    <row r="512" spans="1:6">
      <c r="A512" s="120">
        <v>1.4999999999999999E-2</v>
      </c>
      <c r="B512" s="117" t="s">
        <v>1861</v>
      </c>
      <c r="C512" s="117" t="s">
        <v>2022</v>
      </c>
      <c r="D512" s="117" t="e">
        <f>#REF!</f>
        <v>#REF!</v>
      </c>
      <c r="E512" s="117" t="s">
        <v>1861</v>
      </c>
      <c r="F512" s="117" t="e">
        <f t="shared" ref="F512:F522" si="5">A512*D512</f>
        <v>#REF!</v>
      </c>
    </row>
    <row r="513" spans="1:6">
      <c r="A513" s="117">
        <v>10</v>
      </c>
      <c r="B513" s="117" t="s">
        <v>1130</v>
      </c>
      <c r="C513" s="117" t="s">
        <v>2023</v>
      </c>
      <c r="D513" s="117" t="e">
        <f>#REF!</f>
        <v>#REF!</v>
      </c>
      <c r="E513" s="117" t="s">
        <v>1130</v>
      </c>
      <c r="F513" s="117" t="e">
        <f>(A513*D513)</f>
        <v>#REF!</v>
      </c>
    </row>
    <row r="514" spans="1:6">
      <c r="A514" s="117">
        <v>10</v>
      </c>
      <c r="B514" s="117" t="s">
        <v>1130</v>
      </c>
      <c r="C514" s="117" t="s">
        <v>1928</v>
      </c>
      <c r="D514" s="117" t="e">
        <f>#REF!</f>
        <v>#REF!</v>
      </c>
      <c r="E514" s="117" t="s">
        <v>1130</v>
      </c>
      <c r="F514" s="117" t="e">
        <f t="shared" si="5"/>
        <v>#REF!</v>
      </c>
    </row>
    <row r="515" spans="1:6">
      <c r="A515" s="117">
        <v>1</v>
      </c>
      <c r="B515" s="117" t="s">
        <v>1930</v>
      </c>
      <c r="C515" s="117" t="s">
        <v>2866</v>
      </c>
      <c r="D515" s="117" t="e">
        <f>#REF!</f>
        <v>#REF!</v>
      </c>
      <c r="E515" s="117" t="s">
        <v>1930</v>
      </c>
      <c r="F515" s="117" t="e">
        <f>A515*D515</f>
        <v>#REF!</v>
      </c>
    </row>
    <row r="516" spans="1:6">
      <c r="A516" s="117">
        <v>72</v>
      </c>
      <c r="B516" s="117" t="s">
        <v>1130</v>
      </c>
      <c r="C516" s="117" t="s">
        <v>1937</v>
      </c>
      <c r="D516" s="117" t="e">
        <f>#REF!</f>
        <v>#REF!</v>
      </c>
      <c r="E516" s="117" t="s">
        <v>1930</v>
      </c>
      <c r="F516" s="117" t="e">
        <f>(A516*D516)/144</f>
        <v>#REF!</v>
      </c>
    </row>
    <row r="517" spans="1:6">
      <c r="A517" s="121">
        <v>0.16666666666666666</v>
      </c>
      <c r="B517" s="117" t="s">
        <v>1929</v>
      </c>
      <c r="C517" s="117" t="s">
        <v>310</v>
      </c>
      <c r="D517" s="117" t="e">
        <f>#REF!</f>
        <v>#REF!</v>
      </c>
      <c r="E517" s="117" t="s">
        <v>1929</v>
      </c>
      <c r="F517" s="117" t="e">
        <f t="shared" si="5"/>
        <v>#REF!</v>
      </c>
    </row>
    <row r="518" spans="1:6">
      <c r="A518" s="117">
        <v>10</v>
      </c>
      <c r="B518" s="117" t="s">
        <v>1130</v>
      </c>
      <c r="C518" s="117" t="s">
        <v>3055</v>
      </c>
      <c r="D518" s="117" t="e">
        <f>#REF!</f>
        <v>#REF!</v>
      </c>
      <c r="E518" s="117" t="s">
        <v>1130</v>
      </c>
      <c r="F518" s="117" t="e">
        <f t="shared" si="5"/>
        <v>#REF!</v>
      </c>
    </row>
    <row r="519" spans="1:6">
      <c r="A519" s="117">
        <v>1</v>
      </c>
      <c r="B519" s="117" t="s">
        <v>1130</v>
      </c>
      <c r="C519" s="117" t="s">
        <v>3056</v>
      </c>
      <c r="D519" s="117" t="e">
        <f>#REF!</f>
        <v>#REF!</v>
      </c>
      <c r="E519" s="117" t="s">
        <v>1130</v>
      </c>
      <c r="F519" s="117" t="e">
        <f t="shared" si="5"/>
        <v>#REF!</v>
      </c>
    </row>
    <row r="520" spans="1:6">
      <c r="A520" s="117">
        <v>0.1</v>
      </c>
      <c r="B520" s="117" t="s">
        <v>1861</v>
      </c>
      <c r="C520" s="117" t="s">
        <v>1987</v>
      </c>
      <c r="D520" s="117" t="e">
        <f>#REF!</f>
        <v>#REF!</v>
      </c>
      <c r="E520" s="117" t="s">
        <v>1861</v>
      </c>
      <c r="F520" s="117" t="e">
        <f t="shared" si="5"/>
        <v>#REF!</v>
      </c>
    </row>
    <row r="521" spans="1:6" ht="31.5">
      <c r="A521" s="117">
        <v>45</v>
      </c>
      <c r="B521" s="117" t="s">
        <v>669</v>
      </c>
      <c r="C521" s="122" t="s">
        <v>1931</v>
      </c>
      <c r="D521" s="117" t="e">
        <f>#REF!</f>
        <v>#REF!</v>
      </c>
      <c r="E521" s="117" t="s">
        <v>2056</v>
      </c>
      <c r="F521" s="117" t="e">
        <f t="shared" si="5"/>
        <v>#REF!</v>
      </c>
    </row>
    <row r="522" spans="1:6">
      <c r="A522" s="121">
        <v>0.5</v>
      </c>
      <c r="B522" s="117" t="s">
        <v>37</v>
      </c>
      <c r="C522" s="122" t="s">
        <v>2348</v>
      </c>
      <c r="D522" s="117" t="e">
        <f>#REF!</f>
        <v>#REF!</v>
      </c>
      <c r="E522" s="117" t="s">
        <v>37</v>
      </c>
      <c r="F522" s="117" t="e">
        <f t="shared" si="5"/>
        <v>#REF!</v>
      </c>
    </row>
    <row r="523" spans="1:6">
      <c r="A523" s="117">
        <v>10</v>
      </c>
      <c r="B523" s="117" t="s">
        <v>2058</v>
      </c>
      <c r="C523" s="117" t="s">
        <v>736</v>
      </c>
      <c r="D523" s="117"/>
      <c r="E523" s="117" t="s">
        <v>528</v>
      </c>
      <c r="F523" s="117" t="e">
        <f>#REF!</f>
        <v>#REF!</v>
      </c>
    </row>
    <row r="524" spans="1:6">
      <c r="A524" s="117" t="s">
        <v>528</v>
      </c>
      <c r="B524" s="117"/>
      <c r="C524" s="117" t="s">
        <v>1988</v>
      </c>
      <c r="D524" s="117"/>
      <c r="E524" s="117" t="s">
        <v>528</v>
      </c>
      <c r="F524" s="117">
        <v>44.26</v>
      </c>
    </row>
    <row r="525" spans="1:6">
      <c r="A525" s="117"/>
      <c r="B525" s="117"/>
      <c r="C525" s="123" t="s">
        <v>2057</v>
      </c>
      <c r="D525" s="117"/>
      <c r="E525" s="117"/>
      <c r="F525" s="124" t="e">
        <f>SUM(F506:F524)</f>
        <v>#REF!</v>
      </c>
    </row>
    <row r="526" spans="1:6">
      <c r="A526" s="117"/>
      <c r="B526" s="117"/>
      <c r="C526" s="125" t="s">
        <v>2059</v>
      </c>
      <c r="D526" s="117"/>
      <c r="E526" s="117"/>
      <c r="F526" s="126" t="e">
        <f>F525/10</f>
        <v>#REF!</v>
      </c>
    </row>
    <row r="527" spans="1:6" ht="189">
      <c r="A527" s="117"/>
      <c r="B527" s="117"/>
      <c r="C527" s="116" t="s">
        <v>1990</v>
      </c>
      <c r="D527" s="117"/>
      <c r="E527" s="117"/>
      <c r="F527" s="117"/>
    </row>
    <row r="528" spans="1:6">
      <c r="A528" s="117"/>
      <c r="B528" s="117"/>
      <c r="C528" s="117" t="s">
        <v>1895</v>
      </c>
      <c r="D528" s="117"/>
      <c r="E528" s="117"/>
      <c r="F528" s="117" t="e">
        <f>#REF!</f>
        <v>#REF!</v>
      </c>
    </row>
    <row r="529" spans="1:6">
      <c r="A529" s="117"/>
      <c r="B529" s="117"/>
      <c r="C529" s="117" t="s">
        <v>1896</v>
      </c>
      <c r="D529" s="117"/>
      <c r="E529" s="117"/>
      <c r="F529" s="117" t="e">
        <f>#REF!</f>
        <v>#REF!</v>
      </c>
    </row>
    <row r="530" spans="1:6">
      <c r="A530" s="117"/>
      <c r="B530" s="117"/>
      <c r="C530" s="117" t="e">
        <f>#REF!</f>
        <v>#REF!</v>
      </c>
      <c r="D530" s="117"/>
      <c r="E530" s="117"/>
      <c r="F530" s="117" t="e">
        <f>#REF!</f>
        <v>#REF!</v>
      </c>
    </row>
    <row r="531" spans="1:6">
      <c r="A531" s="117"/>
      <c r="B531" s="117"/>
      <c r="C531" s="117" t="s">
        <v>1850</v>
      </c>
      <c r="D531" s="117"/>
      <c r="E531" s="117"/>
      <c r="F531" s="117" t="e">
        <f>#REF!</f>
        <v>#REF!</v>
      </c>
    </row>
    <row r="532" spans="1:6">
      <c r="A532" s="117"/>
      <c r="B532" s="117"/>
      <c r="C532" s="123" t="s">
        <v>1886</v>
      </c>
      <c r="D532" s="117"/>
      <c r="E532" s="117"/>
      <c r="F532" s="117" t="e">
        <f>#REF!</f>
        <v>#REF!</v>
      </c>
    </row>
    <row r="533" spans="1:6">
      <c r="A533" s="117"/>
      <c r="B533" s="117"/>
      <c r="C533" s="125" t="s">
        <v>1887</v>
      </c>
      <c r="D533" s="117"/>
      <c r="E533" s="117"/>
      <c r="F533" s="126" t="e">
        <f>#REF!</f>
        <v>#REF!</v>
      </c>
    </row>
    <row r="534" spans="1:6" ht="173.25">
      <c r="A534" s="117"/>
      <c r="B534" s="117"/>
      <c r="C534" s="116" t="s">
        <v>3272</v>
      </c>
      <c r="D534" s="117"/>
      <c r="E534" s="117"/>
      <c r="F534" s="117"/>
    </row>
    <row r="535" spans="1:6">
      <c r="A535" s="117"/>
      <c r="B535" s="117"/>
      <c r="C535" s="117" t="s">
        <v>1895</v>
      </c>
      <c r="D535" s="117"/>
      <c r="E535" s="117"/>
      <c r="F535" s="117" t="e">
        <f>#REF!</f>
        <v>#REF!</v>
      </c>
    </row>
    <row r="536" spans="1:6">
      <c r="A536" s="117"/>
      <c r="B536" s="117"/>
      <c r="C536" s="117" t="s">
        <v>2879</v>
      </c>
      <c r="D536" s="117"/>
      <c r="E536" s="117"/>
      <c r="F536" s="117" t="e">
        <f>#REF!</f>
        <v>#REF!</v>
      </c>
    </row>
    <row r="537" spans="1:6">
      <c r="A537" s="117"/>
      <c r="B537" s="117"/>
      <c r="C537" s="117" t="s">
        <v>1959</v>
      </c>
      <c r="D537" s="117"/>
      <c r="E537" s="117"/>
      <c r="F537" s="117" t="e">
        <f>#REF!</f>
        <v>#REF!</v>
      </c>
    </row>
    <row r="538" spans="1:6" ht="47.25">
      <c r="A538" s="117"/>
      <c r="B538" s="117"/>
      <c r="C538" s="116" t="s">
        <v>3057</v>
      </c>
      <c r="D538" s="117"/>
      <c r="E538" s="117"/>
      <c r="F538" s="117" t="e">
        <f>#REF!</f>
        <v>#REF!</v>
      </c>
    </row>
    <row r="539" spans="1:6">
      <c r="A539" s="117"/>
      <c r="B539" s="117"/>
      <c r="C539" s="117" t="s">
        <v>3260</v>
      </c>
      <c r="D539" s="117"/>
      <c r="E539" s="117"/>
      <c r="F539" s="117" t="e">
        <f>#REF!</f>
        <v>#REF!</v>
      </c>
    </row>
    <row r="540" spans="1:6">
      <c r="A540" s="117"/>
      <c r="B540" s="117"/>
      <c r="C540" s="117" t="s">
        <v>1989</v>
      </c>
      <c r="D540" s="117"/>
      <c r="E540" s="117"/>
      <c r="F540" s="117" t="e">
        <f>#REF!</f>
        <v>#REF!</v>
      </c>
    </row>
    <row r="541" spans="1:6">
      <c r="A541" s="117"/>
      <c r="B541" s="117"/>
      <c r="C541" s="123" t="s">
        <v>1886</v>
      </c>
      <c r="D541" s="117"/>
      <c r="E541" s="117"/>
      <c r="F541" s="117" t="e">
        <f>#REF!</f>
        <v>#REF!</v>
      </c>
    </row>
    <row r="542" spans="1:6">
      <c r="A542" s="117"/>
      <c r="B542" s="117"/>
      <c r="C542" s="125" t="s">
        <v>1887</v>
      </c>
      <c r="D542" s="117"/>
      <c r="E542" s="117"/>
      <c r="F542" s="126" t="e">
        <f>#REF!</f>
        <v>#REF!</v>
      </c>
    </row>
    <row r="543" spans="1:6" ht="189">
      <c r="A543" s="117"/>
      <c r="B543" s="117"/>
      <c r="C543" s="116" t="s">
        <v>1938</v>
      </c>
      <c r="D543" s="117"/>
      <c r="E543" s="117"/>
      <c r="F543" s="117"/>
    </row>
    <row r="544" spans="1:6" ht="31.5">
      <c r="A544" s="117">
        <v>90</v>
      </c>
      <c r="B544" s="117" t="s">
        <v>669</v>
      </c>
      <c r="C544" s="122" t="s">
        <v>1918</v>
      </c>
      <c r="D544" s="117" t="e">
        <f>#REF!</f>
        <v>#REF!</v>
      </c>
      <c r="E544" s="117" t="s">
        <v>669</v>
      </c>
      <c r="F544" s="117" t="e">
        <f>A544*D544</f>
        <v>#REF!</v>
      </c>
    </row>
    <row r="545" spans="1:6" ht="31.5">
      <c r="A545" s="117">
        <v>45</v>
      </c>
      <c r="B545" s="117" t="s">
        <v>669</v>
      </c>
      <c r="C545" s="116" t="s">
        <v>1874</v>
      </c>
      <c r="D545" s="117" t="e">
        <f>#REF!</f>
        <v>#REF!</v>
      </c>
      <c r="E545" s="117" t="s">
        <v>669</v>
      </c>
      <c r="F545" s="117" t="e">
        <f t="shared" ref="F545:F554" si="6">A545*D545</f>
        <v>#REF!</v>
      </c>
    </row>
    <row r="546" spans="1:6">
      <c r="A546" s="117">
        <v>20</v>
      </c>
      <c r="B546" s="117" t="s">
        <v>1130</v>
      </c>
      <c r="C546" s="117" t="s">
        <v>1876</v>
      </c>
      <c r="D546" s="117" t="e">
        <f>#REF!</f>
        <v>#REF!</v>
      </c>
      <c r="E546" s="117" t="s">
        <v>2063</v>
      </c>
      <c r="F546" s="117" t="e">
        <f t="shared" si="6"/>
        <v>#REF!</v>
      </c>
    </row>
    <row r="547" spans="1:6">
      <c r="A547" s="117">
        <v>10</v>
      </c>
      <c r="B547" s="117" t="s">
        <v>1130</v>
      </c>
      <c r="C547" s="117" t="s">
        <v>2062</v>
      </c>
      <c r="D547" s="117" t="e">
        <f>#REF!</f>
        <v>#REF!</v>
      </c>
      <c r="E547" s="117" t="s">
        <v>2063</v>
      </c>
      <c r="F547" s="117" t="e">
        <f t="shared" si="6"/>
        <v>#REF!</v>
      </c>
    </row>
    <row r="548" spans="1:6">
      <c r="A548" s="117">
        <v>1</v>
      </c>
      <c r="B548" s="117" t="s">
        <v>1130</v>
      </c>
      <c r="C548" s="117" t="s">
        <v>1894</v>
      </c>
      <c r="D548" s="117" t="e">
        <f>#REF!</f>
        <v>#REF!</v>
      </c>
      <c r="E548" s="117" t="s">
        <v>1130</v>
      </c>
      <c r="F548" s="117" t="e">
        <f t="shared" si="6"/>
        <v>#REF!</v>
      </c>
    </row>
    <row r="549" spans="1:6">
      <c r="A549" s="120">
        <v>1.4999999999999999E-2</v>
      </c>
      <c r="B549" s="117" t="s">
        <v>1861</v>
      </c>
      <c r="C549" s="117" t="s">
        <v>1920</v>
      </c>
      <c r="D549" s="117" t="e">
        <f>#REF!</f>
        <v>#REF!</v>
      </c>
      <c r="E549" s="117" t="s">
        <v>1861</v>
      </c>
      <c r="F549" s="117" t="e">
        <f t="shared" si="6"/>
        <v>#REF!</v>
      </c>
    </row>
    <row r="550" spans="1:6">
      <c r="A550" s="117">
        <v>15</v>
      </c>
      <c r="B550" s="117" t="s">
        <v>1130</v>
      </c>
      <c r="C550" s="117" t="s">
        <v>1939</v>
      </c>
      <c r="D550" s="117" t="e">
        <f>#REF!</f>
        <v>#REF!</v>
      </c>
      <c r="E550" s="117" t="s">
        <v>1130</v>
      </c>
      <c r="F550" s="117" t="e">
        <f t="shared" si="6"/>
        <v>#REF!</v>
      </c>
    </row>
    <row r="551" spans="1:6">
      <c r="A551" s="117">
        <v>15</v>
      </c>
      <c r="B551" s="117" t="s">
        <v>1130</v>
      </c>
      <c r="C551" s="117" t="s">
        <v>1894</v>
      </c>
      <c r="D551" s="117" t="e">
        <f>#REF!</f>
        <v>#REF!</v>
      </c>
      <c r="E551" s="117" t="s">
        <v>1130</v>
      </c>
      <c r="F551" s="117" t="e">
        <f t="shared" si="6"/>
        <v>#REF!</v>
      </c>
    </row>
    <row r="552" spans="1:6">
      <c r="A552" s="120">
        <v>0.22500000000000001</v>
      </c>
      <c r="B552" s="117" t="s">
        <v>1861</v>
      </c>
      <c r="C552" s="117" t="s">
        <v>1920</v>
      </c>
      <c r="D552" s="117" t="e">
        <f>#REF!</f>
        <v>#REF!</v>
      </c>
      <c r="E552" s="117" t="s">
        <v>1940</v>
      </c>
      <c r="F552" s="117" t="e">
        <f t="shared" si="6"/>
        <v>#REF!</v>
      </c>
    </row>
    <row r="553" spans="1:6">
      <c r="A553" s="117">
        <v>1.25</v>
      </c>
      <c r="B553" s="117" t="s">
        <v>1929</v>
      </c>
      <c r="C553" s="117" t="s">
        <v>310</v>
      </c>
      <c r="D553" s="117" t="e">
        <f>#REF!</f>
        <v>#REF!</v>
      </c>
      <c r="E553" s="117" t="s">
        <v>1929</v>
      </c>
      <c r="F553" s="117" t="e">
        <f t="shared" si="6"/>
        <v>#REF!</v>
      </c>
    </row>
    <row r="554" spans="1:6" ht="31.5">
      <c r="A554" s="117">
        <v>45</v>
      </c>
      <c r="B554" s="117" t="s">
        <v>1861</v>
      </c>
      <c r="C554" s="122" t="s">
        <v>1931</v>
      </c>
      <c r="D554" s="117" t="e">
        <f>#REF!</f>
        <v>#REF!</v>
      </c>
      <c r="E554" s="117" t="s">
        <v>669</v>
      </c>
      <c r="F554" s="117" t="e">
        <f t="shared" si="6"/>
        <v>#REF!</v>
      </c>
    </row>
    <row r="555" spans="1:6">
      <c r="A555" s="117"/>
      <c r="B555" s="117"/>
      <c r="C555" s="117" t="s">
        <v>736</v>
      </c>
      <c r="D555" s="117"/>
      <c r="E555" s="117"/>
      <c r="F555" s="117" t="e">
        <f>#REF!</f>
        <v>#REF!</v>
      </c>
    </row>
    <row r="556" spans="1:6">
      <c r="A556" s="117"/>
      <c r="B556" s="117"/>
      <c r="C556" s="117" t="s">
        <v>1850</v>
      </c>
      <c r="D556" s="117"/>
      <c r="E556" s="117"/>
      <c r="F556" s="117">
        <v>39.35</v>
      </c>
    </row>
    <row r="557" spans="1:6">
      <c r="A557" s="117"/>
      <c r="B557" s="117"/>
      <c r="C557" s="123" t="s">
        <v>1941</v>
      </c>
      <c r="D557" s="117"/>
      <c r="E557" s="117"/>
      <c r="F557" s="124" t="e">
        <f>SUM(F544:F556)</f>
        <v>#REF!</v>
      </c>
    </row>
    <row r="558" spans="1:6">
      <c r="A558" s="117"/>
      <c r="B558" s="117"/>
      <c r="C558" s="125" t="s">
        <v>2013</v>
      </c>
      <c r="D558" s="117"/>
      <c r="E558" s="117"/>
      <c r="F558" s="126" t="e">
        <f>F557/15</f>
        <v>#REF!</v>
      </c>
    </row>
    <row r="559" spans="1:6">
      <c r="A559" s="117"/>
      <c r="B559" s="117"/>
      <c r="C559" s="126" t="s">
        <v>736</v>
      </c>
      <c r="D559" s="117"/>
      <c r="E559" s="117"/>
      <c r="F559" s="126"/>
    </row>
    <row r="560" spans="1:6" ht="126">
      <c r="A560" s="117"/>
      <c r="B560" s="117"/>
      <c r="C560" s="116" t="s">
        <v>1986</v>
      </c>
      <c r="D560" s="117"/>
      <c r="E560" s="117"/>
      <c r="F560" s="117"/>
    </row>
    <row r="561" spans="1:6">
      <c r="A561" s="117"/>
      <c r="B561" s="117"/>
      <c r="C561" s="117"/>
      <c r="D561" s="117"/>
      <c r="E561" s="117"/>
      <c r="F561" s="117"/>
    </row>
    <row r="562" spans="1:6">
      <c r="A562" s="117"/>
      <c r="B562" s="117"/>
      <c r="C562" s="117" t="s">
        <v>2011</v>
      </c>
      <c r="D562" s="117"/>
      <c r="E562" s="117"/>
      <c r="F562" s="117" t="e">
        <f>#REF!</f>
        <v>#REF!</v>
      </c>
    </row>
    <row r="563" spans="1:6" ht="31.5">
      <c r="A563" s="117">
        <v>180</v>
      </c>
      <c r="B563" s="117" t="s">
        <v>669</v>
      </c>
      <c r="C563" s="116" t="s">
        <v>2019</v>
      </c>
      <c r="D563" s="117" t="e">
        <f>#REF!</f>
        <v>#REF!</v>
      </c>
      <c r="E563" s="117" t="s">
        <v>669</v>
      </c>
      <c r="F563" s="117" t="e">
        <f>A563*D563</f>
        <v>#REF!</v>
      </c>
    </row>
    <row r="564" spans="1:6" ht="31.5">
      <c r="A564" s="117">
        <v>180</v>
      </c>
      <c r="B564" s="117" t="s">
        <v>669</v>
      </c>
      <c r="C564" s="116" t="s">
        <v>1984</v>
      </c>
      <c r="D564" s="117" t="e">
        <f>#REF!</f>
        <v>#REF!</v>
      </c>
      <c r="E564" s="117" t="s">
        <v>1919</v>
      </c>
      <c r="F564" s="117" t="e">
        <f>A564*D564</f>
        <v>#REF!</v>
      </c>
    </row>
    <row r="565" spans="1:6">
      <c r="A565" s="117"/>
      <c r="B565" s="117"/>
      <c r="C565" s="117" t="s">
        <v>1850</v>
      </c>
      <c r="D565" s="117"/>
      <c r="E565" s="117"/>
      <c r="F565" s="117"/>
    </row>
    <row r="566" spans="1:6">
      <c r="A566" s="117"/>
      <c r="B566" s="117"/>
      <c r="C566" s="123" t="s">
        <v>1985</v>
      </c>
      <c r="D566" s="117"/>
      <c r="E566" s="117"/>
      <c r="F566" s="124" t="e">
        <f>F562+F563-F564+F565</f>
        <v>#REF!</v>
      </c>
    </row>
    <row r="567" spans="1:6">
      <c r="A567" s="117"/>
      <c r="B567" s="117"/>
      <c r="C567" s="125" t="s">
        <v>1885</v>
      </c>
      <c r="D567" s="117"/>
      <c r="E567" s="117"/>
      <c r="F567" s="126" t="e">
        <f>F566/90</f>
        <v>#REF!</v>
      </c>
    </row>
    <row r="568" spans="1:6">
      <c r="A568" s="113"/>
      <c r="B568" s="113"/>
      <c r="C568" s="127" t="s">
        <v>2574</v>
      </c>
      <c r="D568" s="113"/>
      <c r="E568" s="113"/>
      <c r="F568" s="113"/>
    </row>
    <row r="569" spans="1:6">
      <c r="A569" s="113"/>
      <c r="B569" s="113"/>
      <c r="C569" s="113" t="s">
        <v>2017</v>
      </c>
      <c r="D569" s="113"/>
      <c r="E569" s="113"/>
      <c r="F569" s="113"/>
    </row>
    <row r="570" spans="1:6">
      <c r="A570" s="113"/>
      <c r="B570" s="113"/>
      <c r="C570" s="113" t="s">
        <v>2201</v>
      </c>
      <c r="D570" s="113"/>
      <c r="E570" s="113"/>
      <c r="F570" s="113"/>
    </row>
    <row r="571" spans="1:6">
      <c r="A571" s="113">
        <v>0.1</v>
      </c>
      <c r="B571" s="113" t="s">
        <v>1166</v>
      </c>
      <c r="C571" s="113" t="s">
        <v>524</v>
      </c>
      <c r="D571" s="113">
        <f>Data!AQ3105</f>
        <v>881</v>
      </c>
      <c r="E571" s="113" t="s">
        <v>1134</v>
      </c>
      <c r="F571" s="113">
        <f>D571*A571</f>
        <v>88.1</v>
      </c>
    </row>
    <row r="572" spans="1:6">
      <c r="A572" s="113">
        <v>0.1</v>
      </c>
      <c r="B572" s="113" t="s">
        <v>2202</v>
      </c>
      <c r="C572" s="113" t="s">
        <v>272</v>
      </c>
      <c r="D572" s="113">
        <f>Data!AQ3106</f>
        <v>651</v>
      </c>
      <c r="E572" s="113" t="s">
        <v>1134</v>
      </c>
      <c r="F572" s="113">
        <f>D572*A572</f>
        <v>65.099999999999994</v>
      </c>
    </row>
    <row r="573" spans="1:6">
      <c r="A573" s="113">
        <v>10</v>
      </c>
      <c r="B573" s="113" t="s">
        <v>2203</v>
      </c>
      <c r="C573" s="113" t="s">
        <v>2636</v>
      </c>
      <c r="D573" s="113">
        <f>Data!AQ3107</f>
        <v>18.45</v>
      </c>
      <c r="E573" s="113" t="s">
        <v>2204</v>
      </c>
      <c r="F573" s="113">
        <f>(D573*A573)/100</f>
        <v>1.85</v>
      </c>
    </row>
    <row r="574" spans="1:6">
      <c r="A574" s="113">
        <v>0.25</v>
      </c>
      <c r="B574" s="113" t="s">
        <v>1166</v>
      </c>
      <c r="C574" s="113" t="s">
        <v>2637</v>
      </c>
      <c r="D574" s="113">
        <f>Data!AQ3108</f>
        <v>3.6</v>
      </c>
      <c r="E574" s="113" t="s">
        <v>1134</v>
      </c>
      <c r="F574" s="113">
        <f>D574*A574</f>
        <v>0.9</v>
      </c>
    </row>
    <row r="575" spans="1:6">
      <c r="A575" s="113"/>
      <c r="B575" s="113"/>
      <c r="C575" s="113"/>
      <c r="D575" s="113" t="s">
        <v>2205</v>
      </c>
      <c r="E575" s="113"/>
      <c r="F575" s="113">
        <f>SUM(F571:F574)</f>
        <v>155.94999999999999</v>
      </c>
    </row>
    <row r="576" spans="1:6">
      <c r="A576" s="113"/>
      <c r="B576" s="113"/>
      <c r="C576" s="113"/>
      <c r="D576" s="113"/>
      <c r="E576" s="113"/>
      <c r="F576" s="113"/>
    </row>
    <row r="577" spans="1:6">
      <c r="A577" s="113"/>
      <c r="B577" s="113"/>
      <c r="C577" s="153" t="s">
        <v>372</v>
      </c>
      <c r="D577" s="127" t="s">
        <v>2206</v>
      </c>
      <c r="E577" s="154" t="s">
        <v>2207</v>
      </c>
      <c r="F577" s="113"/>
    </row>
    <row r="578" spans="1:6">
      <c r="A578" s="113"/>
      <c r="B578" s="113"/>
      <c r="C578" s="153"/>
      <c r="D578" s="113"/>
      <c r="E578" s="153"/>
      <c r="F578" s="153"/>
    </row>
    <row r="579" spans="1:6">
      <c r="A579" s="113"/>
      <c r="B579" s="113"/>
      <c r="C579" s="153" t="s">
        <v>2208</v>
      </c>
      <c r="D579" s="127">
        <v>96</v>
      </c>
      <c r="E579" s="127">
        <v>85</v>
      </c>
      <c r="F579" s="127">
        <v>85</v>
      </c>
    </row>
    <row r="580" spans="1:6">
      <c r="A580" s="113"/>
      <c r="B580" s="113"/>
      <c r="C580" s="153" t="s">
        <v>1479</v>
      </c>
      <c r="D580" s="113">
        <f>F575</f>
        <v>155.94999999999999</v>
      </c>
      <c r="E580" s="153">
        <f>F575</f>
        <v>155.94999999999999</v>
      </c>
      <c r="F580" s="153"/>
    </row>
    <row r="581" spans="1:6">
      <c r="A581" s="113"/>
      <c r="B581" s="113"/>
      <c r="C581" s="153"/>
      <c r="D581" s="127">
        <f>SUM(D578:D580)</f>
        <v>251.95</v>
      </c>
      <c r="E581" s="127">
        <f>SUM(E578:E580)</f>
        <v>240.95</v>
      </c>
      <c r="F581" s="113"/>
    </row>
    <row r="582" spans="1:6">
      <c r="A582" s="113"/>
      <c r="B582" s="113"/>
      <c r="C582" s="113"/>
      <c r="D582" s="127">
        <f>ROUNDUP(D581,0)</f>
        <v>252</v>
      </c>
      <c r="E582" s="127">
        <f>ROUNDUP(E581,0)</f>
        <v>241</v>
      </c>
      <c r="F582" s="113"/>
    </row>
    <row r="583" spans="1:6">
      <c r="A583" s="117"/>
      <c r="B583" s="117"/>
      <c r="C583" s="126" t="s">
        <v>1974</v>
      </c>
      <c r="D583" s="117"/>
      <c r="E583" s="117"/>
      <c r="F583" s="117"/>
    </row>
    <row r="584" spans="1:6">
      <c r="A584" s="117">
        <v>1</v>
      </c>
      <c r="B584" s="117" t="s">
        <v>1130</v>
      </c>
      <c r="C584" s="117" t="s">
        <v>3052</v>
      </c>
      <c r="D584" s="117">
        <v>1366</v>
      </c>
      <c r="E584" s="117" t="s">
        <v>1130</v>
      </c>
      <c r="F584" s="117">
        <f>A584*D584</f>
        <v>1366</v>
      </c>
    </row>
    <row r="585" spans="1:6">
      <c r="A585" s="117">
        <v>1</v>
      </c>
      <c r="B585" s="117" t="s">
        <v>1130</v>
      </c>
      <c r="C585" s="117" t="s">
        <v>3053</v>
      </c>
      <c r="D585" s="117">
        <v>185.9</v>
      </c>
      <c r="E585" s="117" t="s">
        <v>1130</v>
      </c>
      <c r="F585" s="117">
        <f>A585*D585</f>
        <v>185.9</v>
      </c>
    </row>
    <row r="586" spans="1:6">
      <c r="A586" s="117"/>
      <c r="B586" s="117"/>
      <c r="C586" s="125" t="s">
        <v>1973</v>
      </c>
      <c r="D586" s="117"/>
      <c r="E586" s="117"/>
      <c r="F586" s="126">
        <f>SUM(F584:F585)+0.8</f>
        <v>1552.7</v>
      </c>
    </row>
    <row r="587" spans="1:6" ht="78.75">
      <c r="A587" s="117"/>
      <c r="B587" s="117"/>
      <c r="C587" s="116" t="s">
        <v>2008</v>
      </c>
      <c r="D587" s="117"/>
      <c r="E587" s="117"/>
      <c r="F587" s="117"/>
    </row>
    <row r="588" spans="1:6">
      <c r="A588" s="117"/>
      <c r="B588" s="117"/>
      <c r="C588" s="117"/>
      <c r="D588" s="117"/>
      <c r="E588" s="117"/>
      <c r="F588" s="117"/>
    </row>
    <row r="589" spans="1:6">
      <c r="A589" s="117">
        <v>1</v>
      </c>
      <c r="B589" s="117" t="s">
        <v>669</v>
      </c>
      <c r="C589" s="117" t="s">
        <v>1868</v>
      </c>
      <c r="D589" s="117" t="e">
        <f>#REF!</f>
        <v>#REF!</v>
      </c>
      <c r="E589" s="117" t="s">
        <v>2009</v>
      </c>
      <c r="F589" s="117" t="e">
        <f>A589*(D589/100)</f>
        <v>#REF!</v>
      </c>
    </row>
    <row r="590" spans="1:6">
      <c r="A590" s="117"/>
      <c r="B590" s="117"/>
      <c r="C590" s="117" t="s">
        <v>113</v>
      </c>
      <c r="D590" s="117"/>
      <c r="E590" s="117"/>
      <c r="F590" s="117" t="e">
        <f>#REF!</f>
        <v>#REF!</v>
      </c>
    </row>
    <row r="591" spans="1:6">
      <c r="A591" s="117"/>
      <c r="B591" s="117"/>
      <c r="C591" s="117" t="s">
        <v>1869</v>
      </c>
      <c r="D591" s="113"/>
      <c r="E591" s="117"/>
      <c r="F591" s="117">
        <v>5.26</v>
      </c>
    </row>
    <row r="592" spans="1:6">
      <c r="A592" s="117"/>
      <c r="B592" s="117"/>
      <c r="C592" s="124" t="s">
        <v>2010</v>
      </c>
      <c r="D592" s="126" t="s">
        <v>860</v>
      </c>
      <c r="E592" s="117"/>
      <c r="F592" s="126" t="e">
        <f>SUM(F589:F591)</f>
        <v>#REF!</v>
      </c>
    </row>
    <row r="593" spans="1:6">
      <c r="A593" s="138"/>
      <c r="B593" s="113" t="s">
        <v>1833</v>
      </c>
      <c r="C593" s="130" t="s">
        <v>1807</v>
      </c>
      <c r="D593" s="113"/>
      <c r="E593" s="130"/>
      <c r="F593" s="113"/>
    </row>
    <row r="594" spans="1:6">
      <c r="A594" s="113"/>
      <c r="B594" s="113"/>
      <c r="C594" s="129" t="s">
        <v>3285</v>
      </c>
      <c r="D594" s="113"/>
      <c r="E594" s="130"/>
      <c r="F594" s="113"/>
    </row>
    <row r="595" spans="1:6">
      <c r="A595" s="113"/>
      <c r="B595" s="113"/>
      <c r="C595" s="130" t="s">
        <v>930</v>
      </c>
      <c r="D595" s="113"/>
      <c r="E595" s="130"/>
      <c r="F595" s="113"/>
    </row>
    <row r="596" spans="1:6">
      <c r="A596" s="113"/>
      <c r="B596" s="113"/>
      <c r="C596" s="130" t="s">
        <v>931</v>
      </c>
      <c r="D596" s="113"/>
      <c r="E596" s="130"/>
      <c r="F596" s="113"/>
    </row>
    <row r="597" spans="1:6">
      <c r="A597" s="113"/>
      <c r="B597" s="113"/>
      <c r="C597" s="135" t="s">
        <v>1288</v>
      </c>
      <c r="D597" s="113"/>
      <c r="E597" s="130"/>
      <c r="F597" s="113"/>
    </row>
    <row r="598" spans="1:6" ht="78.75">
      <c r="A598" s="147">
        <v>1</v>
      </c>
      <c r="B598" s="147" t="s">
        <v>701</v>
      </c>
      <c r="C598" s="141" t="s">
        <v>2854</v>
      </c>
      <c r="D598" s="147">
        <f>Data!I3557</f>
        <v>1672</v>
      </c>
      <c r="E598" s="132" t="s">
        <v>701</v>
      </c>
      <c r="F598" s="147">
        <f>(A598*D598)</f>
        <v>1672</v>
      </c>
    </row>
    <row r="599" spans="1:6">
      <c r="A599" s="113"/>
      <c r="B599" s="113"/>
      <c r="C599" s="130"/>
      <c r="D599" s="147">
        <f>Data!I3558</f>
        <v>0</v>
      </c>
      <c r="E599" s="130"/>
      <c r="F599" s="113"/>
    </row>
    <row r="600" spans="1:6">
      <c r="A600" s="113"/>
      <c r="B600" s="113"/>
      <c r="C600" s="130"/>
      <c r="D600" s="147">
        <f>Data!I3559</f>
        <v>0</v>
      </c>
      <c r="E600" s="114"/>
      <c r="F600" s="113"/>
    </row>
    <row r="601" spans="1:6">
      <c r="A601" s="147">
        <v>1</v>
      </c>
      <c r="B601" s="147" t="s">
        <v>701</v>
      </c>
      <c r="C601" s="130" t="s">
        <v>1735</v>
      </c>
      <c r="D601" s="147">
        <f>Data!I3560</f>
        <v>-169</v>
      </c>
      <c r="E601" s="130" t="s">
        <v>701</v>
      </c>
      <c r="F601" s="147">
        <f>(A601*D601)</f>
        <v>-169</v>
      </c>
    </row>
    <row r="602" spans="1:6">
      <c r="A602" s="113"/>
      <c r="B602" s="113"/>
      <c r="C602" s="130"/>
      <c r="D602" s="147">
        <f>Data!I3561</f>
        <v>0</v>
      </c>
      <c r="E602" s="114"/>
      <c r="F602" s="113"/>
    </row>
    <row r="603" spans="1:6">
      <c r="A603" s="113">
        <v>1</v>
      </c>
      <c r="B603" s="113" t="s">
        <v>701</v>
      </c>
      <c r="C603" s="130" t="s">
        <v>1736</v>
      </c>
      <c r="D603" s="147">
        <f>Data!I3562</f>
        <v>250</v>
      </c>
      <c r="E603" s="130" t="s">
        <v>701</v>
      </c>
      <c r="F603" s="147">
        <f>(A603*D603)</f>
        <v>250</v>
      </c>
    </row>
    <row r="604" spans="1:6">
      <c r="A604" s="113"/>
      <c r="B604" s="113"/>
      <c r="C604" s="130"/>
      <c r="D604" s="147">
        <f>Data!I3563</f>
        <v>0</v>
      </c>
      <c r="E604" s="130"/>
      <c r="F604" s="113"/>
    </row>
    <row r="605" spans="1:6">
      <c r="A605" s="113">
        <v>0.5</v>
      </c>
      <c r="B605" s="113" t="s">
        <v>701</v>
      </c>
      <c r="C605" s="130" t="s">
        <v>1711</v>
      </c>
      <c r="D605" s="147">
        <f>Data!I3564</f>
        <v>866</v>
      </c>
      <c r="E605" s="130" t="s">
        <v>701</v>
      </c>
      <c r="F605" s="113">
        <f>(A605*D605)</f>
        <v>433</v>
      </c>
    </row>
    <row r="606" spans="1:6">
      <c r="A606" s="113">
        <v>1</v>
      </c>
      <c r="B606" s="113" t="s">
        <v>701</v>
      </c>
      <c r="C606" s="130" t="s">
        <v>1550</v>
      </c>
      <c r="D606" s="147">
        <f>Data!I3565</f>
        <v>651</v>
      </c>
      <c r="E606" s="130" t="s">
        <v>701</v>
      </c>
      <c r="F606" s="113">
        <f>(A606*D606)</f>
        <v>651</v>
      </c>
    </row>
    <row r="607" spans="1:6">
      <c r="A607" s="113">
        <v>0.5</v>
      </c>
      <c r="B607" s="113" t="s">
        <v>701</v>
      </c>
      <c r="C607" s="130" t="s">
        <v>1637</v>
      </c>
      <c r="D607" s="147">
        <f>Data!I3566</f>
        <v>999</v>
      </c>
      <c r="E607" s="130" t="s">
        <v>701</v>
      </c>
      <c r="F607" s="113">
        <f>(A607*D607)</f>
        <v>499.5</v>
      </c>
    </row>
    <row r="608" spans="1:6">
      <c r="A608" s="113"/>
      <c r="B608" s="113" t="s">
        <v>358</v>
      </c>
      <c r="C608" s="130" t="s">
        <v>932</v>
      </c>
      <c r="D608" s="113"/>
      <c r="E608" s="130" t="s">
        <v>358</v>
      </c>
      <c r="F608" s="113">
        <v>0.82</v>
      </c>
    </row>
    <row r="609" spans="1:6">
      <c r="A609" s="113"/>
      <c r="B609" s="113"/>
      <c r="C609" s="113"/>
      <c r="D609" s="113"/>
      <c r="E609" s="130"/>
      <c r="F609" s="135" t="s">
        <v>1288</v>
      </c>
    </row>
    <row r="610" spans="1:6">
      <c r="A610" s="113"/>
      <c r="B610" s="113"/>
      <c r="C610" s="130" t="s">
        <v>1428</v>
      </c>
      <c r="D610" s="113"/>
      <c r="E610" s="130"/>
      <c r="F610" s="127">
        <f>SUM(F598:F608)</f>
        <v>3337.32</v>
      </c>
    </row>
    <row r="611" spans="1:6">
      <c r="A611" s="113"/>
      <c r="B611" s="113"/>
      <c r="C611" s="113"/>
      <c r="D611" s="113"/>
      <c r="E611" s="130"/>
      <c r="F611" s="135" t="s">
        <v>1288</v>
      </c>
    </row>
    <row r="612" spans="1:6">
      <c r="A612" s="117"/>
      <c r="B612" s="117"/>
      <c r="C612" s="126" t="s">
        <v>2869</v>
      </c>
      <c r="D612" s="117"/>
      <c r="E612" s="117"/>
      <c r="F612" s="117"/>
    </row>
    <row r="613" spans="1:6">
      <c r="A613" s="117">
        <v>1</v>
      </c>
      <c r="B613" s="117" t="s">
        <v>1130</v>
      </c>
      <c r="C613" s="117" t="s">
        <v>3216</v>
      </c>
      <c r="D613" s="117">
        <v>391</v>
      </c>
      <c r="E613" s="117" t="s">
        <v>1130</v>
      </c>
      <c r="F613" s="117">
        <f>A613*D613</f>
        <v>391</v>
      </c>
    </row>
    <row r="614" spans="1:6">
      <c r="A614" s="117"/>
      <c r="B614" s="117"/>
      <c r="C614" s="117"/>
      <c r="D614" s="119"/>
      <c r="E614" s="117" t="s">
        <v>1130</v>
      </c>
      <c r="F614" s="117" t="e">
        <f>#REF!</f>
        <v>#REF!</v>
      </c>
    </row>
    <row r="615" spans="1:6">
      <c r="A615" s="117"/>
      <c r="B615" s="117"/>
      <c r="C615" s="117" t="s">
        <v>2878</v>
      </c>
      <c r="D615" s="117"/>
      <c r="E615" s="117"/>
      <c r="F615" s="117" t="e">
        <f>#REF!</f>
        <v>#REF!</v>
      </c>
    </row>
    <row r="616" spans="1:6">
      <c r="A616" s="117"/>
      <c r="B616" s="117"/>
      <c r="C616" s="117" t="s">
        <v>1850</v>
      </c>
      <c r="D616" s="117"/>
      <c r="E616" s="117"/>
      <c r="F616" s="117">
        <v>0.2</v>
      </c>
    </row>
    <row r="617" spans="1:6">
      <c r="A617" s="117"/>
      <c r="B617" s="117"/>
      <c r="C617" s="125" t="s">
        <v>1973</v>
      </c>
      <c r="D617" s="117"/>
      <c r="E617" s="117"/>
      <c r="F617" s="126" t="e">
        <f>SUM(F613:F616)</f>
        <v>#REF!</v>
      </c>
    </row>
    <row r="618" spans="1:6">
      <c r="A618" s="117"/>
      <c r="B618" s="117"/>
      <c r="C618" s="126" t="s">
        <v>2883</v>
      </c>
      <c r="D618" s="117"/>
      <c r="E618" s="117"/>
      <c r="F618" s="117"/>
    </row>
    <row r="619" spans="1:6">
      <c r="A619" s="117"/>
      <c r="B619" s="117"/>
      <c r="C619" s="126"/>
      <c r="D619" s="117"/>
      <c r="E619" s="117"/>
      <c r="F619" s="117"/>
    </row>
    <row r="620" spans="1:6" ht="31.5">
      <c r="A620" s="117">
        <v>1</v>
      </c>
      <c r="B620" s="117" t="s">
        <v>1130</v>
      </c>
      <c r="C620" s="116" t="s">
        <v>3215</v>
      </c>
      <c r="D620" s="123">
        <v>1193</v>
      </c>
      <c r="E620" s="117" t="s">
        <v>1130</v>
      </c>
      <c r="F620" s="117">
        <f>A620*D620</f>
        <v>1193</v>
      </c>
    </row>
    <row r="621" spans="1:6">
      <c r="A621" s="117">
        <v>1</v>
      </c>
      <c r="B621" s="117" t="s">
        <v>1130</v>
      </c>
      <c r="C621" s="116" t="s">
        <v>736</v>
      </c>
      <c r="D621" s="123" t="e">
        <f>#REF!</f>
        <v>#REF!</v>
      </c>
      <c r="E621" s="117" t="s">
        <v>1130</v>
      </c>
      <c r="F621" s="117" t="e">
        <f>A621*D621</f>
        <v>#REF!</v>
      </c>
    </row>
    <row r="622" spans="1:6">
      <c r="A622" s="117"/>
      <c r="B622" s="117"/>
      <c r="C622" s="116" t="s">
        <v>1850</v>
      </c>
      <c r="D622" s="117"/>
      <c r="E622" s="117"/>
      <c r="F622" s="117"/>
    </row>
    <row r="623" spans="1:6">
      <c r="A623" s="117"/>
      <c r="B623" s="117"/>
      <c r="C623" s="125" t="s">
        <v>860</v>
      </c>
      <c r="D623" s="117"/>
      <c r="E623" s="117"/>
      <c r="F623" s="126" t="e">
        <f>SUM(F620:F622)</f>
        <v>#REF!</v>
      </c>
    </row>
    <row r="624" spans="1:6">
      <c r="A624" s="114" t="s">
        <v>917</v>
      </c>
      <c r="B624" s="113" t="s">
        <v>1833</v>
      </c>
      <c r="C624" s="1245" t="s">
        <v>3277</v>
      </c>
      <c r="D624" s="1245"/>
      <c r="E624" s="130"/>
      <c r="F624" s="113"/>
    </row>
    <row r="625" spans="1:6">
      <c r="A625" s="113"/>
      <c r="B625" s="113"/>
      <c r="C625" s="135" t="s">
        <v>1288</v>
      </c>
      <c r="D625" s="113"/>
      <c r="E625" s="130"/>
      <c r="F625" s="113"/>
    </row>
    <row r="626" spans="1:6">
      <c r="A626" s="133">
        <v>7.3999999999999996E-2</v>
      </c>
      <c r="B626" s="113" t="s">
        <v>702</v>
      </c>
      <c r="C626" s="130" t="s">
        <v>3474</v>
      </c>
      <c r="D626" s="113" t="e">
        <f>Data!AI552</f>
        <v>#REF!</v>
      </c>
      <c r="E626" s="130" t="s">
        <v>702</v>
      </c>
      <c r="F626" s="113" t="e">
        <f>(A626*D626)</f>
        <v>#REF!</v>
      </c>
    </row>
    <row r="627" spans="1:6">
      <c r="A627" s="113">
        <v>0.5</v>
      </c>
      <c r="B627" s="113" t="s">
        <v>619</v>
      </c>
      <c r="C627" s="130" t="s">
        <v>1637</v>
      </c>
      <c r="D627" s="113">
        <f>Data!AI553</f>
        <v>999</v>
      </c>
      <c r="E627" s="130" t="s">
        <v>619</v>
      </c>
      <c r="F627" s="113">
        <f>(A627*D627)</f>
        <v>499.5</v>
      </c>
    </row>
    <row r="628" spans="1:6">
      <c r="A628" s="113">
        <v>0.75</v>
      </c>
      <c r="B628" s="113" t="s">
        <v>619</v>
      </c>
      <c r="C628" s="130" t="s">
        <v>1550</v>
      </c>
      <c r="D628" s="113">
        <f>Data!AI554</f>
        <v>651</v>
      </c>
      <c r="E628" s="130" t="s">
        <v>619</v>
      </c>
      <c r="F628" s="113">
        <f>(A628*D628)</f>
        <v>488.25</v>
      </c>
    </row>
    <row r="629" spans="1:6">
      <c r="A629" s="113"/>
      <c r="B629" s="113" t="s">
        <v>358</v>
      </c>
      <c r="C629" s="130" t="s">
        <v>359</v>
      </c>
      <c r="D629" s="113">
        <f>Data!AI555</f>
        <v>0</v>
      </c>
      <c r="E629" s="130" t="s">
        <v>358</v>
      </c>
      <c r="F629" s="113">
        <v>0</v>
      </c>
    </row>
    <row r="630" spans="1:6">
      <c r="A630" s="113"/>
      <c r="B630" s="113"/>
      <c r="C630" s="113"/>
      <c r="D630" s="113"/>
      <c r="E630" s="130"/>
      <c r="F630" s="135" t="s">
        <v>1288</v>
      </c>
    </row>
    <row r="631" spans="1:6">
      <c r="A631" s="113"/>
      <c r="B631" s="113"/>
      <c r="C631" s="130" t="s">
        <v>1425</v>
      </c>
      <c r="D631" s="113"/>
      <c r="E631" s="130"/>
      <c r="F631" s="113" t="e">
        <f>SUM(F626:F629)</f>
        <v>#REF!</v>
      </c>
    </row>
    <row r="632" spans="1:6">
      <c r="A632" s="113"/>
      <c r="B632" s="113"/>
      <c r="C632" s="113"/>
      <c r="D632" s="113"/>
      <c r="E632" s="130"/>
      <c r="F632" s="135" t="s">
        <v>1288</v>
      </c>
    </row>
    <row r="633" spans="1:6">
      <c r="A633" s="113"/>
      <c r="B633" s="113"/>
      <c r="C633" s="130" t="s">
        <v>2409</v>
      </c>
      <c r="D633" s="113"/>
      <c r="E633" s="130"/>
      <c r="F633" s="127" t="e">
        <f>(F631/0.743)</f>
        <v>#REF!</v>
      </c>
    </row>
    <row r="634" spans="1:6">
      <c r="A634" s="113"/>
      <c r="B634" s="113"/>
      <c r="C634" s="113"/>
      <c r="D634" s="113"/>
      <c r="E634" s="130"/>
      <c r="F634" s="135" t="s">
        <v>1676</v>
      </c>
    </row>
    <row r="635" spans="1:6">
      <c r="A635" s="172" t="s">
        <v>435</v>
      </c>
      <c r="B635" s="122" t="s">
        <v>1552</v>
      </c>
      <c r="C635" s="141" t="s">
        <v>446</v>
      </c>
      <c r="D635" s="122"/>
      <c r="E635" s="141"/>
      <c r="F635" s="122"/>
    </row>
    <row r="636" spans="1:6" ht="31.5">
      <c r="A636" s="151"/>
      <c r="B636" s="122"/>
      <c r="C636" s="141" t="s">
        <v>436</v>
      </c>
      <c r="D636" s="122"/>
      <c r="E636" s="141"/>
      <c r="F636" s="122"/>
    </row>
    <row r="637" spans="1:6">
      <c r="A637" s="151"/>
      <c r="B637" s="122"/>
      <c r="C637" s="152" t="s">
        <v>1288</v>
      </c>
      <c r="D637" s="122"/>
      <c r="E637" s="141"/>
      <c r="F637" s="122"/>
    </row>
    <row r="638" spans="1:6">
      <c r="A638" s="122">
        <v>1</v>
      </c>
      <c r="B638" s="122" t="s">
        <v>425</v>
      </c>
      <c r="C638" s="141" t="s">
        <v>426</v>
      </c>
      <c r="D638" s="122" t="e">
        <f>Data!I1601</f>
        <v>#REF!</v>
      </c>
      <c r="E638" s="141" t="s">
        <v>427</v>
      </c>
      <c r="F638" s="122" t="e">
        <f>(A638*D638)/10</f>
        <v>#REF!</v>
      </c>
    </row>
    <row r="639" spans="1:6">
      <c r="A639" s="151">
        <v>0.01</v>
      </c>
      <c r="B639" s="122" t="s">
        <v>425</v>
      </c>
      <c r="C639" s="141" t="s">
        <v>156</v>
      </c>
      <c r="D639" s="122">
        <f>Data!I1602</f>
        <v>56350</v>
      </c>
      <c r="E639" s="141" t="s">
        <v>427</v>
      </c>
      <c r="F639" s="122">
        <f>(A639*D639)/10</f>
        <v>56.35</v>
      </c>
    </row>
    <row r="640" spans="1:6">
      <c r="A640" s="151">
        <v>3.5</v>
      </c>
      <c r="B640" s="122" t="s">
        <v>619</v>
      </c>
      <c r="C640" s="141" t="s">
        <v>428</v>
      </c>
      <c r="D640" s="122">
        <f>Data!I1603</f>
        <v>866</v>
      </c>
      <c r="E640" s="141" t="s">
        <v>619</v>
      </c>
      <c r="F640" s="122">
        <f>(A640*D640)</f>
        <v>3031</v>
      </c>
    </row>
    <row r="641" spans="1:6">
      <c r="A641" s="151"/>
      <c r="B641" s="122" t="s">
        <v>358</v>
      </c>
      <c r="C641" s="141" t="s">
        <v>359</v>
      </c>
      <c r="D641" s="122"/>
      <c r="E641" s="141" t="s">
        <v>358</v>
      </c>
      <c r="F641" s="122">
        <v>0</v>
      </c>
    </row>
    <row r="642" spans="1:6">
      <c r="A642" s="122"/>
      <c r="B642" s="122"/>
      <c r="C642" s="122"/>
      <c r="D642" s="122"/>
      <c r="E642" s="141"/>
      <c r="F642" s="152" t="s">
        <v>1288</v>
      </c>
    </row>
    <row r="643" spans="1:6">
      <c r="A643" s="122"/>
      <c r="B643" s="122"/>
      <c r="C643" s="141" t="s">
        <v>431</v>
      </c>
      <c r="D643" s="122"/>
      <c r="E643" s="141"/>
      <c r="F643" s="122" t="e">
        <f>SUM(F638:F641)</f>
        <v>#REF!</v>
      </c>
    </row>
    <row r="644" spans="1:6">
      <c r="A644" s="122"/>
      <c r="B644" s="122"/>
      <c r="C644" s="122"/>
      <c r="D644" s="122"/>
      <c r="E644" s="141"/>
      <c r="F644" s="152" t="s">
        <v>1288</v>
      </c>
    </row>
    <row r="645" spans="1:6">
      <c r="A645" s="122"/>
      <c r="B645" s="122"/>
      <c r="C645" s="155" t="s">
        <v>432</v>
      </c>
      <c r="D645" s="143"/>
      <c r="E645" s="128"/>
      <c r="F645" s="143" t="e">
        <f>(F643*10)</f>
        <v>#REF!</v>
      </c>
    </row>
    <row r="646" spans="1:6">
      <c r="A646" s="173">
        <v>238</v>
      </c>
      <c r="B646" s="144" t="s">
        <v>1833</v>
      </c>
      <c r="C646" s="145" t="s">
        <v>476</v>
      </c>
      <c r="D646" s="144"/>
      <c r="E646" s="145"/>
      <c r="F646" s="144"/>
    </row>
    <row r="647" spans="1:6">
      <c r="A647" s="146"/>
      <c r="B647" s="113"/>
      <c r="C647" s="130" t="s">
        <v>1605</v>
      </c>
      <c r="D647" s="113"/>
      <c r="E647" s="130"/>
      <c r="F647" s="113"/>
    </row>
    <row r="648" spans="1:6">
      <c r="A648" s="146"/>
      <c r="B648" s="113"/>
      <c r="C648" s="135" t="s">
        <v>1288</v>
      </c>
      <c r="D648" s="113"/>
      <c r="E648" s="130"/>
      <c r="F648" s="113"/>
    </row>
    <row r="649" spans="1:6">
      <c r="A649" s="146">
        <v>20</v>
      </c>
      <c r="B649" s="113" t="s">
        <v>1008</v>
      </c>
      <c r="C649" s="130" t="s">
        <v>3475</v>
      </c>
      <c r="D649" s="113">
        <f>Data!I1559</f>
        <v>116.2</v>
      </c>
      <c r="E649" s="130" t="s">
        <v>1008</v>
      </c>
      <c r="F649" s="113">
        <f>(A649*D649)</f>
        <v>2324</v>
      </c>
    </row>
    <row r="650" spans="1:6">
      <c r="A650" s="146"/>
      <c r="B650" s="113"/>
      <c r="C650" s="130" t="s">
        <v>477</v>
      </c>
      <c r="D650" s="113">
        <f>Data!I1560</f>
        <v>0</v>
      </c>
      <c r="E650" s="130"/>
      <c r="F650" s="130" t="s">
        <v>790</v>
      </c>
    </row>
    <row r="651" spans="1:6">
      <c r="A651" s="146">
        <v>50</v>
      </c>
      <c r="B651" s="113" t="s">
        <v>1341</v>
      </c>
      <c r="C651" s="130" t="s">
        <v>695</v>
      </c>
      <c r="D651" s="113" t="e">
        <f>Data!I1561</f>
        <v>#REF!</v>
      </c>
      <c r="E651" s="130" t="s">
        <v>1341</v>
      </c>
      <c r="F651" s="113" t="e">
        <f>(A651*D651)</f>
        <v>#REF!</v>
      </c>
    </row>
    <row r="652" spans="1:6">
      <c r="A652" s="146">
        <v>1</v>
      </c>
      <c r="B652" s="113" t="s">
        <v>358</v>
      </c>
      <c r="C652" s="130" t="s">
        <v>478</v>
      </c>
      <c r="D652" s="113">
        <f>Data!I1562</f>
        <v>75</v>
      </c>
      <c r="E652" s="130" t="s">
        <v>358</v>
      </c>
      <c r="F652" s="113">
        <f>(A652*D652)</f>
        <v>75</v>
      </c>
    </row>
    <row r="653" spans="1:6">
      <c r="A653" s="146">
        <v>1</v>
      </c>
      <c r="B653" s="113" t="s">
        <v>358</v>
      </c>
      <c r="C653" s="130" t="s">
        <v>479</v>
      </c>
      <c r="D653" s="113">
        <f>Data!I1563</f>
        <v>40</v>
      </c>
      <c r="E653" s="130" t="s">
        <v>358</v>
      </c>
      <c r="F653" s="113">
        <f>(A653*D653)</f>
        <v>40</v>
      </c>
    </row>
    <row r="654" spans="1:6">
      <c r="A654" s="146">
        <v>2.5</v>
      </c>
      <c r="B654" s="113" t="s">
        <v>358</v>
      </c>
      <c r="C654" s="130" t="s">
        <v>480</v>
      </c>
      <c r="D654" s="113">
        <f>Data!I1564</f>
        <v>772</v>
      </c>
      <c r="E654" s="130" t="s">
        <v>358</v>
      </c>
      <c r="F654" s="113">
        <f>(A654*D654)</f>
        <v>1930</v>
      </c>
    </row>
    <row r="655" spans="1:6">
      <c r="A655" s="146"/>
      <c r="B655" s="113" t="s">
        <v>358</v>
      </c>
      <c r="C655" s="130" t="s">
        <v>405</v>
      </c>
      <c r="D655" s="113"/>
      <c r="E655" s="130" t="s">
        <v>358</v>
      </c>
      <c r="F655" s="142">
        <v>1.5</v>
      </c>
    </row>
    <row r="656" spans="1:6">
      <c r="A656" s="146"/>
      <c r="B656" s="113"/>
      <c r="C656" s="113"/>
      <c r="D656" s="113"/>
      <c r="E656" s="130"/>
      <c r="F656" s="135" t="s">
        <v>1288</v>
      </c>
    </row>
    <row r="657" spans="1:6">
      <c r="A657" s="146"/>
      <c r="B657" s="113"/>
      <c r="C657" s="115" t="s">
        <v>481</v>
      </c>
      <c r="D657" s="127"/>
      <c r="E657" s="129"/>
      <c r="F657" s="127" t="e">
        <f>SUM(F649:F655)</f>
        <v>#REF!</v>
      </c>
    </row>
    <row r="658" spans="1:6">
      <c r="A658" s="146"/>
      <c r="B658" s="113"/>
      <c r="C658" s="130"/>
      <c r="D658" s="113"/>
      <c r="E658" s="130"/>
      <c r="F658" s="135" t="s">
        <v>1288</v>
      </c>
    </row>
    <row r="659" spans="1:6">
      <c r="A659" s="138">
        <v>1.1000000000000001</v>
      </c>
      <c r="B659" s="113" t="s">
        <v>790</v>
      </c>
      <c r="C659" s="130" t="s">
        <v>1158</v>
      </c>
      <c r="D659" s="113"/>
      <c r="E659" s="130"/>
      <c r="F659" s="113"/>
    </row>
    <row r="660" spans="1:6">
      <c r="A660" s="140" t="s">
        <v>790</v>
      </c>
      <c r="B660" s="113"/>
      <c r="C660" s="130" t="s">
        <v>1208</v>
      </c>
      <c r="D660" s="113"/>
      <c r="E660" s="130"/>
      <c r="F660" s="113"/>
    </row>
    <row r="661" spans="1:6">
      <c r="A661" s="113">
        <v>10</v>
      </c>
      <c r="B661" s="113" t="s">
        <v>702</v>
      </c>
      <c r="C661" s="130" t="s">
        <v>958</v>
      </c>
      <c r="D661" s="113">
        <f>Data!I81</f>
        <v>112.05</v>
      </c>
      <c r="E661" s="130" t="s">
        <v>702</v>
      </c>
      <c r="F661" s="113">
        <f>(A661*D661)</f>
        <v>1120.5</v>
      </c>
    </row>
    <row r="662" spans="1:6">
      <c r="A662" s="113">
        <v>10</v>
      </c>
      <c r="B662" s="113" t="s">
        <v>702</v>
      </c>
      <c r="C662" s="130" t="s">
        <v>1639</v>
      </c>
      <c r="D662" s="113">
        <f>Data!I82</f>
        <v>112.05</v>
      </c>
      <c r="E662" s="130" t="s">
        <v>702</v>
      </c>
      <c r="F662" s="113">
        <f>(A662*D662)</f>
        <v>1120.5</v>
      </c>
    </row>
    <row r="663" spans="1:6">
      <c r="A663" s="113">
        <v>10</v>
      </c>
      <c r="B663" s="113" t="s">
        <v>702</v>
      </c>
      <c r="C663" s="130" t="s">
        <v>1641</v>
      </c>
      <c r="D663" s="113">
        <f>Data!I83</f>
        <v>12.98</v>
      </c>
      <c r="E663" s="130" t="s">
        <v>702</v>
      </c>
      <c r="F663" s="113">
        <f>(A663*D663)</f>
        <v>129.80000000000001</v>
      </c>
    </row>
    <row r="664" spans="1:6">
      <c r="A664" s="113"/>
      <c r="B664" s="113" t="s">
        <v>358</v>
      </c>
      <c r="C664" s="130" t="s">
        <v>359</v>
      </c>
      <c r="D664" s="113"/>
      <c r="E664" s="130" t="s">
        <v>358</v>
      </c>
      <c r="F664" s="113">
        <v>0</v>
      </c>
    </row>
    <row r="665" spans="1:6">
      <c r="A665" s="113"/>
      <c r="B665" s="113"/>
      <c r="C665" s="113"/>
      <c r="D665" s="113"/>
      <c r="E665" s="130"/>
      <c r="F665" s="135" t="s">
        <v>1288</v>
      </c>
    </row>
    <row r="666" spans="1:6">
      <c r="A666" s="113"/>
      <c r="B666" s="113"/>
      <c r="C666" s="130" t="s">
        <v>492</v>
      </c>
      <c r="D666" s="113"/>
      <c r="E666" s="130"/>
      <c r="F666" s="113">
        <f>SUM(F661:F664)</f>
        <v>2370.8000000000002</v>
      </c>
    </row>
    <row r="667" spans="1:6">
      <c r="A667" s="113"/>
      <c r="B667" s="113"/>
      <c r="C667" s="113"/>
      <c r="D667" s="113"/>
      <c r="E667" s="130"/>
      <c r="F667" s="135" t="s">
        <v>1288</v>
      </c>
    </row>
    <row r="668" spans="1:6">
      <c r="A668" s="113"/>
      <c r="B668" s="113"/>
      <c r="C668" s="129" t="s">
        <v>1673</v>
      </c>
      <c r="D668" s="127" t="s">
        <v>1135</v>
      </c>
      <c r="E668" s="129"/>
      <c r="F668" s="127">
        <f>(F666/10)</f>
        <v>237.08</v>
      </c>
    </row>
    <row r="669" spans="1:6">
      <c r="A669" s="138">
        <v>1.6</v>
      </c>
      <c r="B669" s="113"/>
      <c r="C669" s="130" t="s">
        <v>641</v>
      </c>
      <c r="D669" s="127"/>
      <c r="E669" s="130"/>
      <c r="F669" s="113"/>
    </row>
    <row r="670" spans="1:6">
      <c r="A670" s="113"/>
      <c r="B670" s="113"/>
      <c r="C670" s="130" t="s">
        <v>303</v>
      </c>
      <c r="D670" s="127" t="s">
        <v>1135</v>
      </c>
      <c r="E670" s="130"/>
      <c r="F670" s="127">
        <f>Data!K133</f>
        <v>168.08</v>
      </c>
    </row>
    <row r="671" spans="1:6">
      <c r="A671" s="114" t="s">
        <v>536</v>
      </c>
      <c r="B671" s="113" t="s">
        <v>1833</v>
      </c>
      <c r="C671" s="130" t="s">
        <v>537</v>
      </c>
      <c r="D671" s="113"/>
      <c r="E671" s="130"/>
      <c r="F671" s="113"/>
    </row>
    <row r="672" spans="1:6">
      <c r="A672" s="113"/>
      <c r="B672" s="113"/>
      <c r="C672" s="130" t="s">
        <v>539</v>
      </c>
      <c r="D672" s="113"/>
      <c r="E672" s="130"/>
      <c r="F672" s="113"/>
    </row>
    <row r="673" spans="1:6">
      <c r="A673" s="113"/>
      <c r="B673" s="113"/>
      <c r="C673" s="135" t="s">
        <v>1288</v>
      </c>
      <c r="D673" s="113"/>
      <c r="E673" s="130"/>
      <c r="F673" s="113"/>
    </row>
    <row r="674" spans="1:6">
      <c r="A674" s="113">
        <v>9</v>
      </c>
      <c r="B674" s="113" t="s">
        <v>702</v>
      </c>
      <c r="C674" s="130" t="s">
        <v>1334</v>
      </c>
      <c r="D674" s="113" t="e">
        <f>Data!I195</f>
        <v>#REF!</v>
      </c>
      <c r="E674" s="130" t="s">
        <v>702</v>
      </c>
      <c r="F674" s="113" t="e">
        <f>(A674*D674)</f>
        <v>#REF!</v>
      </c>
    </row>
    <row r="675" spans="1:6">
      <c r="A675" s="113">
        <v>4.5</v>
      </c>
      <c r="B675" s="113" t="s">
        <v>702</v>
      </c>
      <c r="C675" s="130" t="s">
        <v>1325</v>
      </c>
      <c r="D675" s="113" t="e">
        <f>Data!I196</f>
        <v>#REF!</v>
      </c>
      <c r="E675" s="130" t="s">
        <v>702</v>
      </c>
      <c r="F675" s="113" t="e">
        <f>(A675*D675)</f>
        <v>#REF!</v>
      </c>
    </row>
    <row r="676" spans="1:6">
      <c r="A676" s="113">
        <v>1.8</v>
      </c>
      <c r="B676" s="113" t="s">
        <v>701</v>
      </c>
      <c r="C676" s="130" t="s">
        <v>1392</v>
      </c>
      <c r="D676" s="113">
        <f>Data!I197</f>
        <v>932</v>
      </c>
      <c r="E676" s="130" t="s">
        <v>701</v>
      </c>
      <c r="F676" s="113">
        <f>(A676*D676)</f>
        <v>1677.6</v>
      </c>
    </row>
    <row r="677" spans="1:6">
      <c r="A677" s="113">
        <v>17.7</v>
      </c>
      <c r="B677" s="113" t="s">
        <v>701</v>
      </c>
      <c r="C677" s="130" t="s">
        <v>1550</v>
      </c>
      <c r="D677" s="113">
        <f>Data!I198</f>
        <v>651</v>
      </c>
      <c r="E677" s="130" t="s">
        <v>701</v>
      </c>
      <c r="F677" s="113">
        <f>(A677*D677)</f>
        <v>11522.7</v>
      </c>
    </row>
    <row r="678" spans="1:6">
      <c r="A678" s="113">
        <v>14.1</v>
      </c>
      <c r="B678" s="113" t="s">
        <v>701</v>
      </c>
      <c r="C678" s="130" t="s">
        <v>245</v>
      </c>
      <c r="D678" s="113">
        <f>Data!I199</f>
        <v>534</v>
      </c>
      <c r="E678" s="130" t="s">
        <v>701</v>
      </c>
      <c r="F678" s="113">
        <f>(A678*D678)</f>
        <v>7529.4</v>
      </c>
    </row>
    <row r="679" spans="1:6">
      <c r="A679" s="113"/>
      <c r="B679" s="113" t="s">
        <v>358</v>
      </c>
      <c r="C679" s="130" t="s">
        <v>359</v>
      </c>
      <c r="D679" s="113"/>
      <c r="E679" s="130" t="s">
        <v>358</v>
      </c>
      <c r="F679" s="113">
        <v>0</v>
      </c>
    </row>
    <row r="680" spans="1:6">
      <c r="A680" s="113"/>
      <c r="B680" s="113"/>
      <c r="C680" s="113"/>
      <c r="D680" s="113"/>
      <c r="E680" s="130"/>
      <c r="F680" s="135" t="s">
        <v>1288</v>
      </c>
    </row>
    <row r="681" spans="1:6">
      <c r="A681" s="113"/>
      <c r="B681" s="113"/>
      <c r="C681" s="113"/>
      <c r="D681" s="113"/>
      <c r="E681" s="130"/>
      <c r="F681" s="113" t="e">
        <f>SUM(F674:F679)</f>
        <v>#REF!</v>
      </c>
    </row>
    <row r="682" spans="1:6">
      <c r="A682" s="113"/>
      <c r="B682" s="113"/>
      <c r="C682" s="114" t="s">
        <v>492</v>
      </c>
      <c r="D682" s="113"/>
      <c r="E682" s="130"/>
      <c r="F682" s="135" t="s">
        <v>1288</v>
      </c>
    </row>
    <row r="683" spans="1:6">
      <c r="A683" s="113"/>
      <c r="B683" s="113"/>
      <c r="C683" s="113"/>
      <c r="D683" s="113"/>
      <c r="E683" s="130"/>
      <c r="F683" s="127" t="e">
        <f>(F681/10)</f>
        <v>#REF!</v>
      </c>
    </row>
    <row r="684" spans="1:6">
      <c r="A684" s="113"/>
      <c r="B684" s="113"/>
      <c r="C684" s="115" t="s">
        <v>621</v>
      </c>
      <c r="D684" s="113"/>
      <c r="E684" s="130"/>
      <c r="F684" s="135" t="s">
        <v>1676</v>
      </c>
    </row>
    <row r="685" spans="1:6">
      <c r="A685" s="114" t="s">
        <v>1683</v>
      </c>
      <c r="B685" s="113" t="s">
        <v>1833</v>
      </c>
      <c r="C685" s="130" t="s">
        <v>3276</v>
      </c>
      <c r="D685" s="113"/>
      <c r="E685" s="130"/>
      <c r="F685" s="113"/>
    </row>
    <row r="686" spans="1:6">
      <c r="A686" s="113"/>
      <c r="B686" s="113"/>
      <c r="C686" s="130" t="s">
        <v>1684</v>
      </c>
      <c r="D686" s="113"/>
      <c r="E686" s="130"/>
      <c r="F686" s="113"/>
    </row>
    <row r="687" spans="1:6">
      <c r="A687" s="113"/>
      <c r="B687" s="113"/>
      <c r="C687" s="135" t="s">
        <v>1288</v>
      </c>
      <c r="D687" s="113"/>
      <c r="E687" s="130"/>
      <c r="F687" s="113"/>
    </row>
    <row r="688" spans="1:6">
      <c r="A688" s="113">
        <v>9</v>
      </c>
      <c r="B688" s="113" t="s">
        <v>702</v>
      </c>
      <c r="C688" s="130" t="s">
        <v>1468</v>
      </c>
      <c r="D688" s="113" t="e">
        <f>Data!I225</f>
        <v>#REF!</v>
      </c>
      <c r="E688" s="130" t="s">
        <v>702</v>
      </c>
      <c r="F688" s="113" t="e">
        <f>(A688*D688)</f>
        <v>#REF!</v>
      </c>
    </row>
    <row r="689" spans="1:6">
      <c r="A689" s="113">
        <v>4.5</v>
      </c>
      <c r="B689" s="113" t="s">
        <v>702</v>
      </c>
      <c r="C689" s="130" t="s">
        <v>1330</v>
      </c>
      <c r="D689" s="113" t="e">
        <f>Data!I226</f>
        <v>#REF!</v>
      </c>
      <c r="E689" s="130" t="s">
        <v>702</v>
      </c>
      <c r="F689" s="113" t="e">
        <f>(A689*D689)</f>
        <v>#REF!</v>
      </c>
    </row>
    <row r="690" spans="1:6">
      <c r="A690" s="113">
        <v>1.8</v>
      </c>
      <c r="B690" s="113" t="s">
        <v>701</v>
      </c>
      <c r="C690" s="130" t="s">
        <v>1392</v>
      </c>
      <c r="D690" s="113">
        <f>Data!I227</f>
        <v>932</v>
      </c>
      <c r="E690" s="130" t="s">
        <v>701</v>
      </c>
      <c r="F690" s="113">
        <f>(A690*D690)</f>
        <v>1677.6</v>
      </c>
    </row>
    <row r="691" spans="1:6">
      <c r="A691" s="113">
        <v>17.7</v>
      </c>
      <c r="B691" s="113" t="s">
        <v>701</v>
      </c>
      <c r="C691" s="130" t="s">
        <v>1550</v>
      </c>
      <c r="D691" s="113">
        <f>Data!I228</f>
        <v>651</v>
      </c>
      <c r="E691" s="130" t="s">
        <v>701</v>
      </c>
      <c r="F691" s="113">
        <f>(A691*D691)</f>
        <v>11522.7</v>
      </c>
    </row>
    <row r="692" spans="1:6">
      <c r="A692" s="113">
        <v>14.1</v>
      </c>
      <c r="B692" s="113" t="s">
        <v>701</v>
      </c>
      <c r="C692" s="130" t="s">
        <v>245</v>
      </c>
      <c r="D692" s="113">
        <f>Data!I229</f>
        <v>534</v>
      </c>
      <c r="E692" s="130" t="s">
        <v>701</v>
      </c>
      <c r="F692" s="113">
        <f>(A692*D692)</f>
        <v>7529.4</v>
      </c>
    </row>
    <row r="693" spans="1:6">
      <c r="A693" s="113"/>
      <c r="B693" s="113" t="s">
        <v>358</v>
      </c>
      <c r="C693" s="130" t="s">
        <v>359</v>
      </c>
      <c r="D693" s="113"/>
      <c r="E693" s="130" t="s">
        <v>358</v>
      </c>
      <c r="F693" s="113">
        <v>0</v>
      </c>
    </row>
    <row r="694" spans="1:6">
      <c r="A694" s="113"/>
      <c r="B694" s="113"/>
      <c r="C694" s="113"/>
      <c r="D694" s="113"/>
      <c r="E694" s="130"/>
      <c r="F694" s="135" t="s">
        <v>1288</v>
      </c>
    </row>
    <row r="695" spans="1:6">
      <c r="A695" s="113"/>
      <c r="B695" s="113"/>
      <c r="C695" s="113"/>
      <c r="D695" s="113"/>
      <c r="E695" s="130"/>
      <c r="F695" s="113" t="e">
        <f>SUM(F688:F693)</f>
        <v>#REF!</v>
      </c>
    </row>
    <row r="696" spans="1:6">
      <c r="A696" s="113"/>
      <c r="B696" s="113"/>
      <c r="C696" s="130" t="s">
        <v>492</v>
      </c>
      <c r="D696" s="113"/>
      <c r="E696" s="130"/>
      <c r="F696" s="135" t="s">
        <v>1288</v>
      </c>
    </row>
    <row r="697" spans="1:6">
      <c r="A697" s="113"/>
      <c r="B697" s="113"/>
      <c r="C697" s="113"/>
      <c r="D697" s="113"/>
      <c r="E697" s="130"/>
      <c r="F697" s="127" t="e">
        <f>(F695/10)</f>
        <v>#REF!</v>
      </c>
    </row>
    <row r="698" spans="1:6">
      <c r="A698" s="113"/>
      <c r="B698" s="113"/>
      <c r="C698" s="115" t="s">
        <v>621</v>
      </c>
      <c r="D698" s="113"/>
      <c r="E698" s="130"/>
      <c r="F698" s="135" t="s">
        <v>1676</v>
      </c>
    </row>
    <row r="699" spans="1:6">
      <c r="A699" s="138">
        <v>6.5</v>
      </c>
      <c r="B699" s="113" t="s">
        <v>1833</v>
      </c>
      <c r="C699" s="130" t="s">
        <v>1961</v>
      </c>
      <c r="D699" s="113"/>
      <c r="E699" s="130"/>
      <c r="F699" s="113"/>
    </row>
    <row r="700" spans="1:6">
      <c r="A700" s="113"/>
      <c r="B700" s="113"/>
      <c r="C700" s="130" t="s">
        <v>1981</v>
      </c>
      <c r="D700" s="113"/>
      <c r="E700" s="130"/>
      <c r="F700" s="113"/>
    </row>
    <row r="701" spans="1:6">
      <c r="A701" s="113"/>
      <c r="B701" s="113"/>
      <c r="C701" s="135" t="s">
        <v>1288</v>
      </c>
      <c r="D701" s="113"/>
      <c r="E701" s="130"/>
      <c r="F701" s="113"/>
    </row>
    <row r="702" spans="1:6">
      <c r="A702" s="113">
        <v>4800</v>
      </c>
      <c r="B702" s="113" t="s">
        <v>1159</v>
      </c>
      <c r="C702" s="113" t="str">
        <f>C700</f>
        <v>Bricks of size 22x11x7 cm</v>
      </c>
      <c r="D702" s="113" t="e">
        <f>Data!I311</f>
        <v>#REF!</v>
      </c>
      <c r="E702" s="130" t="s">
        <v>1296</v>
      </c>
      <c r="F702" s="113" t="e">
        <f>(A702*D702)/1000</f>
        <v>#REF!</v>
      </c>
    </row>
    <row r="703" spans="1:6">
      <c r="A703" s="113">
        <v>2.5</v>
      </c>
      <c r="B703" s="113" t="s">
        <v>702</v>
      </c>
      <c r="C703" s="130" t="s">
        <v>1325</v>
      </c>
      <c r="D703" s="113" t="e">
        <f>Data!I312</f>
        <v>#REF!</v>
      </c>
      <c r="E703" s="130" t="s">
        <v>702</v>
      </c>
      <c r="F703" s="113" t="e">
        <f>(A703*D703)</f>
        <v>#REF!</v>
      </c>
    </row>
    <row r="704" spans="1:6">
      <c r="A704" s="113">
        <v>3.5</v>
      </c>
      <c r="B704" s="113" t="s">
        <v>701</v>
      </c>
      <c r="C704" s="130" t="s">
        <v>1637</v>
      </c>
      <c r="D704" s="113">
        <f>Data!I313</f>
        <v>999</v>
      </c>
      <c r="E704" s="130" t="s">
        <v>701</v>
      </c>
      <c r="F704" s="113">
        <f>(A704*D704)</f>
        <v>3496.5</v>
      </c>
    </row>
    <row r="705" spans="1:6">
      <c r="A705" s="113">
        <v>10.6</v>
      </c>
      <c r="B705" s="113" t="s">
        <v>701</v>
      </c>
      <c r="C705" s="130" t="s">
        <v>1392</v>
      </c>
      <c r="D705" s="113">
        <f>Data!I314</f>
        <v>932</v>
      </c>
      <c r="E705" s="130" t="s">
        <v>701</v>
      </c>
      <c r="F705" s="113">
        <f>(A705*D705)</f>
        <v>9879.2000000000007</v>
      </c>
    </row>
    <row r="706" spans="1:6">
      <c r="A706" s="113">
        <v>7.1</v>
      </c>
      <c r="B706" s="113" t="s">
        <v>701</v>
      </c>
      <c r="C706" s="130" t="s">
        <v>1550</v>
      </c>
      <c r="D706" s="113">
        <f>Data!I315</f>
        <v>651</v>
      </c>
      <c r="E706" s="130" t="s">
        <v>701</v>
      </c>
      <c r="F706" s="113">
        <f>(A706*D706)</f>
        <v>4622.1000000000004</v>
      </c>
    </row>
    <row r="707" spans="1:6">
      <c r="A707" s="113">
        <v>21.2</v>
      </c>
      <c r="B707" s="113" t="s">
        <v>701</v>
      </c>
      <c r="C707" s="130" t="s">
        <v>245</v>
      </c>
      <c r="D707" s="113">
        <f>Data!I316</f>
        <v>534</v>
      </c>
      <c r="E707" s="130" t="s">
        <v>701</v>
      </c>
      <c r="F707" s="113">
        <f>(A707*D707)</f>
        <v>11320.8</v>
      </c>
    </row>
    <row r="708" spans="1:6">
      <c r="A708" s="113"/>
      <c r="B708" s="113" t="s">
        <v>358</v>
      </c>
      <c r="C708" s="130" t="s">
        <v>359</v>
      </c>
      <c r="D708" s="113"/>
      <c r="E708" s="130" t="s">
        <v>358</v>
      </c>
      <c r="F708" s="113">
        <v>5</v>
      </c>
    </row>
    <row r="709" spans="1:6">
      <c r="A709" s="113"/>
      <c r="B709" s="113"/>
      <c r="C709" s="113"/>
      <c r="D709" s="113"/>
      <c r="E709" s="130"/>
      <c r="F709" s="135" t="s">
        <v>1288</v>
      </c>
    </row>
    <row r="710" spans="1:6">
      <c r="A710" s="113"/>
      <c r="B710" s="113"/>
      <c r="C710" s="130" t="s">
        <v>492</v>
      </c>
      <c r="D710" s="113"/>
      <c r="E710" s="130"/>
      <c r="F710" s="113" t="e">
        <f>SUM(F702:F708)</f>
        <v>#REF!</v>
      </c>
    </row>
    <row r="711" spans="1:6">
      <c r="A711" s="113"/>
      <c r="B711" s="113"/>
      <c r="C711" s="113"/>
      <c r="D711" s="113"/>
      <c r="E711" s="130"/>
      <c r="F711" s="135" t="s">
        <v>1288</v>
      </c>
    </row>
    <row r="712" spans="1:6">
      <c r="A712" s="113"/>
      <c r="B712" s="113"/>
      <c r="C712" s="115" t="s">
        <v>621</v>
      </c>
      <c r="D712" s="113"/>
      <c r="E712" s="130"/>
      <c r="F712" s="127" t="e">
        <f>(F710/10)</f>
        <v>#REF!</v>
      </c>
    </row>
    <row r="713" spans="1:6">
      <c r="A713" s="113"/>
      <c r="B713" s="113"/>
      <c r="C713" s="113"/>
      <c r="D713" s="113"/>
      <c r="E713" s="130"/>
      <c r="F713" s="135" t="s">
        <v>1676</v>
      </c>
    </row>
    <row r="714" spans="1:6">
      <c r="A714" s="137">
        <v>10</v>
      </c>
      <c r="B714" s="113" t="s">
        <v>1833</v>
      </c>
      <c r="C714" s="130" t="s">
        <v>1944</v>
      </c>
      <c r="D714" s="113"/>
      <c r="E714" s="130"/>
      <c r="F714" s="113"/>
    </row>
    <row r="715" spans="1:6">
      <c r="A715" s="113"/>
      <c r="B715" s="113"/>
      <c r="C715" s="113" t="str">
        <f>Data!H377</f>
        <v>Bricks of size 22x11x7 cm</v>
      </c>
      <c r="D715" s="113"/>
      <c r="E715" s="130"/>
      <c r="F715" s="113"/>
    </row>
    <row r="716" spans="1:6">
      <c r="A716" s="113"/>
      <c r="B716" s="113"/>
      <c r="C716" s="135" t="s">
        <v>1288</v>
      </c>
      <c r="D716" s="113"/>
      <c r="E716" s="130"/>
      <c r="F716" s="113"/>
    </row>
    <row r="717" spans="1:6">
      <c r="A717" s="113">
        <f>Data!F379</f>
        <v>4800</v>
      </c>
      <c r="B717" s="113" t="s">
        <v>1159</v>
      </c>
      <c r="C717" s="113" t="str">
        <f>C715</f>
        <v>Bricks of size 22x11x7 cm</v>
      </c>
      <c r="D717" s="113" t="e">
        <f>Data!I379</f>
        <v>#REF!</v>
      </c>
      <c r="E717" s="130" t="s">
        <v>1296</v>
      </c>
      <c r="F717" s="113" t="e">
        <f>(A717*D717)/1000</f>
        <v>#REF!</v>
      </c>
    </row>
    <row r="718" spans="1:6">
      <c r="A718" s="113">
        <v>1.59</v>
      </c>
      <c r="B718" s="113" t="s">
        <v>702</v>
      </c>
      <c r="C718" s="130" t="s">
        <v>1063</v>
      </c>
      <c r="D718" s="113" t="e">
        <f>Data!I380</f>
        <v>#REF!</v>
      </c>
      <c r="E718" s="130" t="s">
        <v>702</v>
      </c>
      <c r="F718" s="113" t="e">
        <f>(A718*D718)</f>
        <v>#REF!</v>
      </c>
    </row>
    <row r="719" spans="1:6">
      <c r="A719" s="113">
        <v>7</v>
      </c>
      <c r="B719" s="113" t="s">
        <v>701</v>
      </c>
      <c r="C719" s="130" t="s">
        <v>1637</v>
      </c>
      <c r="D719" s="113">
        <f>Data!I381</f>
        <v>999</v>
      </c>
      <c r="E719" s="130" t="s">
        <v>701</v>
      </c>
      <c r="F719" s="113">
        <f>(A719*D719)</f>
        <v>6993</v>
      </c>
    </row>
    <row r="720" spans="1:6">
      <c r="A720" s="113">
        <v>7.1</v>
      </c>
      <c r="B720" s="113" t="s">
        <v>701</v>
      </c>
      <c r="C720" s="130" t="s">
        <v>1392</v>
      </c>
      <c r="D720" s="113">
        <f>Data!I382</f>
        <v>932</v>
      </c>
      <c r="E720" s="130" t="s">
        <v>701</v>
      </c>
      <c r="F720" s="113">
        <f>(A720*D720)</f>
        <v>6617.2</v>
      </c>
    </row>
    <row r="721" spans="1:6">
      <c r="A721" s="113">
        <v>7.1</v>
      </c>
      <c r="B721" s="113" t="s">
        <v>701</v>
      </c>
      <c r="C721" s="130" t="s">
        <v>1550</v>
      </c>
      <c r="D721" s="113">
        <f>Data!I383</f>
        <v>651</v>
      </c>
      <c r="E721" s="130" t="s">
        <v>701</v>
      </c>
      <c r="F721" s="113">
        <f>(A721*D721)</f>
        <v>4622.1000000000004</v>
      </c>
    </row>
    <row r="722" spans="1:6">
      <c r="A722" s="113">
        <v>21.2</v>
      </c>
      <c r="B722" s="113" t="s">
        <v>701</v>
      </c>
      <c r="C722" s="130" t="s">
        <v>245</v>
      </c>
      <c r="D722" s="113">
        <f>Data!I384</f>
        <v>534</v>
      </c>
      <c r="E722" s="130" t="s">
        <v>701</v>
      </c>
      <c r="F722" s="113">
        <f>(A722*D722)</f>
        <v>11320.8</v>
      </c>
    </row>
    <row r="723" spans="1:6">
      <c r="A723" s="113"/>
      <c r="B723" s="113" t="s">
        <v>358</v>
      </c>
      <c r="C723" s="130" t="s">
        <v>359</v>
      </c>
      <c r="D723" s="113" t="str">
        <f>Data!I385</f>
        <v xml:space="preserve"> </v>
      </c>
      <c r="E723" s="130" t="s">
        <v>358</v>
      </c>
      <c r="F723" s="113">
        <v>0</v>
      </c>
    </row>
    <row r="724" spans="1:6">
      <c r="A724" s="113"/>
      <c r="B724" s="113"/>
      <c r="C724" s="113"/>
      <c r="D724" s="113"/>
      <c r="E724" s="130"/>
      <c r="F724" s="135" t="s">
        <v>1288</v>
      </c>
    </row>
    <row r="725" spans="1:6">
      <c r="A725" s="113"/>
      <c r="B725" s="113"/>
      <c r="C725" s="130" t="s">
        <v>492</v>
      </c>
      <c r="D725" s="113"/>
      <c r="E725" s="130"/>
      <c r="F725" s="113" t="e">
        <f>SUM(F717:F723)</f>
        <v>#REF!</v>
      </c>
    </row>
    <row r="726" spans="1:6">
      <c r="A726" s="113"/>
      <c r="B726" s="113"/>
      <c r="C726" s="113"/>
      <c r="D726" s="113"/>
      <c r="E726" s="130"/>
      <c r="F726" s="135" t="s">
        <v>1288</v>
      </c>
    </row>
    <row r="727" spans="1:6">
      <c r="A727" s="113"/>
      <c r="B727" s="113"/>
      <c r="C727" s="130" t="s">
        <v>621</v>
      </c>
      <c r="D727" s="113"/>
      <c r="E727" s="130"/>
      <c r="F727" s="113" t="e">
        <f>(F725/10)</f>
        <v>#REF!</v>
      </c>
    </row>
    <row r="728" spans="1:6">
      <c r="A728" s="113"/>
      <c r="B728" s="113"/>
      <c r="C728" s="113"/>
      <c r="D728" s="113"/>
      <c r="E728" s="130"/>
      <c r="F728" s="135" t="s">
        <v>1676</v>
      </c>
    </row>
    <row r="729" spans="1:6">
      <c r="A729" s="113"/>
      <c r="B729" s="113"/>
      <c r="C729" s="113"/>
      <c r="D729" s="113"/>
      <c r="E729" s="130"/>
      <c r="F729" s="113"/>
    </row>
    <row r="730" spans="1:6">
      <c r="A730" s="113"/>
      <c r="B730" s="113" t="s">
        <v>544</v>
      </c>
      <c r="C730" s="130" t="s">
        <v>1983</v>
      </c>
      <c r="D730" s="113"/>
      <c r="E730" s="130"/>
      <c r="F730" s="113"/>
    </row>
    <row r="731" spans="1:6">
      <c r="A731" s="113"/>
      <c r="B731" s="113"/>
      <c r="C731" s="135" t="s">
        <v>1288</v>
      </c>
      <c r="D731" s="113"/>
      <c r="E731" s="130"/>
      <c r="F731" s="113"/>
    </row>
    <row r="732" spans="1:6">
      <c r="A732" s="113">
        <v>1.1000000000000001</v>
      </c>
      <c r="B732" s="113" t="s">
        <v>702</v>
      </c>
      <c r="C732" s="130" t="s">
        <v>908</v>
      </c>
      <c r="D732" s="113" t="e">
        <f>(F727)</f>
        <v>#REF!</v>
      </c>
      <c r="E732" s="130" t="s">
        <v>702</v>
      </c>
      <c r="F732" s="113" t="e">
        <f>(A732*D732)</f>
        <v>#REF!</v>
      </c>
    </row>
    <row r="733" spans="1:6">
      <c r="A733" s="113">
        <v>1</v>
      </c>
      <c r="B733" s="113" t="s">
        <v>619</v>
      </c>
      <c r="C733" s="130" t="s">
        <v>1637</v>
      </c>
      <c r="D733" s="113">
        <f>Data!I395</f>
        <v>999</v>
      </c>
      <c r="E733" s="130" t="s">
        <v>701</v>
      </c>
      <c r="F733" s="113">
        <f>(A733*D733)</f>
        <v>999</v>
      </c>
    </row>
    <row r="734" spans="1:6">
      <c r="A734" s="113"/>
      <c r="B734" s="113" t="s">
        <v>358</v>
      </c>
      <c r="C734" s="130" t="s">
        <v>359</v>
      </c>
      <c r="D734" s="130" t="s">
        <v>790</v>
      </c>
      <c r="E734" s="130" t="s">
        <v>358</v>
      </c>
      <c r="F734" s="113">
        <v>0</v>
      </c>
    </row>
    <row r="735" spans="1:6">
      <c r="A735" s="113"/>
      <c r="B735" s="113"/>
      <c r="C735" s="113"/>
      <c r="D735" s="113"/>
      <c r="E735" s="130"/>
      <c r="F735" s="135" t="s">
        <v>1288</v>
      </c>
    </row>
    <row r="736" spans="1:6">
      <c r="A736" s="113"/>
      <c r="B736" s="113"/>
      <c r="C736" s="130" t="s">
        <v>351</v>
      </c>
      <c r="D736" s="113"/>
      <c r="E736" s="130"/>
      <c r="F736" s="113" t="e">
        <f>SUM(F732:F734)</f>
        <v>#REF!</v>
      </c>
    </row>
    <row r="737" spans="1:6">
      <c r="A737" s="113"/>
      <c r="B737" s="113"/>
      <c r="C737" s="113"/>
      <c r="D737" s="113"/>
      <c r="E737" s="130"/>
      <c r="F737" s="135" t="s">
        <v>1288</v>
      </c>
    </row>
    <row r="738" spans="1:6">
      <c r="A738" s="113"/>
      <c r="B738" s="113"/>
      <c r="C738" s="130" t="s">
        <v>447</v>
      </c>
      <c r="D738" s="113"/>
      <c r="E738" s="130"/>
      <c r="F738" s="127" t="e">
        <f>(F736/10)</f>
        <v>#REF!</v>
      </c>
    </row>
    <row r="739" spans="1:6">
      <c r="A739" s="113"/>
      <c r="B739" s="113"/>
      <c r="C739" s="113"/>
      <c r="D739" s="113"/>
      <c r="E739" s="130"/>
      <c r="F739" s="135" t="s">
        <v>1676</v>
      </c>
    </row>
    <row r="740" spans="1:6">
      <c r="A740" s="114" t="s">
        <v>183</v>
      </c>
      <c r="B740" s="113" t="s">
        <v>1833</v>
      </c>
      <c r="C740" s="130" t="s">
        <v>1565</v>
      </c>
      <c r="D740" s="113"/>
      <c r="E740" s="130"/>
      <c r="F740" s="113"/>
    </row>
    <row r="741" spans="1:6">
      <c r="A741" s="113"/>
      <c r="B741" s="113"/>
      <c r="C741" s="130" t="s">
        <v>753</v>
      </c>
      <c r="D741" s="113"/>
      <c r="E741" s="130"/>
      <c r="F741" s="113"/>
    </row>
    <row r="742" spans="1:6">
      <c r="A742" s="113"/>
      <c r="B742" s="113"/>
      <c r="C742" s="135" t="s">
        <v>1288</v>
      </c>
      <c r="D742" s="113"/>
      <c r="E742" s="130"/>
      <c r="F742" s="113"/>
    </row>
    <row r="743" spans="1:6">
      <c r="A743" s="113">
        <v>0.22</v>
      </c>
      <c r="B743" s="113" t="s">
        <v>702</v>
      </c>
      <c r="C743" s="130" t="s">
        <v>1063</v>
      </c>
      <c r="D743" s="113" t="e">
        <f>Data!I1200</f>
        <v>#REF!</v>
      </c>
      <c r="E743" s="130" t="s">
        <v>702</v>
      </c>
      <c r="F743" s="113" t="e">
        <f>(A743*D743)</f>
        <v>#REF!</v>
      </c>
    </row>
    <row r="744" spans="1:6">
      <c r="A744" s="113">
        <v>2.2000000000000002</v>
      </c>
      <c r="B744" s="113" t="s">
        <v>619</v>
      </c>
      <c r="C744" s="130" t="s">
        <v>1637</v>
      </c>
      <c r="D744" s="113">
        <f>Data!I1201</f>
        <v>999</v>
      </c>
      <c r="E744" s="130" t="s">
        <v>619</v>
      </c>
      <c r="F744" s="113">
        <f>(A744*D744)</f>
        <v>2197.8000000000002</v>
      </c>
    </row>
    <row r="745" spans="1:6">
      <c r="A745" s="113">
        <v>0.5</v>
      </c>
      <c r="B745" s="113" t="s">
        <v>619</v>
      </c>
      <c r="C745" s="130" t="s">
        <v>754</v>
      </c>
      <c r="D745" s="113">
        <f>Data!I1202</f>
        <v>651</v>
      </c>
      <c r="E745" s="130" t="s">
        <v>619</v>
      </c>
      <c r="F745" s="113">
        <f>(A745*D745)</f>
        <v>325.5</v>
      </c>
    </row>
    <row r="746" spans="1:6">
      <c r="A746" s="113">
        <v>3.2</v>
      </c>
      <c r="B746" s="113" t="s">
        <v>619</v>
      </c>
      <c r="C746" s="130" t="s">
        <v>245</v>
      </c>
      <c r="D746" s="113">
        <f>Data!I1203</f>
        <v>534</v>
      </c>
      <c r="E746" s="130" t="s">
        <v>619</v>
      </c>
      <c r="F746" s="113">
        <f>(A746*D746)</f>
        <v>1708.8</v>
      </c>
    </row>
    <row r="747" spans="1:6">
      <c r="A747" s="113"/>
      <c r="B747" s="113" t="s">
        <v>358</v>
      </c>
      <c r="C747" s="130" t="s">
        <v>359</v>
      </c>
      <c r="D747" s="130" t="s">
        <v>790</v>
      </c>
      <c r="E747" s="130" t="s">
        <v>358</v>
      </c>
      <c r="F747" s="113">
        <v>5</v>
      </c>
    </row>
    <row r="748" spans="1:6">
      <c r="A748" s="113"/>
      <c r="B748" s="113"/>
      <c r="C748" s="113"/>
      <c r="D748" s="113"/>
      <c r="E748" s="130"/>
      <c r="F748" s="135" t="s">
        <v>1288</v>
      </c>
    </row>
    <row r="749" spans="1:6">
      <c r="A749" s="113"/>
      <c r="B749" s="113"/>
      <c r="C749" s="130" t="s">
        <v>351</v>
      </c>
      <c r="D749" s="113"/>
      <c r="E749" s="130"/>
      <c r="F749" s="113" t="e">
        <f>SUM(F743:F747)</f>
        <v>#REF!</v>
      </c>
    </row>
    <row r="750" spans="1:6">
      <c r="A750" s="113" t="s">
        <v>790</v>
      </c>
      <c r="B750" s="113"/>
      <c r="C750" s="113"/>
      <c r="D750" s="113"/>
      <c r="E750" s="130"/>
      <c r="F750" s="135" t="s">
        <v>1288</v>
      </c>
    </row>
    <row r="751" spans="1:6">
      <c r="A751" s="113"/>
      <c r="B751" s="113"/>
      <c r="C751" s="115" t="s">
        <v>447</v>
      </c>
      <c r="D751" s="113"/>
      <c r="E751" s="130"/>
      <c r="F751" s="127" t="e">
        <f>(F749/10)</f>
        <v>#REF!</v>
      </c>
    </row>
    <row r="752" spans="1:6">
      <c r="A752" s="113"/>
      <c r="B752" s="113"/>
      <c r="C752" s="113"/>
      <c r="D752" s="113"/>
      <c r="E752" s="130"/>
      <c r="F752" s="135" t="s">
        <v>1676</v>
      </c>
    </row>
    <row r="753" spans="1:6">
      <c r="A753" s="114" t="s">
        <v>2</v>
      </c>
      <c r="B753" s="113" t="s">
        <v>1833</v>
      </c>
      <c r="C753" s="130" t="s">
        <v>3</v>
      </c>
      <c r="D753" s="113"/>
      <c r="E753" s="130"/>
      <c r="F753" s="113"/>
    </row>
    <row r="754" spans="1:6">
      <c r="A754" s="113"/>
      <c r="B754" s="113"/>
      <c r="C754" s="135" t="s">
        <v>1288</v>
      </c>
      <c r="D754" s="113"/>
      <c r="E754" s="130"/>
      <c r="F754" s="113"/>
    </row>
    <row r="755" spans="1:6">
      <c r="A755" s="113">
        <v>0.14000000000000001</v>
      </c>
      <c r="B755" s="113" t="s">
        <v>702</v>
      </c>
      <c r="C755" s="130" t="s">
        <v>1063</v>
      </c>
      <c r="D755" s="113" t="e">
        <f>Data!I1405</f>
        <v>#REF!</v>
      </c>
      <c r="E755" s="130" t="s">
        <v>702</v>
      </c>
      <c r="F755" s="113" t="e">
        <f>(A755*D755)</f>
        <v>#REF!</v>
      </c>
    </row>
    <row r="756" spans="1:6">
      <c r="A756" s="113">
        <v>1.1000000000000001</v>
      </c>
      <c r="B756" s="113" t="s">
        <v>701</v>
      </c>
      <c r="C756" s="130" t="s">
        <v>1637</v>
      </c>
      <c r="D756" s="113">
        <f>Data!I1406</f>
        <v>999</v>
      </c>
      <c r="E756" s="130" t="s">
        <v>701</v>
      </c>
      <c r="F756" s="113">
        <f>(A756*D756)</f>
        <v>1098.9000000000001</v>
      </c>
    </row>
    <row r="757" spans="1:6">
      <c r="A757" s="113">
        <v>0.5</v>
      </c>
      <c r="B757" s="113" t="s">
        <v>701</v>
      </c>
      <c r="C757" s="130" t="s">
        <v>1550</v>
      </c>
      <c r="D757" s="113">
        <f>Data!I1407</f>
        <v>651</v>
      </c>
      <c r="E757" s="130" t="s">
        <v>701</v>
      </c>
      <c r="F757" s="113">
        <f>(A757*D757)</f>
        <v>325.5</v>
      </c>
    </row>
    <row r="758" spans="1:6">
      <c r="A758" s="113">
        <v>1.1000000000000001</v>
      </c>
      <c r="B758" s="113" t="s">
        <v>701</v>
      </c>
      <c r="C758" s="130" t="s">
        <v>245</v>
      </c>
      <c r="D758" s="113">
        <f>Data!I1408</f>
        <v>534</v>
      </c>
      <c r="E758" s="130" t="s">
        <v>701</v>
      </c>
      <c r="F758" s="113">
        <f>(A758*D758)</f>
        <v>587.4</v>
      </c>
    </row>
    <row r="759" spans="1:6">
      <c r="A759" s="113"/>
      <c r="B759" s="113" t="s">
        <v>358</v>
      </c>
      <c r="C759" s="130" t="s">
        <v>359</v>
      </c>
      <c r="D759" s="113" t="str">
        <f>Data!I1409</f>
        <v xml:space="preserve"> </v>
      </c>
      <c r="E759" s="130" t="s">
        <v>358</v>
      </c>
      <c r="F759" s="113">
        <v>5</v>
      </c>
    </row>
    <row r="760" spans="1:6">
      <c r="A760" s="113"/>
      <c r="B760" s="113"/>
      <c r="C760" s="130"/>
      <c r="D760" s="130"/>
      <c r="E760" s="130"/>
      <c r="F760" s="113"/>
    </row>
    <row r="761" spans="1:6">
      <c r="A761" s="113"/>
      <c r="B761" s="113"/>
      <c r="C761" s="113"/>
      <c r="D761" s="113"/>
      <c r="E761" s="130"/>
      <c r="F761" s="135" t="s">
        <v>1288</v>
      </c>
    </row>
    <row r="762" spans="1:6">
      <c r="A762" s="113"/>
      <c r="B762" s="113"/>
      <c r="C762" s="130" t="s">
        <v>351</v>
      </c>
      <c r="D762" s="113"/>
      <c r="E762" s="130"/>
      <c r="F762" s="113" t="e">
        <f>SUM(F755:F759)</f>
        <v>#REF!</v>
      </c>
    </row>
    <row r="763" spans="1:6">
      <c r="A763" s="113"/>
      <c r="B763" s="113"/>
      <c r="C763" s="113"/>
      <c r="D763" s="113"/>
      <c r="E763" s="130"/>
      <c r="F763" s="135" t="s">
        <v>1288</v>
      </c>
    </row>
    <row r="764" spans="1:6">
      <c r="A764" s="113"/>
      <c r="B764" s="113"/>
      <c r="C764" s="115" t="s">
        <v>447</v>
      </c>
      <c r="D764" s="113"/>
      <c r="E764" s="130"/>
      <c r="F764" s="127" t="e">
        <f>(F762/10)</f>
        <v>#REF!</v>
      </c>
    </row>
    <row r="765" spans="1:6">
      <c r="A765" s="113"/>
      <c r="B765" s="113"/>
      <c r="C765" s="113"/>
      <c r="D765" s="113"/>
      <c r="E765" s="130"/>
      <c r="F765" s="135" t="s">
        <v>1676</v>
      </c>
    </row>
    <row r="766" spans="1:6">
      <c r="A766" s="113"/>
      <c r="B766" s="130" t="s">
        <v>1833</v>
      </c>
      <c r="C766" s="129" t="s">
        <v>2314</v>
      </c>
      <c r="D766" s="113"/>
      <c r="E766" s="113"/>
      <c r="F766" s="113"/>
    </row>
    <row r="767" spans="1:6">
      <c r="A767" s="113"/>
      <c r="B767" s="113"/>
      <c r="C767" s="129" t="s">
        <v>2315</v>
      </c>
      <c r="D767" s="113"/>
      <c r="E767" s="113"/>
      <c r="F767" s="113"/>
    </row>
    <row r="768" spans="1:6">
      <c r="A768" s="113"/>
      <c r="B768" s="113"/>
      <c r="C768" s="129" t="s">
        <v>124</v>
      </c>
      <c r="D768" s="113"/>
      <c r="E768" s="113"/>
      <c r="F768" s="113"/>
    </row>
    <row r="769" spans="1:6">
      <c r="A769" s="113"/>
      <c r="B769" s="113"/>
      <c r="C769" s="135" t="s">
        <v>1288</v>
      </c>
      <c r="D769" s="113"/>
      <c r="E769" s="113"/>
      <c r="F769" s="113"/>
    </row>
    <row r="770" spans="1:6">
      <c r="A770" s="113"/>
      <c r="B770" s="130" t="s">
        <v>125</v>
      </c>
      <c r="C770" s="155" t="s">
        <v>2316</v>
      </c>
      <c r="D770" s="113"/>
      <c r="E770" s="113"/>
      <c r="F770" s="113"/>
    </row>
    <row r="771" spans="1:6">
      <c r="A771" s="113"/>
      <c r="B771" s="113"/>
      <c r="C771" s="135" t="s">
        <v>1288</v>
      </c>
      <c r="D771" s="113"/>
      <c r="E771" s="113"/>
      <c r="F771" s="113"/>
    </row>
    <row r="772" spans="1:6">
      <c r="A772" s="113">
        <v>18.899999999999999</v>
      </c>
      <c r="B772" s="130" t="s">
        <v>702</v>
      </c>
      <c r="C772" s="130" t="s">
        <v>493</v>
      </c>
      <c r="D772" s="113">
        <f>Data!I3660</f>
        <v>224.1</v>
      </c>
      <c r="E772" s="130" t="s">
        <v>702</v>
      </c>
      <c r="F772" s="113">
        <f>(A772*D772)</f>
        <v>4235.49</v>
      </c>
    </row>
    <row r="773" spans="1:6">
      <c r="A773" s="113">
        <v>18.63</v>
      </c>
      <c r="B773" s="130" t="s">
        <v>702</v>
      </c>
      <c r="C773" s="130" t="s">
        <v>1755</v>
      </c>
      <c r="D773" s="113">
        <f>Data!I3661</f>
        <v>38.950000000000003</v>
      </c>
      <c r="E773" s="130" t="s">
        <v>702</v>
      </c>
      <c r="F773" s="113">
        <f>(A773*D773)</f>
        <v>725.64</v>
      </c>
    </row>
    <row r="774" spans="1:6" ht="31.5">
      <c r="A774" s="113">
        <v>30</v>
      </c>
      <c r="B774" s="130" t="s">
        <v>1443</v>
      </c>
      <c r="C774" s="128" t="s">
        <v>3220</v>
      </c>
      <c r="D774" s="113">
        <f>Data!I3662</f>
        <v>288</v>
      </c>
      <c r="E774" s="130" t="s">
        <v>1443</v>
      </c>
      <c r="F774" s="113">
        <f>(A774*D774)</f>
        <v>8640</v>
      </c>
    </row>
    <row r="775" spans="1:6">
      <c r="A775" s="113"/>
      <c r="B775" s="113"/>
      <c r="C775" s="113"/>
      <c r="D775" s="113">
        <f>Data!I3663</f>
        <v>0</v>
      </c>
      <c r="E775" s="113"/>
      <c r="F775" s="113"/>
    </row>
    <row r="776" spans="1:6">
      <c r="A776" s="113">
        <v>30</v>
      </c>
      <c r="B776" s="130" t="s">
        <v>1443</v>
      </c>
      <c r="C776" s="130" t="s">
        <v>1756</v>
      </c>
      <c r="D776" s="113">
        <f>Data!I3664</f>
        <v>19.100000000000001</v>
      </c>
      <c r="E776" s="130" t="s">
        <v>1443</v>
      </c>
      <c r="F776" s="113">
        <f>(A776*D776)</f>
        <v>573</v>
      </c>
    </row>
    <row r="777" spans="1:6">
      <c r="A777" s="113"/>
      <c r="B777" s="113"/>
      <c r="C777" s="130" t="s">
        <v>1757</v>
      </c>
      <c r="D777" s="113">
        <f>Data!I3665</f>
        <v>0</v>
      </c>
      <c r="E777" s="113"/>
      <c r="F777" s="113"/>
    </row>
    <row r="778" spans="1:6">
      <c r="A778" s="113"/>
      <c r="B778" s="113"/>
      <c r="C778" s="130" t="s">
        <v>1758</v>
      </c>
      <c r="D778" s="113">
        <f>Data!I3666</f>
        <v>0</v>
      </c>
      <c r="E778" s="113"/>
      <c r="F778" s="113"/>
    </row>
    <row r="779" spans="1:6">
      <c r="A779" s="113"/>
      <c r="B779" s="113"/>
      <c r="C779" s="130" t="s">
        <v>1759</v>
      </c>
      <c r="D779" s="113">
        <f>Data!I3667</f>
        <v>0</v>
      </c>
      <c r="E779" s="113"/>
      <c r="F779" s="113"/>
    </row>
    <row r="780" spans="1:6">
      <c r="A780" s="113"/>
      <c r="B780" s="113"/>
      <c r="C780" s="130" t="s">
        <v>3221</v>
      </c>
      <c r="D780" s="113">
        <f>Data!I3668</f>
        <v>0</v>
      </c>
      <c r="E780" s="113"/>
      <c r="F780" s="113"/>
    </row>
    <row r="781" spans="1:6">
      <c r="A781" s="113"/>
      <c r="B781" s="113"/>
      <c r="C781" s="130"/>
      <c r="D781" s="113">
        <f>Data!I3669</f>
        <v>0</v>
      </c>
      <c r="E781" s="113"/>
      <c r="F781" s="113"/>
    </row>
    <row r="782" spans="1:6">
      <c r="A782" s="113">
        <v>5</v>
      </c>
      <c r="B782" s="130" t="s">
        <v>619</v>
      </c>
      <c r="C782" s="141" t="s">
        <v>3059</v>
      </c>
      <c r="D782" s="113">
        <f>Data!I3670</f>
        <v>44.9</v>
      </c>
      <c r="E782" s="130" t="s">
        <v>619</v>
      </c>
      <c r="F782" s="113">
        <f>(A782*D782)</f>
        <v>224.5</v>
      </c>
    </row>
    <row r="783" spans="1:6">
      <c r="A783" s="113">
        <v>1</v>
      </c>
      <c r="B783" s="130" t="s">
        <v>358</v>
      </c>
      <c r="C783" s="130" t="s">
        <v>1373</v>
      </c>
      <c r="D783" s="113">
        <f>Data!I3671</f>
        <v>12.1</v>
      </c>
      <c r="E783" s="130" t="s">
        <v>358</v>
      </c>
      <c r="F783" s="113">
        <f>(A783*D783)</f>
        <v>12.1</v>
      </c>
    </row>
    <row r="784" spans="1:6">
      <c r="A784" s="113"/>
      <c r="B784" s="130" t="s">
        <v>358</v>
      </c>
      <c r="C784" s="130" t="s">
        <v>359</v>
      </c>
      <c r="D784" s="113"/>
      <c r="E784" s="130" t="s">
        <v>358</v>
      </c>
      <c r="F784" s="113">
        <v>17.100000000000001</v>
      </c>
    </row>
    <row r="785" spans="1:6">
      <c r="A785" s="113"/>
      <c r="B785" s="113"/>
      <c r="C785" s="113"/>
      <c r="D785" s="113"/>
      <c r="E785" s="113"/>
      <c r="F785" s="113"/>
    </row>
    <row r="786" spans="1:6">
      <c r="A786" s="113"/>
      <c r="B786" s="113"/>
      <c r="C786" s="113"/>
      <c r="D786" s="113"/>
      <c r="E786" s="113"/>
      <c r="F786" s="135" t="s">
        <v>1288</v>
      </c>
    </row>
    <row r="787" spans="1:6">
      <c r="A787" s="113"/>
      <c r="B787" s="113"/>
      <c r="C787" s="130" t="s">
        <v>1252</v>
      </c>
      <c r="D787" s="113"/>
      <c r="E787" s="113"/>
      <c r="F787" s="113">
        <f>SUM(F772:F784)</f>
        <v>14427.83</v>
      </c>
    </row>
    <row r="788" spans="1:6">
      <c r="A788" s="113"/>
      <c r="B788" s="113"/>
      <c r="C788" s="113"/>
      <c r="D788" s="113"/>
      <c r="E788" s="113"/>
      <c r="F788" s="135" t="s">
        <v>1288</v>
      </c>
    </row>
    <row r="789" spans="1:6">
      <c r="A789" s="113"/>
      <c r="B789" s="113"/>
      <c r="C789" s="130" t="s">
        <v>1253</v>
      </c>
      <c r="D789" s="113"/>
      <c r="E789" s="113"/>
      <c r="F789" s="127">
        <f>(F787/30)</f>
        <v>480.93</v>
      </c>
    </row>
    <row r="790" spans="1:6">
      <c r="A790" s="113"/>
      <c r="B790" s="113"/>
      <c r="C790" s="113"/>
      <c r="D790" s="113"/>
      <c r="E790" s="113"/>
      <c r="F790" s="135" t="s">
        <v>1288</v>
      </c>
    </row>
    <row r="791" spans="1:6">
      <c r="A791" s="114" t="s">
        <v>305</v>
      </c>
      <c r="B791" s="113" t="s">
        <v>1833</v>
      </c>
      <c r="C791" s="130" t="s">
        <v>306</v>
      </c>
      <c r="D791" s="113"/>
      <c r="E791" s="130"/>
      <c r="F791" s="113"/>
    </row>
    <row r="792" spans="1:6">
      <c r="A792" s="113"/>
      <c r="B792" s="113"/>
      <c r="C792" s="130" t="s">
        <v>3274</v>
      </c>
      <c r="D792" s="113"/>
      <c r="E792" s="130"/>
      <c r="F792" s="113"/>
    </row>
    <row r="793" spans="1:6">
      <c r="A793" s="113"/>
      <c r="B793" s="113"/>
      <c r="C793" s="135" t="s">
        <v>1288</v>
      </c>
      <c r="D793" s="113"/>
      <c r="E793" s="130"/>
      <c r="F793" s="113"/>
    </row>
    <row r="794" spans="1:6">
      <c r="A794" s="113">
        <v>1</v>
      </c>
      <c r="B794" s="113" t="s">
        <v>702</v>
      </c>
      <c r="C794" s="130" t="s">
        <v>300</v>
      </c>
      <c r="D794" s="113" t="e">
        <f>Data!I140</f>
        <v>#REF!</v>
      </c>
      <c r="E794" s="130" t="s">
        <v>702</v>
      </c>
      <c r="F794" s="113" t="e">
        <f>(A794*D794)</f>
        <v>#REF!</v>
      </c>
    </row>
    <row r="795" spans="1:6">
      <c r="A795" s="113">
        <v>1</v>
      </c>
      <c r="B795" s="113" t="s">
        <v>702</v>
      </c>
      <c r="C795" s="130" t="s">
        <v>1101</v>
      </c>
      <c r="D795" s="113">
        <f>Data!I141</f>
        <v>34.200000000000003</v>
      </c>
      <c r="E795" s="130" t="s">
        <v>702</v>
      </c>
      <c r="F795" s="113">
        <f>(A795*D795)</f>
        <v>34.200000000000003</v>
      </c>
    </row>
    <row r="796" spans="1:6">
      <c r="A796" s="113"/>
      <c r="B796" s="113" t="s">
        <v>358</v>
      </c>
      <c r="C796" s="130" t="s">
        <v>359</v>
      </c>
      <c r="D796" s="113" t="str">
        <f>Data!I142</f>
        <v xml:space="preserve"> </v>
      </c>
      <c r="E796" s="130" t="s">
        <v>358</v>
      </c>
      <c r="F796" s="113">
        <v>0</v>
      </c>
    </row>
    <row r="797" spans="1:6">
      <c r="A797" s="113"/>
      <c r="B797" s="113"/>
      <c r="C797" s="113"/>
      <c r="D797" s="113"/>
      <c r="E797" s="130"/>
      <c r="F797" s="135" t="s">
        <v>1288</v>
      </c>
    </row>
    <row r="798" spans="1:6">
      <c r="A798" s="113"/>
      <c r="B798" s="113"/>
      <c r="C798" s="130" t="s">
        <v>157</v>
      </c>
      <c r="D798" s="113"/>
      <c r="E798" s="130"/>
      <c r="F798" s="127" t="e">
        <f>SUM(F792:F796)</f>
        <v>#REF!</v>
      </c>
    </row>
    <row r="799" spans="1:6">
      <c r="A799" s="113"/>
      <c r="B799" s="113"/>
      <c r="C799" s="113"/>
      <c r="D799" s="113"/>
      <c r="E799" s="130"/>
      <c r="F799" s="135" t="s">
        <v>1288</v>
      </c>
    </row>
    <row r="800" spans="1:6">
      <c r="A800" s="114" t="s">
        <v>305</v>
      </c>
      <c r="B800" s="113" t="s">
        <v>1833</v>
      </c>
      <c r="C800" s="130" t="s">
        <v>306</v>
      </c>
      <c r="D800" s="113"/>
      <c r="E800" s="130"/>
      <c r="F800" s="113"/>
    </row>
    <row r="801" spans="1:6">
      <c r="A801" s="113"/>
      <c r="B801" s="113"/>
      <c r="C801" s="130" t="s">
        <v>3275</v>
      </c>
      <c r="D801" s="113"/>
      <c r="E801" s="130"/>
      <c r="F801" s="113"/>
    </row>
    <row r="802" spans="1:6">
      <c r="A802" s="113"/>
      <c r="B802" s="113"/>
      <c r="C802" s="135" t="s">
        <v>1288</v>
      </c>
      <c r="D802" s="113"/>
      <c r="E802" s="130"/>
      <c r="F802" s="113"/>
    </row>
    <row r="803" spans="1:6">
      <c r="A803" s="113">
        <v>1</v>
      </c>
      <c r="B803" s="113" t="s">
        <v>702</v>
      </c>
      <c r="C803" s="130" t="s">
        <v>1564</v>
      </c>
      <c r="D803" s="113" t="e">
        <f>Data!P140</f>
        <v>#REF!</v>
      </c>
      <c r="E803" s="130" t="s">
        <v>702</v>
      </c>
      <c r="F803" s="113" t="e">
        <f>(A803*D803)</f>
        <v>#REF!</v>
      </c>
    </row>
    <row r="804" spans="1:6">
      <c r="A804" s="113">
        <v>1</v>
      </c>
      <c r="B804" s="113" t="s">
        <v>702</v>
      </c>
      <c r="C804" s="130" t="s">
        <v>1101</v>
      </c>
      <c r="D804" s="113">
        <f>Data!P141</f>
        <v>38.950000000000003</v>
      </c>
      <c r="E804" s="130" t="s">
        <v>702</v>
      </c>
      <c r="F804" s="113">
        <f>(A804*D804)</f>
        <v>38.950000000000003</v>
      </c>
    </row>
    <row r="805" spans="1:6">
      <c r="A805" s="113"/>
      <c r="B805" s="113" t="s">
        <v>358</v>
      </c>
      <c r="C805" s="130" t="s">
        <v>359</v>
      </c>
      <c r="D805" s="113" t="str">
        <f>Data!P142</f>
        <v xml:space="preserve"> </v>
      </c>
      <c r="E805" s="130" t="s">
        <v>358</v>
      </c>
      <c r="F805" s="113">
        <v>0</v>
      </c>
    </row>
    <row r="806" spans="1:6">
      <c r="A806" s="113"/>
      <c r="B806" s="113"/>
      <c r="C806" s="113"/>
      <c r="D806" s="113"/>
      <c r="E806" s="130"/>
      <c r="F806" s="135" t="s">
        <v>1288</v>
      </c>
    </row>
    <row r="807" spans="1:6">
      <c r="A807" s="113"/>
      <c r="B807" s="113"/>
      <c r="C807" s="130" t="s">
        <v>1233</v>
      </c>
      <c r="D807" s="113"/>
      <c r="E807" s="130"/>
      <c r="F807" s="127" t="e">
        <f>SUM(F803:F805)</f>
        <v>#REF!</v>
      </c>
    </row>
    <row r="808" spans="1:6">
      <c r="A808" s="113"/>
      <c r="B808" s="113"/>
      <c r="C808" s="130" t="s">
        <v>1653</v>
      </c>
      <c r="D808" s="113"/>
      <c r="E808" s="130"/>
      <c r="F808" s="135" t="s">
        <v>1288</v>
      </c>
    </row>
    <row r="809" spans="1:6" ht="31.5">
      <c r="A809" s="113"/>
      <c r="B809" s="113"/>
      <c r="C809" s="128" t="s">
        <v>1652</v>
      </c>
      <c r="D809" s="113"/>
      <c r="E809" s="130"/>
      <c r="F809" s="113"/>
    </row>
    <row r="810" spans="1:6">
      <c r="A810" s="113"/>
      <c r="B810" s="113"/>
      <c r="C810" s="113"/>
      <c r="D810" s="113"/>
      <c r="E810" s="130"/>
      <c r="F810" s="113"/>
    </row>
    <row r="811" spans="1:6">
      <c r="A811" s="113" t="s">
        <v>1653</v>
      </c>
      <c r="B811" s="113"/>
      <c r="C811" s="113" t="s">
        <v>1654</v>
      </c>
      <c r="D811" s="113"/>
      <c r="E811" s="130"/>
      <c r="F811" s="113"/>
    </row>
    <row r="812" spans="1:6">
      <c r="A812" s="113"/>
      <c r="B812" s="113"/>
      <c r="C812" s="113" t="s">
        <v>276</v>
      </c>
      <c r="D812" s="113"/>
      <c r="E812" s="130"/>
      <c r="F812" s="113"/>
    </row>
    <row r="813" spans="1:6">
      <c r="A813" s="113"/>
      <c r="B813" s="113"/>
      <c r="C813" s="113"/>
      <c r="D813" s="113"/>
      <c r="E813" s="130"/>
      <c r="F813" s="113"/>
    </row>
    <row r="814" spans="1:6">
      <c r="A814" s="113">
        <v>1.96</v>
      </c>
      <c r="B814" s="113" t="s">
        <v>1749</v>
      </c>
      <c r="C814" s="113" t="s">
        <v>277</v>
      </c>
      <c r="D814" s="113" t="e">
        <f>Data!I2383</f>
        <v>#REF!</v>
      </c>
      <c r="E814" s="130" t="s">
        <v>702</v>
      </c>
      <c r="F814" s="113" t="e">
        <f t="shared" ref="F814:F819" si="7">(A814*D814)</f>
        <v>#REF!</v>
      </c>
    </row>
    <row r="815" spans="1:6">
      <c r="A815" s="113">
        <v>2</v>
      </c>
      <c r="B815" s="113" t="s">
        <v>1130</v>
      </c>
      <c r="C815" s="113" t="s">
        <v>278</v>
      </c>
      <c r="D815" s="113">
        <f>Data!I2384</f>
        <v>999</v>
      </c>
      <c r="E815" s="130" t="s">
        <v>701</v>
      </c>
      <c r="F815" s="113">
        <f t="shared" si="7"/>
        <v>1998</v>
      </c>
    </row>
    <row r="816" spans="1:6">
      <c r="A816" s="113">
        <v>2</v>
      </c>
      <c r="B816" s="113" t="s">
        <v>1130</v>
      </c>
      <c r="C816" s="113" t="s">
        <v>279</v>
      </c>
      <c r="D816" s="113">
        <f>Data!I2385</f>
        <v>534</v>
      </c>
      <c r="E816" s="130" t="s">
        <v>701</v>
      </c>
      <c r="F816" s="113">
        <f t="shared" si="7"/>
        <v>1068</v>
      </c>
    </row>
    <row r="817" spans="1:6">
      <c r="A817" s="113">
        <v>0.28000000000000003</v>
      </c>
      <c r="B817" s="113" t="s">
        <v>1861</v>
      </c>
      <c r="C817" s="113" t="s">
        <v>280</v>
      </c>
      <c r="D817" s="113">
        <f>Data!I2386</f>
        <v>848.08</v>
      </c>
      <c r="E817" s="130" t="s">
        <v>701</v>
      </c>
      <c r="F817" s="113">
        <f t="shared" si="7"/>
        <v>237.46</v>
      </c>
    </row>
    <row r="818" spans="1:6">
      <c r="A818" s="113">
        <v>500</v>
      </c>
      <c r="B818" s="113" t="s">
        <v>1130</v>
      </c>
      <c r="C818" s="141" t="s">
        <v>1745</v>
      </c>
      <c r="D818" s="113">
        <f>Data!I2387</f>
        <v>2</v>
      </c>
      <c r="E818" s="130" t="s">
        <v>701</v>
      </c>
      <c r="F818" s="113">
        <f t="shared" si="7"/>
        <v>1000</v>
      </c>
    </row>
    <row r="819" spans="1:6">
      <c r="A819" s="113">
        <v>8.5</v>
      </c>
      <c r="B819" s="113" t="s">
        <v>1746</v>
      </c>
      <c r="C819" s="113" t="s">
        <v>2568</v>
      </c>
      <c r="D819" s="113">
        <f>Data!I2388</f>
        <v>43.6</v>
      </c>
      <c r="E819" s="130" t="s">
        <v>1746</v>
      </c>
      <c r="F819" s="113">
        <f t="shared" si="7"/>
        <v>370.6</v>
      </c>
    </row>
    <row r="820" spans="1:6">
      <c r="A820" s="113"/>
      <c r="B820" s="113"/>
      <c r="C820" s="113" t="s">
        <v>1850</v>
      </c>
      <c r="D820" s="113"/>
      <c r="E820" s="130"/>
      <c r="F820" s="142">
        <v>1.96</v>
      </c>
    </row>
    <row r="821" spans="1:6">
      <c r="A821" s="113"/>
      <c r="B821" s="113"/>
      <c r="C821" s="113"/>
      <c r="D821" s="113" t="s">
        <v>1407</v>
      </c>
      <c r="E821" s="130"/>
      <c r="F821" s="113" t="e">
        <f>SUM(F814:F820)</f>
        <v>#REF!</v>
      </c>
    </row>
    <row r="822" spans="1:6">
      <c r="A822" s="113"/>
      <c r="B822" s="113"/>
      <c r="C822" s="113"/>
      <c r="D822" s="113"/>
      <c r="E822" s="130"/>
      <c r="F822" s="135" t="s">
        <v>1288</v>
      </c>
    </row>
    <row r="823" spans="1:6">
      <c r="A823" s="113"/>
      <c r="B823" s="113"/>
      <c r="C823" s="113"/>
      <c r="D823" s="113" t="s">
        <v>1408</v>
      </c>
      <c r="E823" s="130"/>
      <c r="F823" s="127" t="e">
        <f>F821/39.2</f>
        <v>#REF!</v>
      </c>
    </row>
    <row r="824" spans="1:6">
      <c r="A824" s="113"/>
      <c r="B824" s="113"/>
      <c r="C824" s="113"/>
      <c r="D824" s="113"/>
      <c r="E824" s="130"/>
      <c r="F824" s="135" t="s">
        <v>1676</v>
      </c>
    </row>
    <row r="825" spans="1:6" ht="189">
      <c r="A825" s="117"/>
      <c r="B825" s="117"/>
      <c r="C825" s="116" t="s">
        <v>1917</v>
      </c>
      <c r="D825" s="117"/>
      <c r="E825" s="117"/>
      <c r="F825" s="117"/>
    </row>
    <row r="826" spans="1:6">
      <c r="A826" s="117"/>
      <c r="B826" s="117"/>
      <c r="C826" s="117"/>
      <c r="D826" s="117"/>
      <c r="E826" s="117"/>
      <c r="F826" s="117"/>
    </row>
    <row r="827" spans="1:6" ht="31.5">
      <c r="A827" s="117">
        <v>5</v>
      </c>
      <c r="B827" s="117" t="s">
        <v>669</v>
      </c>
      <c r="C827" s="118" t="s">
        <v>1918</v>
      </c>
      <c r="D827" s="117" t="e">
        <f>#REF!</f>
        <v>#REF!</v>
      </c>
      <c r="E827" s="117" t="s">
        <v>1875</v>
      </c>
      <c r="F827" s="117" t="e">
        <f>A827*D827</f>
        <v>#REF!</v>
      </c>
    </row>
    <row r="828" spans="1:6" ht="31.5">
      <c r="A828" s="117">
        <v>2.5</v>
      </c>
      <c r="B828" s="117" t="s">
        <v>669</v>
      </c>
      <c r="C828" s="116" t="s">
        <v>1874</v>
      </c>
      <c r="D828" s="117" t="e">
        <f>#REF!</f>
        <v>#REF!</v>
      </c>
      <c r="E828" s="117" t="s">
        <v>669</v>
      </c>
      <c r="F828" s="117" t="e">
        <f>A828*D828</f>
        <v>#REF!</v>
      </c>
    </row>
    <row r="829" spans="1:6">
      <c r="A829" s="117">
        <v>1</v>
      </c>
      <c r="B829" s="117" t="s">
        <v>1130</v>
      </c>
      <c r="C829" s="116" t="str">
        <f>C812</f>
        <v xml:space="preserve">                =39.2 x .05 =1.96 cum</v>
      </c>
      <c r="D829" s="117" t="e">
        <f>#REF!</f>
        <v>#REF!</v>
      </c>
      <c r="E829" s="117" t="s">
        <v>1130</v>
      </c>
      <c r="F829" s="117" t="e">
        <f>A829*D829</f>
        <v>#REF!</v>
      </c>
    </row>
    <row r="830" spans="1:6">
      <c r="A830" s="117"/>
      <c r="B830" s="117"/>
      <c r="C830" s="117" t="s">
        <v>736</v>
      </c>
      <c r="D830" s="117"/>
      <c r="E830" s="117"/>
      <c r="F830" s="117" t="e">
        <f>#REF!</f>
        <v>#REF!</v>
      </c>
    </row>
    <row r="831" spans="1:6">
      <c r="A831" s="117"/>
      <c r="B831" s="117"/>
      <c r="C831" s="117" t="s">
        <v>1850</v>
      </c>
      <c r="D831" s="117"/>
      <c r="E831" s="117"/>
      <c r="F831" s="117">
        <v>25.61</v>
      </c>
    </row>
    <row r="832" spans="1:6">
      <c r="A832" s="117"/>
      <c r="B832" s="117"/>
      <c r="C832" s="125" t="s">
        <v>2013</v>
      </c>
      <c r="D832" s="117"/>
      <c r="E832" s="117"/>
      <c r="F832" s="126" t="e">
        <f>SUM(F827:F831)</f>
        <v>#REF!</v>
      </c>
    </row>
    <row r="833" spans="1:6" ht="189">
      <c r="A833" s="117"/>
      <c r="B833" s="117"/>
      <c r="C833" s="116" t="s">
        <v>2880</v>
      </c>
      <c r="D833" s="117"/>
      <c r="E833" s="117"/>
      <c r="F833" s="117"/>
    </row>
    <row r="834" spans="1:6" ht="31.5">
      <c r="A834" s="117">
        <v>90</v>
      </c>
      <c r="B834" s="117" t="s">
        <v>669</v>
      </c>
      <c r="C834" s="122" t="s">
        <v>1918</v>
      </c>
      <c r="D834" s="117" t="e">
        <f>#REF!</f>
        <v>#REF!</v>
      </c>
      <c r="E834" s="117" t="s">
        <v>1919</v>
      </c>
      <c r="F834" s="117" t="e">
        <f>A834*D834</f>
        <v>#REF!</v>
      </c>
    </row>
    <row r="835" spans="1:6" ht="31.5">
      <c r="A835" s="117">
        <v>30</v>
      </c>
      <c r="B835" s="117" t="s">
        <v>669</v>
      </c>
      <c r="C835" s="116" t="s">
        <v>1874</v>
      </c>
      <c r="D835" s="117" t="e">
        <f>#REF!</f>
        <v>#REF!</v>
      </c>
      <c r="E835" s="117" t="s">
        <v>669</v>
      </c>
      <c r="F835" s="117" t="e">
        <f t="shared" ref="F835:F844" si="8">A835*D835</f>
        <v>#REF!</v>
      </c>
    </row>
    <row r="836" spans="1:6">
      <c r="A836" s="117">
        <v>10</v>
      </c>
      <c r="B836" s="117" t="s">
        <v>1130</v>
      </c>
      <c r="C836" s="117" t="s">
        <v>1876</v>
      </c>
      <c r="D836" s="117" t="e">
        <f>#REF!</f>
        <v>#REF!</v>
      </c>
      <c r="E836" s="117" t="s">
        <v>1130</v>
      </c>
      <c r="F836" s="117" t="e">
        <f t="shared" si="8"/>
        <v>#REF!</v>
      </c>
    </row>
    <row r="837" spans="1:6">
      <c r="A837" s="117">
        <v>5</v>
      </c>
      <c r="B837" s="117" t="s">
        <v>1130</v>
      </c>
      <c r="C837" s="117" t="s">
        <v>2062</v>
      </c>
      <c r="D837" s="117" t="e">
        <f>#REF!</f>
        <v>#REF!</v>
      </c>
      <c r="E837" s="117" t="s">
        <v>1130</v>
      </c>
      <c r="F837" s="117" t="e">
        <f t="shared" si="8"/>
        <v>#REF!</v>
      </c>
    </row>
    <row r="838" spans="1:6">
      <c r="A838" s="117">
        <v>10</v>
      </c>
      <c r="B838" s="117" t="s">
        <v>1130</v>
      </c>
      <c r="C838" s="117" t="s">
        <v>1893</v>
      </c>
      <c r="D838" s="117" t="e">
        <f>#REF!</f>
        <v>#REF!</v>
      </c>
      <c r="E838" s="117" t="s">
        <v>1130</v>
      </c>
      <c r="F838" s="117" t="e">
        <f t="shared" si="8"/>
        <v>#REF!</v>
      </c>
    </row>
    <row r="839" spans="1:6">
      <c r="A839" s="117">
        <v>5</v>
      </c>
      <c r="B839" s="117" t="s">
        <v>1130</v>
      </c>
      <c r="C839" s="117" t="s">
        <v>2882</v>
      </c>
      <c r="D839" s="117" t="e">
        <f>#REF!</f>
        <v>#REF!</v>
      </c>
      <c r="E839" s="117" t="s">
        <v>1134</v>
      </c>
      <c r="F839" s="117" t="e">
        <f t="shared" si="8"/>
        <v>#REF!</v>
      </c>
    </row>
    <row r="840" spans="1:6">
      <c r="A840" s="117">
        <v>5</v>
      </c>
      <c r="B840" s="117" t="s">
        <v>1130</v>
      </c>
      <c r="C840" s="117" t="s">
        <v>1928</v>
      </c>
      <c r="D840" s="117" t="e">
        <f>#REF!</f>
        <v>#REF!</v>
      </c>
      <c r="E840" s="117" t="s">
        <v>1130</v>
      </c>
      <c r="F840" s="117" t="e">
        <f t="shared" si="8"/>
        <v>#REF!</v>
      </c>
    </row>
    <row r="841" spans="1:6">
      <c r="A841" s="120">
        <v>0.09</v>
      </c>
      <c r="B841" s="117" t="s">
        <v>1861</v>
      </c>
      <c r="C841" s="117" t="s">
        <v>1920</v>
      </c>
      <c r="D841" s="117" t="e">
        <f>#REF!</f>
        <v>#REF!</v>
      </c>
      <c r="E841" s="117" t="s">
        <v>1861</v>
      </c>
      <c r="F841" s="117" t="e">
        <f t="shared" si="8"/>
        <v>#REF!</v>
      </c>
    </row>
    <row r="842" spans="1:6">
      <c r="A842" s="117">
        <v>1</v>
      </c>
      <c r="B842" s="117" t="s">
        <v>1929</v>
      </c>
      <c r="C842" s="117" t="s">
        <v>310</v>
      </c>
      <c r="D842" s="117" t="e">
        <f>#REF!</f>
        <v>#REF!</v>
      </c>
      <c r="E842" s="117" t="s">
        <v>1929</v>
      </c>
      <c r="F842" s="117" t="e">
        <f t="shared" si="8"/>
        <v>#REF!</v>
      </c>
    </row>
    <row r="843" spans="1:6">
      <c r="A843" s="117">
        <v>6</v>
      </c>
      <c r="B843" s="117" t="s">
        <v>1130</v>
      </c>
      <c r="C843" s="117" t="s">
        <v>2881</v>
      </c>
      <c r="D843" s="117" t="e">
        <f>#REF!</f>
        <v>#REF!</v>
      </c>
      <c r="E843" s="117" t="s">
        <v>1134</v>
      </c>
      <c r="F843" s="117" t="e">
        <f t="shared" si="8"/>
        <v>#REF!</v>
      </c>
    </row>
    <row r="844" spans="1:6" ht="31.5">
      <c r="A844" s="117">
        <v>30</v>
      </c>
      <c r="B844" s="117" t="s">
        <v>669</v>
      </c>
      <c r="C844" s="122" t="s">
        <v>1931</v>
      </c>
      <c r="D844" s="117" t="e">
        <f>#REF!</f>
        <v>#REF!</v>
      </c>
      <c r="E844" s="117" t="s">
        <v>1919</v>
      </c>
      <c r="F844" s="117" t="e">
        <f t="shared" si="8"/>
        <v>#REF!</v>
      </c>
    </row>
    <row r="845" spans="1:6">
      <c r="A845" s="117"/>
      <c r="B845" s="117"/>
      <c r="C845" s="117" t="s">
        <v>736</v>
      </c>
      <c r="D845" s="117"/>
      <c r="E845" s="117"/>
      <c r="F845" s="117" t="e">
        <f>#REF!</f>
        <v>#REF!</v>
      </c>
    </row>
    <row r="846" spans="1:6">
      <c r="A846" s="117"/>
      <c r="B846" s="117"/>
      <c r="C846" s="117" t="s">
        <v>1850</v>
      </c>
      <c r="D846" s="117"/>
      <c r="E846" s="117"/>
      <c r="F846" s="117">
        <v>12.8</v>
      </c>
    </row>
    <row r="847" spans="1:6">
      <c r="A847" s="117"/>
      <c r="B847" s="117"/>
      <c r="C847" s="123" t="s">
        <v>1921</v>
      </c>
      <c r="D847" s="117"/>
      <c r="E847" s="117"/>
      <c r="F847" s="124" t="e">
        <f>SUM(F834:F846)</f>
        <v>#REF!</v>
      </c>
    </row>
    <row r="848" spans="1:6">
      <c r="A848" s="117"/>
      <c r="B848" s="117"/>
      <c r="C848" s="125" t="s">
        <v>2013</v>
      </c>
      <c r="D848" s="117"/>
      <c r="E848" s="117"/>
      <c r="F848" s="126" t="e">
        <f>F847/5</f>
        <v>#REF!</v>
      </c>
    </row>
    <row r="849" spans="1:6" ht="63">
      <c r="A849" s="117"/>
      <c r="B849" s="117"/>
      <c r="C849" s="116" t="s">
        <v>1870</v>
      </c>
      <c r="D849" s="117"/>
      <c r="E849" s="117"/>
      <c r="F849" s="117"/>
    </row>
    <row r="850" spans="1:6">
      <c r="A850" s="117">
        <v>1</v>
      </c>
      <c r="B850" s="117" t="s">
        <v>1130</v>
      </c>
      <c r="C850" s="117" t="s">
        <v>3050</v>
      </c>
      <c r="D850" s="117">
        <v>277.60000000000002</v>
      </c>
      <c r="E850" s="117" t="s">
        <v>1130</v>
      </c>
      <c r="F850" s="117">
        <f>A850*D850</f>
        <v>277.60000000000002</v>
      </c>
    </row>
    <row r="851" spans="1:6">
      <c r="A851" s="117"/>
      <c r="B851" s="117"/>
      <c r="C851" s="117" t="s">
        <v>1850</v>
      </c>
      <c r="D851" s="117"/>
      <c r="E851" s="117"/>
      <c r="F851" s="117">
        <f>13.88-0.41</f>
        <v>13.47</v>
      </c>
    </row>
    <row r="852" spans="1:6">
      <c r="A852" s="117"/>
      <c r="B852" s="117"/>
      <c r="C852" s="117" t="s">
        <v>736</v>
      </c>
      <c r="D852" s="117"/>
      <c r="E852" s="117"/>
      <c r="F852" s="117" t="e">
        <f>#REF!</f>
        <v>#REF!</v>
      </c>
    </row>
    <row r="853" spans="1:6">
      <c r="A853" s="117"/>
      <c r="B853" s="117"/>
      <c r="C853" s="125" t="s">
        <v>1871</v>
      </c>
      <c r="D853" s="117"/>
      <c r="E853" s="117"/>
      <c r="F853" s="126" t="e">
        <f>SUM(F850:F852)</f>
        <v>#REF!</v>
      </c>
    </row>
    <row r="854" spans="1:6">
      <c r="A854" s="117"/>
      <c r="B854" s="117"/>
      <c r="C854" s="126" t="s">
        <v>1916</v>
      </c>
      <c r="D854" s="117"/>
      <c r="E854" s="117"/>
      <c r="F854" s="117"/>
    </row>
    <row r="855" spans="1:6">
      <c r="A855" s="117"/>
      <c r="B855" s="117"/>
      <c r="C855" s="117"/>
      <c r="D855" s="117"/>
      <c r="E855" s="117"/>
      <c r="F855" s="117"/>
    </row>
    <row r="856" spans="1:6">
      <c r="A856" s="117">
        <v>1</v>
      </c>
      <c r="B856" s="117" t="s">
        <v>1130</v>
      </c>
      <c r="C856" s="117" t="s">
        <v>2606</v>
      </c>
      <c r="D856" s="130" t="e">
        <f>#REF!</f>
        <v>#REF!</v>
      </c>
      <c r="E856" s="117" t="s">
        <v>1130</v>
      </c>
      <c r="F856" s="117" t="e">
        <f>A856*D856</f>
        <v>#REF!</v>
      </c>
    </row>
    <row r="857" spans="1:6">
      <c r="A857" s="117">
        <v>3</v>
      </c>
      <c r="B857" s="117" t="s">
        <v>1130</v>
      </c>
      <c r="C857" s="117" t="s">
        <v>2605</v>
      </c>
      <c r="D857" s="130" t="e">
        <f>#REF!</f>
        <v>#REF!</v>
      </c>
      <c r="E857" s="117" t="s">
        <v>1130</v>
      </c>
      <c r="F857" s="117" t="e">
        <f>A857*D857</f>
        <v>#REF!</v>
      </c>
    </row>
    <row r="858" spans="1:6">
      <c r="A858" s="117"/>
      <c r="B858" s="117"/>
      <c r="C858" s="117" t="s">
        <v>1971</v>
      </c>
      <c r="D858" s="117"/>
      <c r="E858" s="117"/>
      <c r="F858" s="117" t="e">
        <f>#REF!</f>
        <v>#REF!</v>
      </c>
    </row>
    <row r="859" spans="1:6">
      <c r="A859" s="117"/>
      <c r="B859" s="117"/>
      <c r="C859" s="117" t="s">
        <v>1850</v>
      </c>
      <c r="D859" s="117"/>
      <c r="E859" s="117"/>
      <c r="F859" s="117">
        <f>5</f>
        <v>5</v>
      </c>
    </row>
    <row r="860" spans="1:6">
      <c r="A860" s="117"/>
      <c r="B860" s="117"/>
      <c r="C860" s="125" t="s">
        <v>1972</v>
      </c>
      <c r="D860" s="117"/>
      <c r="E860" s="117"/>
      <c r="F860" s="126" t="e">
        <f>SUM(F856:F859)</f>
        <v>#REF!</v>
      </c>
    </row>
    <row r="861" spans="1:6" ht="63">
      <c r="A861" s="117"/>
      <c r="B861" s="117"/>
      <c r="C861" s="116" t="s">
        <v>2076</v>
      </c>
      <c r="D861" s="117"/>
      <c r="E861" s="117"/>
      <c r="F861" s="117"/>
    </row>
    <row r="862" spans="1:6">
      <c r="A862" s="117"/>
      <c r="B862" s="117"/>
      <c r="C862" s="117"/>
      <c r="D862" s="117"/>
      <c r="E862" s="117"/>
      <c r="F862" s="117"/>
    </row>
    <row r="863" spans="1:6">
      <c r="A863" s="117">
        <v>9.5</v>
      </c>
      <c r="B863" s="117" t="s">
        <v>1341</v>
      </c>
      <c r="C863" s="117" t="s">
        <v>2860</v>
      </c>
      <c r="D863" s="117">
        <v>101.5</v>
      </c>
      <c r="E863" s="117" t="s">
        <v>1341</v>
      </c>
      <c r="F863" s="117">
        <f>A863*D863</f>
        <v>964.25</v>
      </c>
    </row>
    <row r="864" spans="1:6">
      <c r="A864" s="117">
        <v>0.5</v>
      </c>
      <c r="B864" s="117" t="s">
        <v>1341</v>
      </c>
      <c r="C864" s="117" t="s">
        <v>3223</v>
      </c>
      <c r="D864" s="117">
        <v>21.3</v>
      </c>
      <c r="E864" s="117"/>
      <c r="F864" s="117">
        <f>A864*D864</f>
        <v>10.65</v>
      </c>
    </row>
    <row r="865" spans="1:6">
      <c r="A865" s="117"/>
      <c r="B865" s="117"/>
      <c r="C865" s="117" t="s">
        <v>1479</v>
      </c>
      <c r="D865" s="117"/>
      <c r="E865" s="117"/>
      <c r="F865" s="117" t="e">
        <f>#REF!</f>
        <v>#REF!</v>
      </c>
    </row>
    <row r="866" spans="1:6">
      <c r="A866" s="117"/>
      <c r="B866" s="117"/>
      <c r="C866" s="117" t="s">
        <v>1850</v>
      </c>
      <c r="D866" s="117"/>
      <c r="E866" s="117"/>
      <c r="F866" s="117">
        <v>3.2</v>
      </c>
    </row>
    <row r="867" spans="1:6">
      <c r="A867" s="117"/>
      <c r="B867" s="117"/>
      <c r="C867" s="123" t="s">
        <v>2060</v>
      </c>
      <c r="D867" s="117"/>
      <c r="E867" s="117"/>
      <c r="F867" s="124" t="e">
        <f>SUM(F863:F866)</f>
        <v>#REF!</v>
      </c>
    </row>
    <row r="868" spans="1:6">
      <c r="A868" s="117"/>
      <c r="B868" s="117"/>
      <c r="C868" s="125" t="s">
        <v>1943</v>
      </c>
      <c r="D868" s="117"/>
      <c r="E868" s="117"/>
      <c r="F868" s="126" t="e">
        <f>F867/90</f>
        <v>#REF!</v>
      </c>
    </row>
    <row r="869" spans="1:6" ht="63">
      <c r="A869" s="117"/>
      <c r="B869" s="117"/>
      <c r="C869" s="116" t="s">
        <v>1932</v>
      </c>
      <c r="D869" s="117"/>
      <c r="E869" s="117"/>
      <c r="F869" s="117"/>
    </row>
    <row r="870" spans="1:6">
      <c r="A870" s="117">
        <v>2.5</v>
      </c>
      <c r="B870" s="117" t="s">
        <v>669</v>
      </c>
      <c r="C870" s="117" t="s">
        <v>3051</v>
      </c>
      <c r="D870" s="117">
        <v>163</v>
      </c>
      <c r="E870" s="117" t="s">
        <v>669</v>
      </c>
      <c r="F870" s="117">
        <f>A870*D870</f>
        <v>407.5</v>
      </c>
    </row>
    <row r="871" spans="1:6">
      <c r="A871" s="117">
        <v>1</v>
      </c>
      <c r="B871" s="117" t="s">
        <v>669</v>
      </c>
      <c r="C871" s="117" t="s">
        <v>2861</v>
      </c>
      <c r="D871" s="117">
        <v>98.6</v>
      </c>
      <c r="E871" s="117" t="s">
        <v>669</v>
      </c>
      <c r="F871" s="117">
        <f t="shared" ref="F871:F880" si="9">A871*D871</f>
        <v>98.6</v>
      </c>
    </row>
    <row r="872" spans="1:6">
      <c r="A872" s="117">
        <v>1</v>
      </c>
      <c r="B872" s="117" t="s">
        <v>669</v>
      </c>
      <c r="C872" s="117" t="s">
        <v>2862</v>
      </c>
      <c r="D872" s="117">
        <v>69.8</v>
      </c>
      <c r="E872" s="117" t="s">
        <v>669</v>
      </c>
      <c r="F872" s="117">
        <f t="shared" si="9"/>
        <v>69.8</v>
      </c>
    </row>
    <row r="873" spans="1:6">
      <c r="A873" s="117">
        <v>1</v>
      </c>
      <c r="B873" s="117" t="s">
        <v>1130</v>
      </c>
      <c r="C873" s="117" t="s">
        <v>2863</v>
      </c>
      <c r="D873" s="117">
        <v>52</v>
      </c>
      <c r="E873" s="117" t="s">
        <v>1130</v>
      </c>
      <c r="F873" s="117">
        <f t="shared" si="9"/>
        <v>52</v>
      </c>
    </row>
    <row r="874" spans="1:6">
      <c r="A874" s="117">
        <v>1</v>
      </c>
      <c r="B874" s="117" t="s">
        <v>221</v>
      </c>
      <c r="C874" s="117" t="s">
        <v>1933</v>
      </c>
      <c r="D874" s="117">
        <v>24.1</v>
      </c>
      <c r="E874" s="117" t="s">
        <v>221</v>
      </c>
      <c r="F874" s="117">
        <f t="shared" si="9"/>
        <v>24.1</v>
      </c>
    </row>
    <row r="875" spans="1:6">
      <c r="A875" s="117">
        <v>1</v>
      </c>
      <c r="B875" s="117" t="s">
        <v>528</v>
      </c>
      <c r="C875" s="117" t="s">
        <v>2884</v>
      </c>
      <c r="D875" s="117">
        <v>447</v>
      </c>
      <c r="E875" s="117" t="s">
        <v>528</v>
      </c>
      <c r="F875" s="117">
        <f t="shared" si="9"/>
        <v>447</v>
      </c>
    </row>
    <row r="876" spans="1:6">
      <c r="A876" s="117">
        <v>1</v>
      </c>
      <c r="B876" s="117" t="s">
        <v>1130</v>
      </c>
      <c r="C876" s="117" t="s">
        <v>1934</v>
      </c>
      <c r="D876" s="117">
        <v>100</v>
      </c>
      <c r="E876" s="117" t="s">
        <v>1130</v>
      </c>
      <c r="F876" s="117">
        <f t="shared" si="9"/>
        <v>100</v>
      </c>
    </row>
    <row r="877" spans="1:6">
      <c r="A877" s="117">
        <v>40</v>
      </c>
      <c r="B877" s="117" t="s">
        <v>1341</v>
      </c>
      <c r="C877" s="117" t="s">
        <v>3224</v>
      </c>
      <c r="D877" s="117">
        <f>101.7/20.32</f>
        <v>5</v>
      </c>
      <c r="E877" s="117" t="s">
        <v>1341</v>
      </c>
      <c r="F877" s="117">
        <f t="shared" si="9"/>
        <v>200</v>
      </c>
    </row>
    <row r="878" spans="1:6">
      <c r="A878" s="117">
        <v>2</v>
      </c>
      <c r="B878" s="117" t="s">
        <v>1130</v>
      </c>
      <c r="C878" s="117" t="s">
        <v>2864</v>
      </c>
      <c r="D878" s="117">
        <v>13.6</v>
      </c>
      <c r="E878" s="117" t="s">
        <v>1130</v>
      </c>
      <c r="F878" s="117">
        <f t="shared" si="9"/>
        <v>27.2</v>
      </c>
    </row>
    <row r="879" spans="1:6">
      <c r="A879" s="117">
        <v>4</v>
      </c>
      <c r="B879" s="117" t="s">
        <v>1130</v>
      </c>
      <c r="C879" s="117" t="s">
        <v>2865</v>
      </c>
      <c r="D879" s="117">
        <v>13.6</v>
      </c>
      <c r="E879" s="117" t="s">
        <v>1130</v>
      </c>
      <c r="F879" s="117">
        <f t="shared" si="9"/>
        <v>54.4</v>
      </c>
    </row>
    <row r="880" spans="1:6">
      <c r="A880" s="117">
        <v>10</v>
      </c>
      <c r="B880" s="117" t="s">
        <v>1341</v>
      </c>
      <c r="C880" s="117" t="s">
        <v>3225</v>
      </c>
      <c r="D880" s="117">
        <v>3.7</v>
      </c>
      <c r="E880" s="117" t="s">
        <v>1341</v>
      </c>
      <c r="F880" s="117">
        <f t="shared" si="9"/>
        <v>37</v>
      </c>
    </row>
    <row r="881" spans="1:6">
      <c r="A881" s="117"/>
      <c r="B881" s="117"/>
      <c r="C881" s="117" t="s">
        <v>1850</v>
      </c>
      <c r="D881" s="117"/>
      <c r="E881" s="117"/>
      <c r="F881" s="117">
        <v>10</v>
      </c>
    </row>
    <row r="882" spans="1:6">
      <c r="A882" s="117"/>
      <c r="B882" s="117"/>
      <c r="C882" s="117" t="s">
        <v>736</v>
      </c>
      <c r="D882" s="117"/>
      <c r="E882" s="117"/>
      <c r="F882" s="117" t="e">
        <f>#REF!</f>
        <v>#REF!</v>
      </c>
    </row>
    <row r="883" spans="1:6">
      <c r="A883" s="117"/>
      <c r="B883" s="117"/>
      <c r="C883" s="125" t="s">
        <v>860</v>
      </c>
      <c r="D883" s="117"/>
      <c r="E883" s="117"/>
      <c r="F883" s="126" t="e">
        <f>SUM(F870:F882)</f>
        <v>#REF!</v>
      </c>
    </row>
  </sheetData>
  <mergeCells count="1">
    <mergeCell ref="C624:D624"/>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22.xml><?xml version="1.0" encoding="utf-8"?>
<worksheet xmlns="http://schemas.openxmlformats.org/spreadsheetml/2006/main" xmlns:r="http://schemas.openxmlformats.org/officeDocument/2006/relationships">
  <dimension ref="A3:F73"/>
  <sheetViews>
    <sheetView showZeros="0" workbookViewId="0">
      <selection activeCell="C15" sqref="C15"/>
    </sheetView>
  </sheetViews>
  <sheetFormatPr defaultRowHeight="15.75"/>
  <cols>
    <col min="3" max="3" width="50.5546875" customWidth="1"/>
  </cols>
  <sheetData>
    <row r="3" spans="1:6" ht="18.75">
      <c r="A3" s="88"/>
      <c r="B3" s="88"/>
      <c r="C3" s="88"/>
      <c r="D3" s="88"/>
      <c r="E3" s="88"/>
      <c r="F3" s="88"/>
    </row>
    <row r="4" spans="1:6" ht="18.75">
      <c r="A4" s="88"/>
      <c r="B4" s="88"/>
      <c r="C4" s="88"/>
      <c r="D4" s="88"/>
      <c r="E4" s="88"/>
      <c r="F4" s="88"/>
    </row>
    <row r="5" spans="1:6" ht="18.75">
      <c r="A5" s="88"/>
      <c r="B5" s="88"/>
      <c r="C5" s="87" t="s">
        <v>3261</v>
      </c>
      <c r="D5" s="88"/>
      <c r="E5" s="88"/>
      <c r="F5" s="88"/>
    </row>
    <row r="6" spans="1:6">
      <c r="A6" s="97"/>
      <c r="B6" s="98"/>
      <c r="C6" s="99" t="s">
        <v>3262</v>
      </c>
      <c r="D6" s="100"/>
      <c r="E6" s="101"/>
      <c r="F6" s="102"/>
    </row>
    <row r="7" spans="1:6">
      <c r="A7" s="97"/>
      <c r="B7" s="98"/>
      <c r="C7" s="103" t="s">
        <v>3263</v>
      </c>
      <c r="D7" s="100"/>
      <c r="E7" s="101"/>
      <c r="F7" s="97"/>
    </row>
    <row r="8" spans="1:6">
      <c r="A8" s="97"/>
      <c r="B8" s="98"/>
      <c r="C8" s="104" t="s">
        <v>2530</v>
      </c>
      <c r="D8" s="100"/>
      <c r="E8" s="101"/>
      <c r="F8" s="97"/>
    </row>
    <row r="9" spans="1:6">
      <c r="A9" s="97"/>
      <c r="B9" s="98"/>
      <c r="C9" s="103" t="s">
        <v>3080</v>
      </c>
      <c r="D9" s="100">
        <f>4.5*6.42*2</f>
        <v>57.78</v>
      </c>
      <c r="E9" s="101"/>
      <c r="F9" s="97"/>
    </row>
    <row r="10" spans="1:6">
      <c r="A10" s="97"/>
      <c r="B10" s="98"/>
      <c r="C10" s="103" t="s">
        <v>3081</v>
      </c>
      <c r="D10" s="100">
        <f>4.5*1*2</f>
        <v>9</v>
      </c>
      <c r="E10" s="101">
        <f>5/12</f>
        <v>0.42</v>
      </c>
      <c r="F10" s="97"/>
    </row>
    <row r="11" spans="1:6">
      <c r="A11" s="97"/>
      <c r="B11" s="98"/>
      <c r="C11" s="103" t="s">
        <v>3082</v>
      </c>
      <c r="D11" s="100">
        <f>4.5*1*2</f>
        <v>9</v>
      </c>
      <c r="E11" s="101"/>
      <c r="F11" s="97"/>
    </row>
    <row r="12" spans="1:6">
      <c r="A12" s="97"/>
      <c r="B12" s="98"/>
      <c r="C12" s="103" t="s">
        <v>3083</v>
      </c>
      <c r="D12" s="100">
        <f>6.42*1*2</f>
        <v>12.84</v>
      </c>
      <c r="E12" s="101"/>
      <c r="F12" s="97"/>
    </row>
    <row r="13" spans="1:6">
      <c r="A13" s="97"/>
      <c r="B13" s="98"/>
      <c r="C13" s="103" t="s">
        <v>3084</v>
      </c>
      <c r="D13" s="100">
        <f>SUM(D9:D12)</f>
        <v>88.62</v>
      </c>
      <c r="E13" s="101"/>
      <c r="F13" s="97"/>
    </row>
    <row r="14" spans="1:6">
      <c r="A14" s="97"/>
      <c r="B14" s="98"/>
      <c r="C14" s="104"/>
      <c r="D14" s="100">
        <f>D13*10%</f>
        <v>8.86</v>
      </c>
      <c r="E14" s="101"/>
      <c r="F14" s="97"/>
    </row>
    <row r="15" spans="1:6">
      <c r="A15" s="97"/>
      <c r="B15" s="98"/>
      <c r="C15" s="103" t="s">
        <v>3085</v>
      </c>
      <c r="D15" s="100">
        <f>SUM(D13:D14)</f>
        <v>97.48</v>
      </c>
      <c r="E15" s="101"/>
      <c r="F15" s="97"/>
    </row>
    <row r="16" spans="1:6">
      <c r="A16" s="105"/>
      <c r="B16" s="98"/>
      <c r="C16" s="104" t="s">
        <v>3086</v>
      </c>
      <c r="D16" s="100">
        <f>D15*1.17</f>
        <v>114.05</v>
      </c>
      <c r="E16" s="101"/>
      <c r="F16" s="97"/>
    </row>
    <row r="17" spans="1:6">
      <c r="A17" s="97"/>
      <c r="B17" s="98"/>
      <c r="C17" s="103" t="s">
        <v>3087</v>
      </c>
      <c r="D17" s="100"/>
      <c r="E17" s="101"/>
      <c r="F17" s="97"/>
    </row>
    <row r="18" spans="1:6">
      <c r="A18" s="97"/>
      <c r="B18" s="98"/>
      <c r="C18" s="103"/>
      <c r="D18" s="100"/>
      <c r="E18" s="101"/>
      <c r="F18" s="97"/>
    </row>
    <row r="19" spans="1:6">
      <c r="A19" s="97">
        <v>81.099999999999994</v>
      </c>
      <c r="B19" s="98" t="s">
        <v>734</v>
      </c>
      <c r="C19" s="103" t="s">
        <v>3076</v>
      </c>
      <c r="D19" s="100">
        <v>51.4</v>
      </c>
      <c r="E19" s="101" t="s">
        <v>734</v>
      </c>
      <c r="F19" s="97"/>
    </row>
    <row r="20" spans="1:6">
      <c r="A20" s="105"/>
      <c r="B20" s="98"/>
      <c r="C20" s="104" t="s">
        <v>2531</v>
      </c>
      <c r="D20" s="100"/>
      <c r="E20" s="101"/>
      <c r="F20" s="97">
        <f t="shared" ref="F20:F65" si="0">D20*A20</f>
        <v>0</v>
      </c>
    </row>
    <row r="21" spans="1:6">
      <c r="A21" s="97"/>
      <c r="B21" s="98"/>
      <c r="C21" s="103" t="s">
        <v>2532</v>
      </c>
      <c r="D21" s="100"/>
      <c r="E21" s="101"/>
      <c r="F21" s="97">
        <f t="shared" si="0"/>
        <v>0</v>
      </c>
    </row>
    <row r="22" spans="1:6">
      <c r="A22" s="97"/>
      <c r="B22" s="98"/>
      <c r="C22" s="103" t="s">
        <v>2925</v>
      </c>
      <c r="D22" s="100"/>
      <c r="E22" s="101"/>
      <c r="F22" s="97">
        <f t="shared" si="0"/>
        <v>0</v>
      </c>
    </row>
    <row r="23" spans="1:6">
      <c r="A23" s="97"/>
      <c r="B23" s="98"/>
      <c r="C23" s="103" t="s">
        <v>2923</v>
      </c>
      <c r="D23" s="100"/>
      <c r="E23" s="101"/>
      <c r="F23" s="97">
        <f t="shared" si="0"/>
        <v>0</v>
      </c>
    </row>
    <row r="24" spans="1:6">
      <c r="A24" s="97"/>
      <c r="B24" s="98"/>
      <c r="C24" s="103" t="s">
        <v>2924</v>
      </c>
      <c r="D24" s="100"/>
      <c r="E24" s="101"/>
      <c r="F24" s="97">
        <f t="shared" si="0"/>
        <v>0</v>
      </c>
    </row>
    <row r="25" spans="1:6" ht="31.5">
      <c r="A25" s="97"/>
      <c r="B25" s="98"/>
      <c r="C25" s="103" t="s">
        <v>3088</v>
      </c>
      <c r="D25" s="100"/>
      <c r="E25" s="101"/>
      <c r="F25" s="97">
        <f t="shared" si="0"/>
        <v>0</v>
      </c>
    </row>
    <row r="26" spans="1:6">
      <c r="A26" s="97"/>
      <c r="B26" s="98"/>
      <c r="C26" s="103" t="s">
        <v>3089</v>
      </c>
      <c r="D26" s="100"/>
      <c r="E26" s="101"/>
      <c r="F26" s="97">
        <f t="shared" si="0"/>
        <v>0</v>
      </c>
    </row>
    <row r="27" spans="1:6">
      <c r="A27" s="97"/>
      <c r="B27" s="98"/>
      <c r="C27" s="103" t="s">
        <v>3090</v>
      </c>
      <c r="D27" s="100"/>
      <c r="E27" s="101"/>
      <c r="F27" s="97">
        <f t="shared" si="0"/>
        <v>0</v>
      </c>
    </row>
    <row r="28" spans="1:6">
      <c r="A28" s="97">
        <v>35</v>
      </c>
      <c r="B28" s="98" t="s">
        <v>734</v>
      </c>
      <c r="C28" s="103" t="s">
        <v>3077</v>
      </c>
      <c r="D28" s="100">
        <f>D19</f>
        <v>51.4</v>
      </c>
      <c r="E28" s="101" t="s">
        <v>734</v>
      </c>
      <c r="F28" s="97">
        <f t="shared" si="0"/>
        <v>1799</v>
      </c>
    </row>
    <row r="29" spans="1:6">
      <c r="A29" s="97"/>
      <c r="B29" s="98"/>
      <c r="C29" s="104" t="s">
        <v>2533</v>
      </c>
      <c r="D29" s="100"/>
      <c r="E29" s="101"/>
      <c r="F29" s="97">
        <f t="shared" si="0"/>
        <v>0</v>
      </c>
    </row>
    <row r="30" spans="1:6">
      <c r="A30" s="97"/>
      <c r="B30" s="98"/>
      <c r="C30" s="103" t="s">
        <v>2534</v>
      </c>
      <c r="D30" s="100"/>
      <c r="E30" s="101"/>
      <c r="F30" s="97">
        <f t="shared" si="0"/>
        <v>0</v>
      </c>
    </row>
    <row r="31" spans="1:6">
      <c r="A31" s="97"/>
      <c r="B31" s="98"/>
      <c r="C31" s="103" t="s">
        <v>2535</v>
      </c>
      <c r="D31" s="100"/>
      <c r="E31" s="101"/>
      <c r="F31" s="97">
        <f t="shared" si="0"/>
        <v>0</v>
      </c>
    </row>
    <row r="32" spans="1:6">
      <c r="A32" s="97"/>
      <c r="B32" s="98"/>
      <c r="C32" s="103" t="s">
        <v>3091</v>
      </c>
      <c r="D32" s="100"/>
      <c r="E32" s="101"/>
      <c r="F32" s="97">
        <f t="shared" si="0"/>
        <v>0</v>
      </c>
    </row>
    <row r="33" spans="1:6">
      <c r="A33" s="97"/>
      <c r="B33" s="98"/>
      <c r="C33" s="103" t="s">
        <v>3092</v>
      </c>
      <c r="D33" s="100"/>
      <c r="E33" s="101"/>
      <c r="F33" s="97">
        <f t="shared" si="0"/>
        <v>0</v>
      </c>
    </row>
    <row r="34" spans="1:6">
      <c r="A34" s="97"/>
      <c r="B34" s="98"/>
      <c r="C34" s="103" t="s">
        <v>3093</v>
      </c>
      <c r="D34" s="100"/>
      <c r="E34" s="101"/>
      <c r="F34" s="97">
        <f t="shared" si="0"/>
        <v>0</v>
      </c>
    </row>
    <row r="35" spans="1:6" ht="31.5">
      <c r="A35" s="97"/>
      <c r="B35" s="98"/>
      <c r="C35" s="103" t="s">
        <v>3094</v>
      </c>
      <c r="D35" s="100"/>
      <c r="E35" s="101"/>
      <c r="F35" s="97">
        <f t="shared" si="0"/>
        <v>0</v>
      </c>
    </row>
    <row r="36" spans="1:6">
      <c r="A36" s="97"/>
      <c r="B36" s="98"/>
      <c r="C36" s="103" t="s">
        <v>3095</v>
      </c>
      <c r="D36" s="100"/>
      <c r="E36" s="101"/>
      <c r="F36" s="97">
        <f t="shared" si="0"/>
        <v>0</v>
      </c>
    </row>
    <row r="37" spans="1:6">
      <c r="A37" s="97"/>
      <c r="B37" s="98"/>
      <c r="C37" s="103" t="s">
        <v>3096</v>
      </c>
      <c r="D37" s="100"/>
      <c r="E37" s="101"/>
      <c r="F37" s="97">
        <f t="shared" si="0"/>
        <v>0</v>
      </c>
    </row>
    <row r="38" spans="1:6">
      <c r="A38" s="97"/>
      <c r="B38" s="98"/>
      <c r="C38" s="103" t="s">
        <v>3097</v>
      </c>
      <c r="D38" s="100"/>
      <c r="E38" s="101"/>
      <c r="F38" s="97">
        <f t="shared" si="0"/>
        <v>0</v>
      </c>
    </row>
    <row r="39" spans="1:6">
      <c r="A39" s="97"/>
      <c r="B39" s="98"/>
      <c r="C39" s="103"/>
      <c r="D39" s="100"/>
      <c r="E39" s="101"/>
      <c r="F39" s="97">
        <f t="shared" si="0"/>
        <v>0</v>
      </c>
    </row>
    <row r="40" spans="1:6">
      <c r="A40" s="97"/>
      <c r="B40" s="98"/>
      <c r="C40" s="103" t="s">
        <v>3098</v>
      </c>
      <c r="D40" s="100"/>
      <c r="E40" s="101"/>
      <c r="F40" s="97">
        <f t="shared" si="0"/>
        <v>0</v>
      </c>
    </row>
    <row r="41" spans="1:6">
      <c r="A41" s="97"/>
      <c r="B41" s="98"/>
      <c r="C41" s="103"/>
      <c r="D41" s="100"/>
      <c r="E41" s="101"/>
      <c r="F41" s="97">
        <f t="shared" si="0"/>
        <v>0</v>
      </c>
    </row>
    <row r="42" spans="1:6">
      <c r="A42" s="97">
        <v>2</v>
      </c>
      <c r="B42" s="98" t="s">
        <v>734</v>
      </c>
      <c r="C42" s="103" t="s">
        <v>3078</v>
      </c>
      <c r="D42" s="100">
        <v>526</v>
      </c>
      <c r="E42" s="101" t="s">
        <v>734</v>
      </c>
      <c r="F42" s="97">
        <f t="shared" si="0"/>
        <v>1052</v>
      </c>
    </row>
    <row r="43" spans="1:6">
      <c r="A43" s="97">
        <v>6.2</v>
      </c>
      <c r="B43" s="98" t="s">
        <v>734</v>
      </c>
      <c r="C43" s="103" t="s">
        <v>3079</v>
      </c>
      <c r="D43" s="100">
        <v>10</v>
      </c>
      <c r="E43" s="101" t="s">
        <v>734</v>
      </c>
      <c r="F43" s="97">
        <f t="shared" si="0"/>
        <v>62</v>
      </c>
    </row>
    <row r="44" spans="1:6">
      <c r="A44" s="97">
        <v>3.66</v>
      </c>
      <c r="B44" s="103" t="s">
        <v>669</v>
      </c>
      <c r="C44" s="103" t="s">
        <v>3264</v>
      </c>
      <c r="D44" s="100">
        <v>114</v>
      </c>
      <c r="E44" s="101" t="s">
        <v>669</v>
      </c>
      <c r="F44" s="97">
        <f t="shared" si="0"/>
        <v>417.24</v>
      </c>
    </row>
    <row r="45" spans="1:6">
      <c r="A45" s="97">
        <v>15.4</v>
      </c>
      <c r="B45" s="103" t="s">
        <v>734</v>
      </c>
      <c r="C45" s="103" t="s">
        <v>3265</v>
      </c>
      <c r="D45" s="100">
        <v>51.4</v>
      </c>
      <c r="E45" s="101" t="s">
        <v>734</v>
      </c>
      <c r="F45" s="97">
        <f t="shared" si="0"/>
        <v>791.56</v>
      </c>
    </row>
    <row r="46" spans="1:6">
      <c r="A46" s="97">
        <v>3</v>
      </c>
      <c r="B46" s="103" t="s">
        <v>838</v>
      </c>
      <c r="C46" s="103" t="s">
        <v>3063</v>
      </c>
      <c r="D46" s="100">
        <v>696.43</v>
      </c>
      <c r="E46" s="101" t="s">
        <v>1134</v>
      </c>
      <c r="F46" s="97">
        <f t="shared" si="0"/>
        <v>2089.29</v>
      </c>
    </row>
    <row r="47" spans="1:6">
      <c r="A47" s="89">
        <v>1</v>
      </c>
      <c r="B47" s="90" t="s">
        <v>838</v>
      </c>
      <c r="C47" s="93" t="s">
        <v>3101</v>
      </c>
      <c r="D47" s="89">
        <v>76.849999999999994</v>
      </c>
      <c r="E47" s="92" t="s">
        <v>1134</v>
      </c>
      <c r="F47" s="97">
        <f t="shared" si="0"/>
        <v>76.849999999999994</v>
      </c>
    </row>
    <row r="48" spans="1:6">
      <c r="A48" s="89">
        <v>3</v>
      </c>
      <c r="B48" s="90" t="s">
        <v>838</v>
      </c>
      <c r="C48" s="93" t="s">
        <v>3266</v>
      </c>
      <c r="D48" s="89">
        <v>188.4</v>
      </c>
      <c r="E48" s="92" t="s">
        <v>1134</v>
      </c>
      <c r="F48" s="97">
        <f t="shared" si="0"/>
        <v>565.20000000000005</v>
      </c>
    </row>
    <row r="49" spans="1:6">
      <c r="A49" s="89">
        <v>1</v>
      </c>
      <c r="B49" s="90" t="s">
        <v>453</v>
      </c>
      <c r="C49" s="93" t="s">
        <v>3267</v>
      </c>
      <c r="D49" s="89">
        <v>84.4</v>
      </c>
      <c r="E49" s="92" t="s">
        <v>1134</v>
      </c>
      <c r="F49" s="97">
        <f t="shared" si="0"/>
        <v>84.4</v>
      </c>
    </row>
    <row r="50" spans="1:6">
      <c r="A50" s="89">
        <v>1</v>
      </c>
      <c r="B50" s="90" t="s">
        <v>838</v>
      </c>
      <c r="C50" s="93" t="s">
        <v>3064</v>
      </c>
      <c r="D50" s="89">
        <v>67.150000000000006</v>
      </c>
      <c r="E50" s="92" t="s">
        <v>1134</v>
      </c>
      <c r="F50" s="97">
        <f t="shared" si="0"/>
        <v>67.150000000000006</v>
      </c>
    </row>
    <row r="51" spans="1:6">
      <c r="A51" s="89">
        <v>1</v>
      </c>
      <c r="B51" s="90" t="s">
        <v>838</v>
      </c>
      <c r="C51" s="93" t="s">
        <v>3065</v>
      </c>
      <c r="D51" s="89">
        <v>37.65</v>
      </c>
      <c r="E51" s="92" t="s">
        <v>1134</v>
      </c>
      <c r="F51" s="97">
        <f t="shared" si="0"/>
        <v>37.65</v>
      </c>
    </row>
    <row r="52" spans="1:6">
      <c r="A52" s="96">
        <v>1</v>
      </c>
      <c r="B52" s="90" t="s">
        <v>453</v>
      </c>
      <c r="C52" s="111" t="s">
        <v>3268</v>
      </c>
      <c r="D52" s="112">
        <v>575</v>
      </c>
      <c r="E52" s="92" t="s">
        <v>1134</v>
      </c>
      <c r="F52" s="97">
        <f t="shared" si="0"/>
        <v>575</v>
      </c>
    </row>
    <row r="53" spans="1:6">
      <c r="A53" s="89">
        <v>1</v>
      </c>
      <c r="B53" s="90" t="s">
        <v>453</v>
      </c>
      <c r="C53" s="93" t="s">
        <v>3269</v>
      </c>
      <c r="D53" s="112">
        <v>256</v>
      </c>
      <c r="E53" s="92" t="s">
        <v>1134</v>
      </c>
      <c r="F53" s="97">
        <f t="shared" si="0"/>
        <v>256</v>
      </c>
    </row>
    <row r="54" spans="1:6">
      <c r="A54" s="89">
        <v>200</v>
      </c>
      <c r="B54" s="90" t="s">
        <v>2536</v>
      </c>
      <c r="C54" s="93" t="s">
        <v>3066</v>
      </c>
      <c r="D54" s="112">
        <v>1</v>
      </c>
      <c r="E54" s="92" t="s">
        <v>2536</v>
      </c>
      <c r="F54" s="97">
        <f t="shared" si="0"/>
        <v>200</v>
      </c>
    </row>
    <row r="55" spans="1:6">
      <c r="A55" s="89"/>
      <c r="B55" s="90"/>
      <c r="C55" s="93" t="s">
        <v>2537</v>
      </c>
      <c r="D55" s="112">
        <v>0</v>
      </c>
      <c r="E55" s="92"/>
      <c r="F55" s="97">
        <f t="shared" si="0"/>
        <v>0</v>
      </c>
    </row>
    <row r="56" spans="1:6">
      <c r="A56" s="89"/>
      <c r="B56" s="90"/>
      <c r="C56" s="93" t="s">
        <v>3067</v>
      </c>
      <c r="D56" s="112">
        <v>0</v>
      </c>
      <c r="E56" s="92"/>
      <c r="F56" s="97">
        <f t="shared" si="0"/>
        <v>0</v>
      </c>
    </row>
    <row r="57" spans="1:6">
      <c r="A57" s="89">
        <v>10.3</v>
      </c>
      <c r="B57" s="90" t="s">
        <v>669</v>
      </c>
      <c r="C57" s="93" t="s">
        <v>3068</v>
      </c>
      <c r="D57" s="112">
        <v>20</v>
      </c>
      <c r="E57" s="92" t="s">
        <v>669</v>
      </c>
      <c r="F57" s="97">
        <f t="shared" si="0"/>
        <v>206</v>
      </c>
    </row>
    <row r="58" spans="1:6">
      <c r="A58" s="89">
        <v>0.7</v>
      </c>
      <c r="B58" s="90" t="s">
        <v>2751</v>
      </c>
      <c r="C58" s="93" t="s">
        <v>3069</v>
      </c>
      <c r="D58" s="112">
        <v>1260</v>
      </c>
      <c r="E58" s="92" t="s">
        <v>2751</v>
      </c>
      <c r="F58" s="97">
        <f t="shared" si="0"/>
        <v>882</v>
      </c>
    </row>
    <row r="59" spans="1:6">
      <c r="A59" s="89">
        <v>3</v>
      </c>
      <c r="B59" s="90" t="s">
        <v>1166</v>
      </c>
      <c r="C59" s="93" t="s">
        <v>3070</v>
      </c>
      <c r="D59" s="112">
        <v>17.86</v>
      </c>
      <c r="E59" s="94" t="s">
        <v>1394</v>
      </c>
      <c r="F59" s="97">
        <f t="shared" si="0"/>
        <v>53.58</v>
      </c>
    </row>
    <row r="60" spans="1:6">
      <c r="A60" s="89">
        <v>1</v>
      </c>
      <c r="B60" s="90" t="s">
        <v>118</v>
      </c>
      <c r="C60" s="93" t="s">
        <v>3071</v>
      </c>
      <c r="D60" s="112">
        <v>90</v>
      </c>
      <c r="E60" s="92" t="s">
        <v>118</v>
      </c>
      <c r="F60" s="97">
        <f t="shared" si="0"/>
        <v>90</v>
      </c>
    </row>
    <row r="61" spans="1:6">
      <c r="A61" s="97">
        <v>5</v>
      </c>
      <c r="B61" s="98" t="s">
        <v>2075</v>
      </c>
      <c r="C61" s="103" t="s">
        <v>3072</v>
      </c>
      <c r="D61" s="100">
        <v>9.8000000000000007</v>
      </c>
      <c r="E61" s="101" t="s">
        <v>2075</v>
      </c>
      <c r="F61" s="97">
        <f t="shared" si="0"/>
        <v>49</v>
      </c>
    </row>
    <row r="62" spans="1:6">
      <c r="A62" s="97">
        <v>35</v>
      </c>
      <c r="B62" s="98" t="s">
        <v>734</v>
      </c>
      <c r="C62" s="103" t="s">
        <v>3073</v>
      </c>
      <c r="D62" s="100">
        <v>47.8</v>
      </c>
      <c r="E62" s="101" t="s">
        <v>734</v>
      </c>
      <c r="F62" s="97">
        <f t="shared" si="0"/>
        <v>1673</v>
      </c>
    </row>
    <row r="63" spans="1:6">
      <c r="A63" s="97">
        <v>2</v>
      </c>
      <c r="B63" s="98" t="s">
        <v>1166</v>
      </c>
      <c r="C63" s="103" t="s">
        <v>3074</v>
      </c>
      <c r="D63" s="100">
        <v>988</v>
      </c>
      <c r="E63" s="101" t="s">
        <v>1394</v>
      </c>
      <c r="F63" s="97">
        <f t="shared" si="0"/>
        <v>1976</v>
      </c>
    </row>
    <row r="64" spans="1:6">
      <c r="A64" s="97">
        <v>50</v>
      </c>
      <c r="B64" s="98" t="s">
        <v>2538</v>
      </c>
      <c r="C64" s="103" t="s">
        <v>3075</v>
      </c>
      <c r="D64" s="100">
        <v>10</v>
      </c>
      <c r="E64" s="101" t="s">
        <v>2539</v>
      </c>
      <c r="F64" s="97">
        <f t="shared" si="0"/>
        <v>500</v>
      </c>
    </row>
    <row r="65" spans="1:6" ht="47.25">
      <c r="A65" s="89">
        <v>9</v>
      </c>
      <c r="B65" s="90" t="s">
        <v>2540</v>
      </c>
      <c r="C65" s="93" t="s">
        <v>3270</v>
      </c>
      <c r="D65" s="92">
        <v>56.7</v>
      </c>
      <c r="E65" s="92" t="s">
        <v>2541</v>
      </c>
      <c r="F65" s="97">
        <f t="shared" si="0"/>
        <v>510.3</v>
      </c>
    </row>
    <row r="66" spans="1:6">
      <c r="A66" s="89"/>
      <c r="B66" s="98"/>
      <c r="C66" s="103" t="s">
        <v>2542</v>
      </c>
      <c r="D66" s="100"/>
      <c r="E66" s="101"/>
      <c r="F66" s="97"/>
    </row>
    <row r="67" spans="1:6">
      <c r="A67" s="89"/>
      <c r="B67" s="98"/>
      <c r="C67" s="103"/>
      <c r="D67" s="100" t="s">
        <v>1827</v>
      </c>
      <c r="E67" s="101"/>
      <c r="F67" s="102">
        <f>SUM(F20:F66)</f>
        <v>14013.22</v>
      </c>
    </row>
    <row r="68" spans="1:6" ht="31.5">
      <c r="A68" s="107"/>
      <c r="B68" s="98"/>
      <c r="C68" s="103" t="s">
        <v>2543</v>
      </c>
      <c r="D68" s="100"/>
      <c r="E68" s="101"/>
      <c r="F68" s="97">
        <f>F67*2/100</f>
        <v>280.26</v>
      </c>
    </row>
    <row r="69" spans="1:6" ht="18.75">
      <c r="A69" s="88"/>
      <c r="B69" s="98"/>
      <c r="C69" s="103"/>
      <c r="D69" s="100"/>
      <c r="E69" s="101"/>
      <c r="F69" s="102">
        <f>SUM(F67:F68)</f>
        <v>14293.48</v>
      </c>
    </row>
    <row r="70" spans="1:6" ht="18.75">
      <c r="A70" s="88"/>
      <c r="B70" s="90"/>
      <c r="C70" s="93" t="s">
        <v>2544</v>
      </c>
      <c r="D70" s="92"/>
      <c r="E70" s="92"/>
      <c r="F70" s="89">
        <v>400</v>
      </c>
    </row>
    <row r="71" spans="1:6" ht="18.75">
      <c r="A71" s="88"/>
      <c r="B71" s="90"/>
      <c r="C71" s="93" t="s">
        <v>2545</v>
      </c>
      <c r="D71" s="92"/>
      <c r="E71" s="92"/>
      <c r="F71" s="89">
        <v>400</v>
      </c>
    </row>
    <row r="72" spans="1:6" ht="18.75">
      <c r="A72" s="88"/>
      <c r="B72" s="90"/>
      <c r="C72" s="93"/>
      <c r="D72" s="92"/>
      <c r="E72" s="92"/>
      <c r="F72" s="95">
        <f>SUM(F69:F71)</f>
        <v>15093.48</v>
      </c>
    </row>
    <row r="73" spans="1:6" ht="18.75">
      <c r="A73" s="88"/>
      <c r="B73" s="106"/>
      <c r="C73" s="93"/>
      <c r="D73" s="92"/>
      <c r="E73" s="91" t="s">
        <v>3058</v>
      </c>
      <c r="F73" s="108">
        <v>15100</v>
      </c>
    </row>
  </sheetData>
  <pageMargins left="0.7" right="0.7" top="0.75" bottom="0.75" header="0.3" footer="0.3"/>
  <pageSetup paperSize="9" orientation="portrait" verticalDpi="0" r:id="rId1"/>
</worksheet>
</file>

<file path=xl/worksheets/sheet23.xml><?xml version="1.0" encoding="utf-8"?>
<worksheet xmlns="http://schemas.openxmlformats.org/spreadsheetml/2006/main" xmlns:r="http://schemas.openxmlformats.org/officeDocument/2006/relationships">
  <sheetPr>
    <tabColor rgb="FFFFFF00"/>
  </sheetPr>
  <dimension ref="A1:G760"/>
  <sheetViews>
    <sheetView topLeftCell="A580" workbookViewId="0">
      <selection activeCell="C623" sqref="C623"/>
    </sheetView>
  </sheetViews>
  <sheetFormatPr defaultRowHeight="15"/>
  <cols>
    <col min="1" max="1" width="8.6640625" style="401" customWidth="1"/>
    <col min="2" max="2" width="8.5546875" style="395" customWidth="1"/>
    <col min="3" max="3" width="30" style="395" customWidth="1"/>
    <col min="4" max="4" width="8.6640625" style="395" customWidth="1"/>
    <col min="5" max="5" width="8.77734375" style="395"/>
    <col min="6" max="6" width="8.77734375" style="395" bestFit="1" customWidth="1"/>
    <col min="7" max="256" width="8.77734375" style="395"/>
    <col min="257" max="257" width="8.6640625" style="395" customWidth="1"/>
    <col min="258" max="258" width="8.5546875" style="395" customWidth="1"/>
    <col min="259" max="259" width="30" style="395" customWidth="1"/>
    <col min="260" max="260" width="8.6640625" style="395" customWidth="1"/>
    <col min="261" max="261" width="8.77734375" style="395"/>
    <col min="262" max="262" width="8.77734375" style="395" bestFit="1" customWidth="1"/>
    <col min="263" max="512" width="8.77734375" style="395"/>
    <col min="513" max="513" width="8.6640625" style="395" customWidth="1"/>
    <col min="514" max="514" width="8.5546875" style="395" customWidth="1"/>
    <col min="515" max="515" width="30" style="395" customWidth="1"/>
    <col min="516" max="516" width="8.6640625" style="395" customWidth="1"/>
    <col min="517" max="517" width="8.77734375" style="395"/>
    <col min="518" max="518" width="8.77734375" style="395" bestFit="1" customWidth="1"/>
    <col min="519" max="768" width="8.77734375" style="395"/>
    <col min="769" max="769" width="8.6640625" style="395" customWidth="1"/>
    <col min="770" max="770" width="8.5546875" style="395" customWidth="1"/>
    <col min="771" max="771" width="30" style="395" customWidth="1"/>
    <col min="772" max="772" width="8.6640625" style="395" customWidth="1"/>
    <col min="773" max="773" width="8.77734375" style="395"/>
    <col min="774" max="774" width="8.77734375" style="395" bestFit="1" customWidth="1"/>
    <col min="775" max="1024" width="8.77734375" style="395"/>
    <col min="1025" max="1025" width="8.6640625" style="395" customWidth="1"/>
    <col min="1026" max="1026" width="8.5546875" style="395" customWidth="1"/>
    <col min="1027" max="1027" width="30" style="395" customWidth="1"/>
    <col min="1028" max="1028" width="8.6640625" style="395" customWidth="1"/>
    <col min="1029" max="1029" width="8.77734375" style="395"/>
    <col min="1030" max="1030" width="8.77734375" style="395" bestFit="1" customWidth="1"/>
    <col min="1031" max="1280" width="8.77734375" style="395"/>
    <col min="1281" max="1281" width="8.6640625" style="395" customWidth="1"/>
    <col min="1282" max="1282" width="8.5546875" style="395" customWidth="1"/>
    <col min="1283" max="1283" width="30" style="395" customWidth="1"/>
    <col min="1284" max="1284" width="8.6640625" style="395" customWidth="1"/>
    <col min="1285" max="1285" width="8.77734375" style="395"/>
    <col min="1286" max="1286" width="8.77734375" style="395" bestFit="1" customWidth="1"/>
    <col min="1287" max="1536" width="8.77734375" style="395"/>
    <col min="1537" max="1537" width="8.6640625" style="395" customWidth="1"/>
    <col min="1538" max="1538" width="8.5546875" style="395" customWidth="1"/>
    <col min="1539" max="1539" width="30" style="395" customWidth="1"/>
    <col min="1540" max="1540" width="8.6640625" style="395" customWidth="1"/>
    <col min="1541" max="1541" width="8.77734375" style="395"/>
    <col min="1542" max="1542" width="8.77734375" style="395" bestFit="1" customWidth="1"/>
    <col min="1543" max="1792" width="8.77734375" style="395"/>
    <col min="1793" max="1793" width="8.6640625" style="395" customWidth="1"/>
    <col min="1794" max="1794" width="8.5546875" style="395" customWidth="1"/>
    <col min="1795" max="1795" width="30" style="395" customWidth="1"/>
    <col min="1796" max="1796" width="8.6640625" style="395" customWidth="1"/>
    <col min="1797" max="1797" width="8.77734375" style="395"/>
    <col min="1798" max="1798" width="8.77734375" style="395" bestFit="1" customWidth="1"/>
    <col min="1799" max="2048" width="8.77734375" style="395"/>
    <col min="2049" max="2049" width="8.6640625" style="395" customWidth="1"/>
    <col min="2050" max="2050" width="8.5546875" style="395" customWidth="1"/>
    <col min="2051" max="2051" width="30" style="395" customWidth="1"/>
    <col min="2052" max="2052" width="8.6640625" style="395" customWidth="1"/>
    <col min="2053" max="2053" width="8.77734375" style="395"/>
    <col min="2054" max="2054" width="8.77734375" style="395" bestFit="1" customWidth="1"/>
    <col min="2055" max="2304" width="8.77734375" style="395"/>
    <col min="2305" max="2305" width="8.6640625" style="395" customWidth="1"/>
    <col min="2306" max="2306" width="8.5546875" style="395" customWidth="1"/>
    <col min="2307" max="2307" width="30" style="395" customWidth="1"/>
    <col min="2308" max="2308" width="8.6640625" style="395" customWidth="1"/>
    <col min="2309" max="2309" width="8.77734375" style="395"/>
    <col min="2310" max="2310" width="8.77734375" style="395" bestFit="1" customWidth="1"/>
    <col min="2311" max="2560" width="8.77734375" style="395"/>
    <col min="2561" max="2561" width="8.6640625" style="395" customWidth="1"/>
    <col min="2562" max="2562" width="8.5546875" style="395" customWidth="1"/>
    <col min="2563" max="2563" width="30" style="395" customWidth="1"/>
    <col min="2564" max="2564" width="8.6640625" style="395" customWidth="1"/>
    <col min="2565" max="2565" width="8.77734375" style="395"/>
    <col min="2566" max="2566" width="8.77734375" style="395" bestFit="1" customWidth="1"/>
    <col min="2567" max="2816" width="8.77734375" style="395"/>
    <col min="2817" max="2817" width="8.6640625" style="395" customWidth="1"/>
    <col min="2818" max="2818" width="8.5546875" style="395" customWidth="1"/>
    <col min="2819" max="2819" width="30" style="395" customWidth="1"/>
    <col min="2820" max="2820" width="8.6640625" style="395" customWidth="1"/>
    <col min="2821" max="2821" width="8.77734375" style="395"/>
    <col min="2822" max="2822" width="8.77734375" style="395" bestFit="1" customWidth="1"/>
    <col min="2823" max="3072" width="8.77734375" style="395"/>
    <col min="3073" max="3073" width="8.6640625" style="395" customWidth="1"/>
    <col min="3074" max="3074" width="8.5546875" style="395" customWidth="1"/>
    <col min="3075" max="3075" width="30" style="395" customWidth="1"/>
    <col min="3076" max="3076" width="8.6640625" style="395" customWidth="1"/>
    <col min="3077" max="3077" width="8.77734375" style="395"/>
    <col min="3078" max="3078" width="8.77734375" style="395" bestFit="1" customWidth="1"/>
    <col min="3079" max="3328" width="8.77734375" style="395"/>
    <col min="3329" max="3329" width="8.6640625" style="395" customWidth="1"/>
    <col min="3330" max="3330" width="8.5546875" style="395" customWidth="1"/>
    <col min="3331" max="3331" width="30" style="395" customWidth="1"/>
    <col min="3332" max="3332" width="8.6640625" style="395" customWidth="1"/>
    <col min="3333" max="3333" width="8.77734375" style="395"/>
    <col min="3334" max="3334" width="8.77734375" style="395" bestFit="1" customWidth="1"/>
    <col min="3335" max="3584" width="8.77734375" style="395"/>
    <col min="3585" max="3585" width="8.6640625" style="395" customWidth="1"/>
    <col min="3586" max="3586" width="8.5546875" style="395" customWidth="1"/>
    <col min="3587" max="3587" width="30" style="395" customWidth="1"/>
    <col min="3588" max="3588" width="8.6640625" style="395" customWidth="1"/>
    <col min="3589" max="3589" width="8.77734375" style="395"/>
    <col min="3590" max="3590" width="8.77734375" style="395" bestFit="1" customWidth="1"/>
    <col min="3591" max="3840" width="8.77734375" style="395"/>
    <col min="3841" max="3841" width="8.6640625" style="395" customWidth="1"/>
    <col min="3842" max="3842" width="8.5546875" style="395" customWidth="1"/>
    <col min="3843" max="3843" width="30" style="395" customWidth="1"/>
    <col min="3844" max="3844" width="8.6640625" style="395" customWidth="1"/>
    <col min="3845" max="3845" width="8.77734375" style="395"/>
    <col min="3846" max="3846" width="8.77734375" style="395" bestFit="1" customWidth="1"/>
    <col min="3847" max="4096" width="8.77734375" style="395"/>
    <col min="4097" max="4097" width="8.6640625" style="395" customWidth="1"/>
    <col min="4098" max="4098" width="8.5546875" style="395" customWidth="1"/>
    <col min="4099" max="4099" width="30" style="395" customWidth="1"/>
    <col min="4100" max="4100" width="8.6640625" style="395" customWidth="1"/>
    <col min="4101" max="4101" width="8.77734375" style="395"/>
    <col min="4102" max="4102" width="8.77734375" style="395" bestFit="1" customWidth="1"/>
    <col min="4103" max="4352" width="8.77734375" style="395"/>
    <col min="4353" max="4353" width="8.6640625" style="395" customWidth="1"/>
    <col min="4354" max="4354" width="8.5546875" style="395" customWidth="1"/>
    <col min="4355" max="4355" width="30" style="395" customWidth="1"/>
    <col min="4356" max="4356" width="8.6640625" style="395" customWidth="1"/>
    <col min="4357" max="4357" width="8.77734375" style="395"/>
    <col min="4358" max="4358" width="8.77734375" style="395" bestFit="1" customWidth="1"/>
    <col min="4359" max="4608" width="8.77734375" style="395"/>
    <col min="4609" max="4609" width="8.6640625" style="395" customWidth="1"/>
    <col min="4610" max="4610" width="8.5546875" style="395" customWidth="1"/>
    <col min="4611" max="4611" width="30" style="395" customWidth="1"/>
    <col min="4612" max="4612" width="8.6640625" style="395" customWidth="1"/>
    <col min="4613" max="4613" width="8.77734375" style="395"/>
    <col min="4614" max="4614" width="8.77734375" style="395" bestFit="1" customWidth="1"/>
    <col min="4615" max="4864" width="8.77734375" style="395"/>
    <col min="4865" max="4865" width="8.6640625" style="395" customWidth="1"/>
    <col min="4866" max="4866" width="8.5546875" style="395" customWidth="1"/>
    <col min="4867" max="4867" width="30" style="395" customWidth="1"/>
    <col min="4868" max="4868" width="8.6640625" style="395" customWidth="1"/>
    <col min="4869" max="4869" width="8.77734375" style="395"/>
    <col min="4870" max="4870" width="8.77734375" style="395" bestFit="1" customWidth="1"/>
    <col min="4871" max="5120" width="8.77734375" style="395"/>
    <col min="5121" max="5121" width="8.6640625" style="395" customWidth="1"/>
    <col min="5122" max="5122" width="8.5546875" style="395" customWidth="1"/>
    <col min="5123" max="5123" width="30" style="395" customWidth="1"/>
    <col min="5124" max="5124" width="8.6640625" style="395" customWidth="1"/>
    <col min="5125" max="5125" width="8.77734375" style="395"/>
    <col min="5126" max="5126" width="8.77734375" style="395" bestFit="1" customWidth="1"/>
    <col min="5127" max="5376" width="8.77734375" style="395"/>
    <col min="5377" max="5377" width="8.6640625" style="395" customWidth="1"/>
    <col min="5378" max="5378" width="8.5546875" style="395" customWidth="1"/>
    <col min="5379" max="5379" width="30" style="395" customWidth="1"/>
    <col min="5380" max="5380" width="8.6640625" style="395" customWidth="1"/>
    <col min="5381" max="5381" width="8.77734375" style="395"/>
    <col min="5382" max="5382" width="8.77734375" style="395" bestFit="1" customWidth="1"/>
    <col min="5383" max="5632" width="8.77734375" style="395"/>
    <col min="5633" max="5633" width="8.6640625" style="395" customWidth="1"/>
    <col min="5634" max="5634" width="8.5546875" style="395" customWidth="1"/>
    <col min="5635" max="5635" width="30" style="395" customWidth="1"/>
    <col min="5636" max="5636" width="8.6640625" style="395" customWidth="1"/>
    <col min="5637" max="5637" width="8.77734375" style="395"/>
    <col min="5638" max="5638" width="8.77734375" style="395" bestFit="1" customWidth="1"/>
    <col min="5639" max="5888" width="8.77734375" style="395"/>
    <col min="5889" max="5889" width="8.6640625" style="395" customWidth="1"/>
    <col min="5890" max="5890" width="8.5546875" style="395" customWidth="1"/>
    <col min="5891" max="5891" width="30" style="395" customWidth="1"/>
    <col min="5892" max="5892" width="8.6640625" style="395" customWidth="1"/>
    <col min="5893" max="5893" width="8.77734375" style="395"/>
    <col min="5894" max="5894" width="8.77734375" style="395" bestFit="1" customWidth="1"/>
    <col min="5895" max="6144" width="8.77734375" style="395"/>
    <col min="6145" max="6145" width="8.6640625" style="395" customWidth="1"/>
    <col min="6146" max="6146" width="8.5546875" style="395" customWidth="1"/>
    <col min="6147" max="6147" width="30" style="395" customWidth="1"/>
    <col min="6148" max="6148" width="8.6640625" style="395" customWidth="1"/>
    <col min="6149" max="6149" width="8.77734375" style="395"/>
    <col min="6150" max="6150" width="8.77734375" style="395" bestFit="1" customWidth="1"/>
    <col min="6151" max="6400" width="8.77734375" style="395"/>
    <col min="6401" max="6401" width="8.6640625" style="395" customWidth="1"/>
    <col min="6402" max="6402" width="8.5546875" style="395" customWidth="1"/>
    <col min="6403" max="6403" width="30" style="395" customWidth="1"/>
    <col min="6404" max="6404" width="8.6640625" style="395" customWidth="1"/>
    <col min="6405" max="6405" width="8.77734375" style="395"/>
    <col min="6406" max="6406" width="8.77734375" style="395" bestFit="1" customWidth="1"/>
    <col min="6407" max="6656" width="8.77734375" style="395"/>
    <col min="6657" max="6657" width="8.6640625" style="395" customWidth="1"/>
    <col min="6658" max="6658" width="8.5546875" style="395" customWidth="1"/>
    <col min="6659" max="6659" width="30" style="395" customWidth="1"/>
    <col min="6660" max="6660" width="8.6640625" style="395" customWidth="1"/>
    <col min="6661" max="6661" width="8.77734375" style="395"/>
    <col min="6662" max="6662" width="8.77734375" style="395" bestFit="1" customWidth="1"/>
    <col min="6663" max="6912" width="8.77734375" style="395"/>
    <col min="6913" max="6913" width="8.6640625" style="395" customWidth="1"/>
    <col min="6914" max="6914" width="8.5546875" style="395" customWidth="1"/>
    <col min="6915" max="6915" width="30" style="395" customWidth="1"/>
    <col min="6916" max="6916" width="8.6640625" style="395" customWidth="1"/>
    <col min="6917" max="6917" width="8.77734375" style="395"/>
    <col min="6918" max="6918" width="8.77734375" style="395" bestFit="1" customWidth="1"/>
    <col min="6919" max="7168" width="8.77734375" style="395"/>
    <col min="7169" max="7169" width="8.6640625" style="395" customWidth="1"/>
    <col min="7170" max="7170" width="8.5546875" style="395" customWidth="1"/>
    <col min="7171" max="7171" width="30" style="395" customWidth="1"/>
    <col min="7172" max="7172" width="8.6640625" style="395" customWidth="1"/>
    <col min="7173" max="7173" width="8.77734375" style="395"/>
    <col min="7174" max="7174" width="8.77734375" style="395" bestFit="1" customWidth="1"/>
    <col min="7175" max="7424" width="8.77734375" style="395"/>
    <col min="7425" max="7425" width="8.6640625" style="395" customWidth="1"/>
    <col min="7426" max="7426" width="8.5546875" style="395" customWidth="1"/>
    <col min="7427" max="7427" width="30" style="395" customWidth="1"/>
    <col min="7428" max="7428" width="8.6640625" style="395" customWidth="1"/>
    <col min="7429" max="7429" width="8.77734375" style="395"/>
    <col min="7430" max="7430" width="8.77734375" style="395" bestFit="1" customWidth="1"/>
    <col min="7431" max="7680" width="8.77734375" style="395"/>
    <col min="7681" max="7681" width="8.6640625" style="395" customWidth="1"/>
    <col min="7682" max="7682" width="8.5546875" style="395" customWidth="1"/>
    <col min="7683" max="7683" width="30" style="395" customWidth="1"/>
    <col min="7684" max="7684" width="8.6640625" style="395" customWidth="1"/>
    <col min="7685" max="7685" width="8.77734375" style="395"/>
    <col min="7686" max="7686" width="8.77734375" style="395" bestFit="1" customWidth="1"/>
    <col min="7687" max="7936" width="8.77734375" style="395"/>
    <col min="7937" max="7937" width="8.6640625" style="395" customWidth="1"/>
    <col min="7938" max="7938" width="8.5546875" style="395" customWidth="1"/>
    <col min="7939" max="7939" width="30" style="395" customWidth="1"/>
    <col min="7940" max="7940" width="8.6640625" style="395" customWidth="1"/>
    <col min="7941" max="7941" width="8.77734375" style="395"/>
    <col min="7942" max="7942" width="8.77734375" style="395" bestFit="1" customWidth="1"/>
    <col min="7943" max="8192" width="8.77734375" style="395"/>
    <col min="8193" max="8193" width="8.6640625" style="395" customWidth="1"/>
    <col min="8194" max="8194" width="8.5546875" style="395" customWidth="1"/>
    <col min="8195" max="8195" width="30" style="395" customWidth="1"/>
    <col min="8196" max="8196" width="8.6640625" style="395" customWidth="1"/>
    <col min="8197" max="8197" width="8.77734375" style="395"/>
    <col min="8198" max="8198" width="8.77734375" style="395" bestFit="1" customWidth="1"/>
    <col min="8199" max="8448" width="8.77734375" style="395"/>
    <col min="8449" max="8449" width="8.6640625" style="395" customWidth="1"/>
    <col min="8450" max="8450" width="8.5546875" style="395" customWidth="1"/>
    <col min="8451" max="8451" width="30" style="395" customWidth="1"/>
    <col min="8452" max="8452" width="8.6640625" style="395" customWidth="1"/>
    <col min="8453" max="8453" width="8.77734375" style="395"/>
    <col min="8454" max="8454" width="8.77734375" style="395" bestFit="1" customWidth="1"/>
    <col min="8455" max="8704" width="8.77734375" style="395"/>
    <col min="8705" max="8705" width="8.6640625" style="395" customWidth="1"/>
    <col min="8706" max="8706" width="8.5546875" style="395" customWidth="1"/>
    <col min="8707" max="8707" width="30" style="395" customWidth="1"/>
    <col min="8708" max="8708" width="8.6640625" style="395" customWidth="1"/>
    <col min="8709" max="8709" width="8.77734375" style="395"/>
    <col min="8710" max="8710" width="8.77734375" style="395" bestFit="1" customWidth="1"/>
    <col min="8711" max="8960" width="8.77734375" style="395"/>
    <col min="8961" max="8961" width="8.6640625" style="395" customWidth="1"/>
    <col min="8962" max="8962" width="8.5546875" style="395" customWidth="1"/>
    <col min="8963" max="8963" width="30" style="395" customWidth="1"/>
    <col min="8964" max="8964" width="8.6640625" style="395" customWidth="1"/>
    <col min="8965" max="8965" width="8.77734375" style="395"/>
    <col min="8966" max="8966" width="8.77734375" style="395" bestFit="1" customWidth="1"/>
    <col min="8967" max="9216" width="8.77734375" style="395"/>
    <col min="9217" max="9217" width="8.6640625" style="395" customWidth="1"/>
    <col min="9218" max="9218" width="8.5546875" style="395" customWidth="1"/>
    <col min="9219" max="9219" width="30" style="395" customWidth="1"/>
    <col min="9220" max="9220" width="8.6640625" style="395" customWidth="1"/>
    <col min="9221" max="9221" width="8.77734375" style="395"/>
    <col min="9222" max="9222" width="8.77734375" style="395" bestFit="1" customWidth="1"/>
    <col min="9223" max="9472" width="8.77734375" style="395"/>
    <col min="9473" max="9473" width="8.6640625" style="395" customWidth="1"/>
    <col min="9474" max="9474" width="8.5546875" style="395" customWidth="1"/>
    <col min="9475" max="9475" width="30" style="395" customWidth="1"/>
    <col min="9476" max="9476" width="8.6640625" style="395" customWidth="1"/>
    <col min="9477" max="9477" width="8.77734375" style="395"/>
    <col min="9478" max="9478" width="8.77734375" style="395" bestFit="1" customWidth="1"/>
    <col min="9479" max="9728" width="8.77734375" style="395"/>
    <col min="9729" max="9729" width="8.6640625" style="395" customWidth="1"/>
    <col min="9730" max="9730" width="8.5546875" style="395" customWidth="1"/>
    <col min="9731" max="9731" width="30" style="395" customWidth="1"/>
    <col min="9732" max="9732" width="8.6640625" style="395" customWidth="1"/>
    <col min="9733" max="9733" width="8.77734375" style="395"/>
    <col min="9734" max="9734" width="8.77734375" style="395" bestFit="1" customWidth="1"/>
    <col min="9735" max="9984" width="8.77734375" style="395"/>
    <col min="9985" max="9985" width="8.6640625" style="395" customWidth="1"/>
    <col min="9986" max="9986" width="8.5546875" style="395" customWidth="1"/>
    <col min="9987" max="9987" width="30" style="395" customWidth="1"/>
    <col min="9988" max="9988" width="8.6640625" style="395" customWidth="1"/>
    <col min="9989" max="9989" width="8.77734375" style="395"/>
    <col min="9990" max="9990" width="8.77734375" style="395" bestFit="1" customWidth="1"/>
    <col min="9991" max="10240" width="8.77734375" style="395"/>
    <col min="10241" max="10241" width="8.6640625" style="395" customWidth="1"/>
    <col min="10242" max="10242" width="8.5546875" style="395" customWidth="1"/>
    <col min="10243" max="10243" width="30" style="395" customWidth="1"/>
    <col min="10244" max="10244" width="8.6640625" style="395" customWidth="1"/>
    <col min="10245" max="10245" width="8.77734375" style="395"/>
    <col min="10246" max="10246" width="8.77734375" style="395" bestFit="1" customWidth="1"/>
    <col min="10247" max="10496" width="8.77734375" style="395"/>
    <col min="10497" max="10497" width="8.6640625" style="395" customWidth="1"/>
    <col min="10498" max="10498" width="8.5546875" style="395" customWidth="1"/>
    <col min="10499" max="10499" width="30" style="395" customWidth="1"/>
    <col min="10500" max="10500" width="8.6640625" style="395" customWidth="1"/>
    <col min="10501" max="10501" width="8.77734375" style="395"/>
    <col min="10502" max="10502" width="8.77734375" style="395" bestFit="1" customWidth="1"/>
    <col min="10503" max="10752" width="8.77734375" style="395"/>
    <col min="10753" max="10753" width="8.6640625" style="395" customWidth="1"/>
    <col min="10754" max="10754" width="8.5546875" style="395" customWidth="1"/>
    <col min="10755" max="10755" width="30" style="395" customWidth="1"/>
    <col min="10756" max="10756" width="8.6640625" style="395" customWidth="1"/>
    <col min="10757" max="10757" width="8.77734375" style="395"/>
    <col min="10758" max="10758" width="8.77734375" style="395" bestFit="1" customWidth="1"/>
    <col min="10759" max="11008" width="8.77734375" style="395"/>
    <col min="11009" max="11009" width="8.6640625" style="395" customWidth="1"/>
    <col min="11010" max="11010" width="8.5546875" style="395" customWidth="1"/>
    <col min="11011" max="11011" width="30" style="395" customWidth="1"/>
    <col min="11012" max="11012" width="8.6640625" style="395" customWidth="1"/>
    <col min="11013" max="11013" width="8.77734375" style="395"/>
    <col min="11014" max="11014" width="8.77734375" style="395" bestFit="1" customWidth="1"/>
    <col min="11015" max="11264" width="8.77734375" style="395"/>
    <col min="11265" max="11265" width="8.6640625" style="395" customWidth="1"/>
    <col min="11266" max="11266" width="8.5546875" style="395" customWidth="1"/>
    <col min="11267" max="11267" width="30" style="395" customWidth="1"/>
    <col min="11268" max="11268" width="8.6640625" style="395" customWidth="1"/>
    <col min="11269" max="11269" width="8.77734375" style="395"/>
    <col min="11270" max="11270" width="8.77734375" style="395" bestFit="1" customWidth="1"/>
    <col min="11271" max="11520" width="8.77734375" style="395"/>
    <col min="11521" max="11521" width="8.6640625" style="395" customWidth="1"/>
    <col min="11522" max="11522" width="8.5546875" style="395" customWidth="1"/>
    <col min="11523" max="11523" width="30" style="395" customWidth="1"/>
    <col min="11524" max="11524" width="8.6640625" style="395" customWidth="1"/>
    <col min="11525" max="11525" width="8.77734375" style="395"/>
    <col min="11526" max="11526" width="8.77734375" style="395" bestFit="1" customWidth="1"/>
    <col min="11527" max="11776" width="8.77734375" style="395"/>
    <col min="11777" max="11777" width="8.6640625" style="395" customWidth="1"/>
    <col min="11778" max="11778" width="8.5546875" style="395" customWidth="1"/>
    <col min="11779" max="11779" width="30" style="395" customWidth="1"/>
    <col min="11780" max="11780" width="8.6640625" style="395" customWidth="1"/>
    <col min="11781" max="11781" width="8.77734375" style="395"/>
    <col min="11782" max="11782" width="8.77734375" style="395" bestFit="1" customWidth="1"/>
    <col min="11783" max="12032" width="8.77734375" style="395"/>
    <col min="12033" max="12033" width="8.6640625" style="395" customWidth="1"/>
    <col min="12034" max="12034" width="8.5546875" style="395" customWidth="1"/>
    <col min="12035" max="12035" width="30" style="395" customWidth="1"/>
    <col min="12036" max="12036" width="8.6640625" style="395" customWidth="1"/>
    <col min="12037" max="12037" width="8.77734375" style="395"/>
    <col min="12038" max="12038" width="8.77734375" style="395" bestFit="1" customWidth="1"/>
    <col min="12039" max="12288" width="8.77734375" style="395"/>
    <col min="12289" max="12289" width="8.6640625" style="395" customWidth="1"/>
    <col min="12290" max="12290" width="8.5546875" style="395" customWidth="1"/>
    <col min="12291" max="12291" width="30" style="395" customWidth="1"/>
    <col min="12292" max="12292" width="8.6640625" style="395" customWidth="1"/>
    <col min="12293" max="12293" width="8.77734375" style="395"/>
    <col min="12294" max="12294" width="8.77734375" style="395" bestFit="1" customWidth="1"/>
    <col min="12295" max="12544" width="8.77734375" style="395"/>
    <col min="12545" max="12545" width="8.6640625" style="395" customWidth="1"/>
    <col min="12546" max="12546" width="8.5546875" style="395" customWidth="1"/>
    <col min="12547" max="12547" width="30" style="395" customWidth="1"/>
    <col min="12548" max="12548" width="8.6640625" style="395" customWidth="1"/>
    <col min="12549" max="12549" width="8.77734375" style="395"/>
    <col min="12550" max="12550" width="8.77734375" style="395" bestFit="1" customWidth="1"/>
    <col min="12551" max="12800" width="8.77734375" style="395"/>
    <col min="12801" max="12801" width="8.6640625" style="395" customWidth="1"/>
    <col min="12802" max="12802" width="8.5546875" style="395" customWidth="1"/>
    <col min="12803" max="12803" width="30" style="395" customWidth="1"/>
    <col min="12804" max="12804" width="8.6640625" style="395" customWidth="1"/>
    <col min="12805" max="12805" width="8.77734375" style="395"/>
    <col min="12806" max="12806" width="8.77734375" style="395" bestFit="1" customWidth="1"/>
    <col min="12807" max="13056" width="8.77734375" style="395"/>
    <col min="13057" max="13057" width="8.6640625" style="395" customWidth="1"/>
    <col min="13058" max="13058" width="8.5546875" style="395" customWidth="1"/>
    <col min="13059" max="13059" width="30" style="395" customWidth="1"/>
    <col min="13060" max="13060" width="8.6640625" style="395" customWidth="1"/>
    <col min="13061" max="13061" width="8.77734375" style="395"/>
    <col min="13062" max="13062" width="8.77734375" style="395" bestFit="1" customWidth="1"/>
    <col min="13063" max="13312" width="8.77734375" style="395"/>
    <col min="13313" max="13313" width="8.6640625" style="395" customWidth="1"/>
    <col min="13314" max="13314" width="8.5546875" style="395" customWidth="1"/>
    <col min="13315" max="13315" width="30" style="395" customWidth="1"/>
    <col min="13316" max="13316" width="8.6640625" style="395" customWidth="1"/>
    <col min="13317" max="13317" width="8.77734375" style="395"/>
    <col min="13318" max="13318" width="8.77734375" style="395" bestFit="1" customWidth="1"/>
    <col min="13319" max="13568" width="8.77734375" style="395"/>
    <col min="13569" max="13569" width="8.6640625" style="395" customWidth="1"/>
    <col min="13570" max="13570" width="8.5546875" style="395" customWidth="1"/>
    <col min="13571" max="13571" width="30" style="395" customWidth="1"/>
    <col min="13572" max="13572" width="8.6640625" style="395" customWidth="1"/>
    <col min="13573" max="13573" width="8.77734375" style="395"/>
    <col min="13574" max="13574" width="8.77734375" style="395" bestFit="1" customWidth="1"/>
    <col min="13575" max="13824" width="8.77734375" style="395"/>
    <col min="13825" max="13825" width="8.6640625" style="395" customWidth="1"/>
    <col min="13826" max="13826" width="8.5546875" style="395" customWidth="1"/>
    <col min="13827" max="13827" width="30" style="395" customWidth="1"/>
    <col min="13828" max="13828" width="8.6640625" style="395" customWidth="1"/>
    <col min="13829" max="13829" width="8.77734375" style="395"/>
    <col min="13830" max="13830" width="8.77734375" style="395" bestFit="1" customWidth="1"/>
    <col min="13831" max="14080" width="8.77734375" style="395"/>
    <col min="14081" max="14081" width="8.6640625" style="395" customWidth="1"/>
    <col min="14082" max="14082" width="8.5546875" style="395" customWidth="1"/>
    <col min="14083" max="14083" width="30" style="395" customWidth="1"/>
    <col min="14084" max="14084" width="8.6640625" style="395" customWidth="1"/>
    <col min="14085" max="14085" width="8.77734375" style="395"/>
    <col min="14086" max="14086" width="8.77734375" style="395" bestFit="1" customWidth="1"/>
    <col min="14087" max="14336" width="8.77734375" style="395"/>
    <col min="14337" max="14337" width="8.6640625" style="395" customWidth="1"/>
    <col min="14338" max="14338" width="8.5546875" style="395" customWidth="1"/>
    <col min="14339" max="14339" width="30" style="395" customWidth="1"/>
    <col min="14340" max="14340" width="8.6640625" style="395" customWidth="1"/>
    <col min="14341" max="14341" width="8.77734375" style="395"/>
    <col min="14342" max="14342" width="8.77734375" style="395" bestFit="1" customWidth="1"/>
    <col min="14343" max="14592" width="8.77734375" style="395"/>
    <col min="14593" max="14593" width="8.6640625" style="395" customWidth="1"/>
    <col min="14594" max="14594" width="8.5546875" style="395" customWidth="1"/>
    <col min="14595" max="14595" width="30" style="395" customWidth="1"/>
    <col min="14596" max="14596" width="8.6640625" style="395" customWidth="1"/>
    <col min="14597" max="14597" width="8.77734375" style="395"/>
    <col min="14598" max="14598" width="8.77734375" style="395" bestFit="1" customWidth="1"/>
    <col min="14599" max="14848" width="8.77734375" style="395"/>
    <col min="14849" max="14849" width="8.6640625" style="395" customWidth="1"/>
    <col min="14850" max="14850" width="8.5546875" style="395" customWidth="1"/>
    <col min="14851" max="14851" width="30" style="395" customWidth="1"/>
    <col min="14852" max="14852" width="8.6640625" style="395" customWidth="1"/>
    <col min="14853" max="14853" width="8.77734375" style="395"/>
    <col min="14854" max="14854" width="8.77734375" style="395" bestFit="1" customWidth="1"/>
    <col min="14855" max="15104" width="8.77734375" style="395"/>
    <col min="15105" max="15105" width="8.6640625" style="395" customWidth="1"/>
    <col min="15106" max="15106" width="8.5546875" style="395" customWidth="1"/>
    <col min="15107" max="15107" width="30" style="395" customWidth="1"/>
    <col min="15108" max="15108" width="8.6640625" style="395" customWidth="1"/>
    <col min="15109" max="15109" width="8.77734375" style="395"/>
    <col min="15110" max="15110" width="8.77734375" style="395" bestFit="1" customWidth="1"/>
    <col min="15111" max="15360" width="8.77734375" style="395"/>
    <col min="15361" max="15361" width="8.6640625" style="395" customWidth="1"/>
    <col min="15362" max="15362" width="8.5546875" style="395" customWidth="1"/>
    <col min="15363" max="15363" width="30" style="395" customWidth="1"/>
    <col min="15364" max="15364" width="8.6640625" style="395" customWidth="1"/>
    <col min="15365" max="15365" width="8.77734375" style="395"/>
    <col min="15366" max="15366" width="8.77734375" style="395" bestFit="1" customWidth="1"/>
    <col min="15367" max="15616" width="8.77734375" style="395"/>
    <col min="15617" max="15617" width="8.6640625" style="395" customWidth="1"/>
    <col min="15618" max="15618" width="8.5546875" style="395" customWidth="1"/>
    <col min="15619" max="15619" width="30" style="395" customWidth="1"/>
    <col min="15620" max="15620" width="8.6640625" style="395" customWidth="1"/>
    <col min="15621" max="15621" width="8.77734375" style="395"/>
    <col min="15622" max="15622" width="8.77734375" style="395" bestFit="1" customWidth="1"/>
    <col min="15623" max="15872" width="8.77734375" style="395"/>
    <col min="15873" max="15873" width="8.6640625" style="395" customWidth="1"/>
    <col min="15874" max="15874" width="8.5546875" style="395" customWidth="1"/>
    <col min="15875" max="15875" width="30" style="395" customWidth="1"/>
    <col min="15876" max="15876" width="8.6640625" style="395" customWidth="1"/>
    <col min="15877" max="15877" width="8.77734375" style="395"/>
    <col min="15878" max="15878" width="8.77734375" style="395" bestFit="1" customWidth="1"/>
    <col min="15879" max="16128" width="8.77734375" style="395"/>
    <col min="16129" max="16129" width="8.6640625" style="395" customWidth="1"/>
    <col min="16130" max="16130" width="8.5546875" style="395" customWidth="1"/>
    <col min="16131" max="16131" width="30" style="395" customWidth="1"/>
    <col min="16132" max="16132" width="8.6640625" style="395" customWidth="1"/>
    <col min="16133" max="16133" width="8.77734375" style="395"/>
    <col min="16134" max="16134" width="8.77734375" style="395" bestFit="1" customWidth="1"/>
    <col min="16135" max="16384" width="8.77734375" style="395"/>
  </cols>
  <sheetData>
    <row r="1" spans="1:6" ht="18.75">
      <c r="A1" s="393"/>
      <c r="B1" s="394"/>
      <c r="C1" s="394" t="s">
        <v>2402</v>
      </c>
      <c r="D1" s="394"/>
      <c r="E1" s="394"/>
      <c r="F1" s="394"/>
    </row>
    <row r="2" spans="1:6" ht="18.75">
      <c r="A2" s="393"/>
      <c r="B2" s="394"/>
      <c r="C2" s="394"/>
      <c r="D2" s="394"/>
      <c r="E2" s="394"/>
      <c r="F2" s="394"/>
    </row>
    <row r="3" spans="1:6">
      <c r="A3" s="396" t="e">
        <f>#REF!</f>
        <v>#REF!</v>
      </c>
      <c r="B3" s="397" t="e">
        <f>#REF!</f>
        <v>#REF!</v>
      </c>
      <c r="C3" s="398" t="e">
        <f>#REF!</f>
        <v>#REF!</v>
      </c>
      <c r="D3" s="397" t="e">
        <f>#REF!</f>
        <v>#REF!</v>
      </c>
      <c r="E3" s="397" t="e">
        <f>#REF!</f>
        <v>#REF!</v>
      </c>
      <c r="F3" s="397" t="e">
        <f>#REF!</f>
        <v>#REF!</v>
      </c>
    </row>
    <row r="4" spans="1:6">
      <c r="A4" s="396" t="e">
        <f>#REF!</f>
        <v>#REF!</v>
      </c>
      <c r="B4" s="397" t="e">
        <f>#REF!</f>
        <v>#REF!</v>
      </c>
      <c r="C4" s="398" t="e">
        <f>#REF!</f>
        <v>#REF!</v>
      </c>
      <c r="D4" s="397" t="e">
        <f>#REF!</f>
        <v>#REF!</v>
      </c>
      <c r="E4" s="397" t="e">
        <f>#REF!</f>
        <v>#REF!</v>
      </c>
      <c r="F4" s="397" t="e">
        <f>#REF!</f>
        <v>#REF!</v>
      </c>
    </row>
    <row r="5" spans="1:6">
      <c r="A5" s="396" t="e">
        <f>#REF!</f>
        <v>#REF!</v>
      </c>
      <c r="B5" s="397" t="e">
        <f>#REF!</f>
        <v>#REF!</v>
      </c>
      <c r="C5" s="397" t="e">
        <f>#REF!</f>
        <v>#REF!</v>
      </c>
      <c r="D5" s="397" t="e">
        <f>#REF!</f>
        <v>#REF!</v>
      </c>
      <c r="E5" s="397" t="e">
        <f>#REF!</f>
        <v>#REF!</v>
      </c>
      <c r="F5" s="397" t="e">
        <f>#REF!</f>
        <v>#REF!</v>
      </c>
    </row>
    <row r="6" spans="1:6" ht="90">
      <c r="A6" s="396" t="e">
        <f>#REF!</f>
        <v>#REF!</v>
      </c>
      <c r="B6" s="397" t="e">
        <f>#REF!</f>
        <v>#REF!</v>
      </c>
      <c r="C6" s="399" t="e">
        <f>#REF!</f>
        <v>#REF!</v>
      </c>
      <c r="D6" s="397" t="e">
        <f>#REF!</f>
        <v>#REF!</v>
      </c>
      <c r="E6" s="397" t="e">
        <f>#REF!</f>
        <v>#REF!</v>
      </c>
      <c r="F6" s="397" t="e">
        <f>#REF!</f>
        <v>#REF!</v>
      </c>
    </row>
    <row r="7" spans="1:6">
      <c r="A7" s="396" t="e">
        <f>#REF!</f>
        <v>#REF!</v>
      </c>
      <c r="B7" s="397" t="e">
        <f>#REF!</f>
        <v>#REF!</v>
      </c>
      <c r="C7" s="397" t="e">
        <f>#REF!</f>
        <v>#REF!</v>
      </c>
      <c r="D7" s="397" t="e">
        <f>#REF!</f>
        <v>#REF!</v>
      </c>
      <c r="E7" s="397" t="e">
        <f>#REF!</f>
        <v>#REF!</v>
      </c>
      <c r="F7" s="397" t="e">
        <f>#REF!</f>
        <v>#REF!</v>
      </c>
    </row>
    <row r="8" spans="1:6" ht="30">
      <c r="A8" s="396" t="e">
        <f>#REF!</f>
        <v>#REF!</v>
      </c>
      <c r="B8" s="397" t="e">
        <f>#REF!</f>
        <v>#REF!</v>
      </c>
      <c r="C8" s="399" t="e">
        <f>#REF!</f>
        <v>#REF!</v>
      </c>
      <c r="D8" s="397" t="e">
        <f>#REF!</f>
        <v>#REF!</v>
      </c>
      <c r="E8" s="397" t="e">
        <f>#REF!</f>
        <v>#REF!</v>
      </c>
      <c r="F8" s="397" t="e">
        <f>#REF!</f>
        <v>#REF!</v>
      </c>
    </row>
    <row r="9" spans="1:6">
      <c r="A9" s="396" t="e">
        <f>#REF!</f>
        <v>#REF!</v>
      </c>
      <c r="B9" s="397" t="e">
        <f>#REF!</f>
        <v>#REF!</v>
      </c>
      <c r="C9" s="397" t="e">
        <f>#REF!</f>
        <v>#REF!</v>
      </c>
      <c r="D9" s="397" t="e">
        <f>#REF!</f>
        <v>#REF!</v>
      </c>
      <c r="E9" s="397" t="e">
        <f>#REF!</f>
        <v>#REF!</v>
      </c>
      <c r="F9" s="397" t="e">
        <f>#REF!</f>
        <v>#REF!</v>
      </c>
    </row>
    <row r="10" spans="1:6">
      <c r="A10" s="396" t="e">
        <f>#REF!</f>
        <v>#REF!</v>
      </c>
      <c r="B10" s="397" t="e">
        <f>#REF!</f>
        <v>#REF!</v>
      </c>
      <c r="C10" s="397" t="e">
        <f>#REF!</f>
        <v>#REF!</v>
      </c>
      <c r="D10" s="397" t="e">
        <f>#REF!</f>
        <v>#REF!</v>
      </c>
      <c r="E10" s="397" t="e">
        <f>#REF!</f>
        <v>#REF!</v>
      </c>
      <c r="F10" s="397" t="e">
        <f>#REF!</f>
        <v>#REF!</v>
      </c>
    </row>
    <row r="11" spans="1:6" ht="30">
      <c r="A11" s="396" t="e">
        <f>#REF!</f>
        <v>#REF!</v>
      </c>
      <c r="B11" s="397" t="e">
        <f>#REF!</f>
        <v>#REF!</v>
      </c>
      <c r="C11" s="399" t="e">
        <f>#REF!</f>
        <v>#REF!</v>
      </c>
      <c r="D11" s="397" t="e">
        <f>#REF!</f>
        <v>#REF!</v>
      </c>
      <c r="E11" s="397" t="e">
        <f>#REF!</f>
        <v>#REF!</v>
      </c>
      <c r="F11" s="397" t="e">
        <f>#REF!</f>
        <v>#REF!</v>
      </c>
    </row>
    <row r="12" spans="1:6">
      <c r="A12" s="396" t="e">
        <f>#REF!</f>
        <v>#REF!</v>
      </c>
      <c r="B12" s="397" t="e">
        <f>#REF!</f>
        <v>#REF!</v>
      </c>
      <c r="C12" s="397" t="e">
        <f>#REF!</f>
        <v>#REF!</v>
      </c>
      <c r="D12" s="397" t="e">
        <f>#REF!</f>
        <v>#REF!</v>
      </c>
      <c r="E12" s="397" t="e">
        <f>#REF!</f>
        <v>#REF!</v>
      </c>
      <c r="F12" s="398" t="e">
        <f>#REF!</f>
        <v>#REF!</v>
      </c>
    </row>
    <row r="13" spans="1:6">
      <c r="A13" s="396">
        <f>[17]Elec.Data!F2989</f>
        <v>0</v>
      </c>
      <c r="B13" s="397">
        <f>[17]Elec.Data!G2989</f>
        <v>0</v>
      </c>
      <c r="C13" s="397">
        <f>[17]Elec.Data!H2989</f>
        <v>0</v>
      </c>
      <c r="D13" s="397">
        <f>[17]Elec.Data!I2989</f>
        <v>0</v>
      </c>
      <c r="E13" s="397">
        <f>[17]Elec.Data!J2989</f>
        <v>0</v>
      </c>
      <c r="F13" s="397"/>
    </row>
    <row r="14" spans="1:6">
      <c r="A14" s="396" t="e">
        <f>#REF!</f>
        <v>#REF!</v>
      </c>
      <c r="B14" s="397" t="e">
        <f>#REF!</f>
        <v>#REF!</v>
      </c>
      <c r="C14" s="398" t="e">
        <f>#REF!</f>
        <v>#REF!</v>
      </c>
      <c r="D14" s="397" t="e">
        <f>#REF!</f>
        <v>#REF!</v>
      </c>
      <c r="E14" s="397" t="e">
        <f>#REF!</f>
        <v>#REF!</v>
      </c>
      <c r="F14" s="397" t="e">
        <f>#REF!</f>
        <v>#REF!</v>
      </c>
    </row>
    <row r="15" spans="1:6">
      <c r="A15" s="396" t="e">
        <f>#REF!</f>
        <v>#REF!</v>
      </c>
      <c r="B15" s="397" t="e">
        <f>#REF!</f>
        <v>#REF!</v>
      </c>
      <c r="C15" s="397" t="e">
        <f>#REF!</f>
        <v>#REF!</v>
      </c>
      <c r="D15" s="397" t="e">
        <f>#REF!</f>
        <v>#REF!</v>
      </c>
      <c r="E15" s="397" t="e">
        <f>#REF!</f>
        <v>#REF!</v>
      </c>
      <c r="F15" s="397" t="e">
        <f>#REF!</f>
        <v>#REF!</v>
      </c>
    </row>
    <row r="16" spans="1:6" ht="75">
      <c r="A16" s="396" t="e">
        <f>#REF!</f>
        <v>#REF!</v>
      </c>
      <c r="B16" s="397" t="e">
        <f>#REF!</f>
        <v>#REF!</v>
      </c>
      <c r="C16" s="399" t="e">
        <f>#REF!</f>
        <v>#REF!</v>
      </c>
      <c r="D16" s="397" t="e">
        <f>#REF!</f>
        <v>#REF!</v>
      </c>
      <c r="E16" s="397" t="e">
        <f>#REF!</f>
        <v>#REF!</v>
      </c>
      <c r="F16" s="397" t="e">
        <f>#REF!</f>
        <v>#REF!</v>
      </c>
    </row>
    <row r="17" spans="1:6">
      <c r="A17" s="396" t="e">
        <f>#REF!</f>
        <v>#REF!</v>
      </c>
      <c r="B17" s="397" t="e">
        <f>#REF!</f>
        <v>#REF!</v>
      </c>
      <c r="C17" s="397" t="e">
        <f>#REF!</f>
        <v>#REF!</v>
      </c>
      <c r="D17" s="397" t="e">
        <f>#REF!</f>
        <v>#REF!</v>
      </c>
      <c r="E17" s="397" t="e">
        <f>#REF!</f>
        <v>#REF!</v>
      </c>
      <c r="F17" s="397" t="e">
        <f>#REF!</f>
        <v>#REF!</v>
      </c>
    </row>
    <row r="18" spans="1:6">
      <c r="A18" s="396" t="e">
        <f>#REF!</f>
        <v>#REF!</v>
      </c>
      <c r="B18" s="397" t="e">
        <f>#REF!</f>
        <v>#REF!</v>
      </c>
      <c r="C18" s="397" t="e">
        <f>#REF!</f>
        <v>#REF!</v>
      </c>
      <c r="D18" s="397" t="e">
        <f>#REF!</f>
        <v>#REF!</v>
      </c>
      <c r="E18" s="397" t="e">
        <f>#REF!</f>
        <v>#REF!</v>
      </c>
      <c r="F18" s="397" t="e">
        <f>#REF!</f>
        <v>#REF!</v>
      </c>
    </row>
    <row r="19" spans="1:6">
      <c r="A19" s="396" t="e">
        <f>#REF!</f>
        <v>#REF!</v>
      </c>
      <c r="B19" s="397" t="e">
        <f>#REF!</f>
        <v>#REF!</v>
      </c>
      <c r="C19" s="397" t="e">
        <f>#REF!</f>
        <v>#REF!</v>
      </c>
      <c r="D19" s="397" t="e">
        <f>#REF!</f>
        <v>#REF!</v>
      </c>
      <c r="E19" s="397" t="e">
        <f>#REF!</f>
        <v>#REF!</v>
      </c>
      <c r="F19" s="397" t="e">
        <f>#REF!</f>
        <v>#REF!</v>
      </c>
    </row>
    <row r="20" spans="1:6">
      <c r="A20" s="396" t="e">
        <f>#REF!</f>
        <v>#REF!</v>
      </c>
      <c r="B20" s="397" t="e">
        <f>#REF!</f>
        <v>#REF!</v>
      </c>
      <c r="C20" s="397" t="e">
        <f>#REF!</f>
        <v>#REF!</v>
      </c>
      <c r="D20" s="397" t="e">
        <f>#REF!</f>
        <v>#REF!</v>
      </c>
      <c r="E20" s="397" t="e">
        <f>#REF!</f>
        <v>#REF!</v>
      </c>
      <c r="F20" s="397" t="e">
        <f>#REF!</f>
        <v>#REF!</v>
      </c>
    </row>
    <row r="21" spans="1:6">
      <c r="A21" s="396" t="e">
        <f>#REF!</f>
        <v>#REF!</v>
      </c>
      <c r="B21" s="397" t="e">
        <f>#REF!</f>
        <v>#REF!</v>
      </c>
      <c r="C21" s="397" t="e">
        <f>#REF!</f>
        <v>#REF!</v>
      </c>
      <c r="D21" s="397" t="e">
        <f>#REF!</f>
        <v>#REF!</v>
      </c>
      <c r="E21" s="397" t="e">
        <f>#REF!</f>
        <v>#REF!</v>
      </c>
      <c r="F21" s="397" t="e">
        <f>#REF!</f>
        <v>#REF!</v>
      </c>
    </row>
    <row r="22" spans="1:6">
      <c r="A22" s="396" t="e">
        <f>#REF!</f>
        <v>#REF!</v>
      </c>
      <c r="B22" s="397" t="e">
        <f>#REF!</f>
        <v>#REF!</v>
      </c>
      <c r="C22" s="397" t="e">
        <f>#REF!</f>
        <v>#REF!</v>
      </c>
      <c r="D22" s="397" t="e">
        <f>#REF!</f>
        <v>#REF!</v>
      </c>
      <c r="E22" s="397" t="e">
        <f>#REF!</f>
        <v>#REF!</v>
      </c>
      <c r="F22" s="397" t="e">
        <f>#REF!</f>
        <v>#REF!</v>
      </c>
    </row>
    <row r="23" spans="1:6">
      <c r="A23" s="396" t="e">
        <f>#REF!</f>
        <v>#REF!</v>
      </c>
      <c r="B23" s="397" t="e">
        <f>#REF!</f>
        <v>#REF!</v>
      </c>
      <c r="C23" s="397" t="e">
        <f>#REF!</f>
        <v>#REF!</v>
      </c>
      <c r="D23" s="397" t="e">
        <f>#REF!</f>
        <v>#REF!</v>
      </c>
      <c r="E23" s="397" t="e">
        <f>#REF!</f>
        <v>#REF!</v>
      </c>
      <c r="F23" s="397" t="e">
        <f>#REF!</f>
        <v>#REF!</v>
      </c>
    </row>
    <row r="24" spans="1:6">
      <c r="A24" s="396" t="e">
        <f>#REF!</f>
        <v>#REF!</v>
      </c>
      <c r="B24" s="397" t="e">
        <f>#REF!</f>
        <v>#REF!</v>
      </c>
      <c r="C24" s="397" t="e">
        <f>#REF!</f>
        <v>#REF!</v>
      </c>
      <c r="D24" s="397" t="e">
        <f>#REF!</f>
        <v>#REF!</v>
      </c>
      <c r="E24" s="397" t="e">
        <f>#REF!</f>
        <v>#REF!</v>
      </c>
      <c r="F24" s="398" t="e">
        <f>#REF!</f>
        <v>#REF!</v>
      </c>
    </row>
    <row r="26" spans="1:6">
      <c r="A26" s="396" t="e">
        <f>#REF!</f>
        <v>#REF!</v>
      </c>
      <c r="B26" s="397" t="e">
        <f>#REF!</f>
        <v>#REF!</v>
      </c>
      <c r="C26" s="398" t="e">
        <f>#REF!</f>
        <v>#REF!</v>
      </c>
      <c r="D26" s="397" t="e">
        <f>#REF!</f>
        <v>#REF!</v>
      </c>
      <c r="E26" s="397" t="e">
        <f>#REF!</f>
        <v>#REF!</v>
      </c>
      <c r="F26" s="397" t="e">
        <f>#REF!</f>
        <v>#REF!</v>
      </c>
    </row>
    <row r="27" spans="1:6" ht="90">
      <c r="A27" s="396" t="e">
        <f>#REF!</f>
        <v>#REF!</v>
      </c>
      <c r="B27" s="397" t="e">
        <f>#REF!</f>
        <v>#REF!</v>
      </c>
      <c r="C27" s="399" t="e">
        <f>#REF!</f>
        <v>#REF!</v>
      </c>
      <c r="D27" s="397" t="e">
        <f>#REF!</f>
        <v>#REF!</v>
      </c>
      <c r="E27" s="397" t="e">
        <f>#REF!</f>
        <v>#REF!</v>
      </c>
      <c r="F27" s="397" t="e">
        <f>#REF!</f>
        <v>#REF!</v>
      </c>
    </row>
    <row r="28" spans="1:6">
      <c r="A28" s="396" t="e">
        <f>#REF!</f>
        <v>#REF!</v>
      </c>
      <c r="B28" s="397" t="e">
        <f>#REF!</f>
        <v>#REF!</v>
      </c>
      <c r="C28" s="397" t="e">
        <f>#REF!</f>
        <v>#REF!</v>
      </c>
      <c r="D28" s="397" t="e">
        <f>#REF!</f>
        <v>#REF!</v>
      </c>
      <c r="E28" s="397" t="e">
        <f>#REF!</f>
        <v>#REF!</v>
      </c>
      <c r="F28" s="397" t="e">
        <f>#REF!</f>
        <v>#REF!</v>
      </c>
    </row>
    <row r="29" spans="1:6">
      <c r="A29" s="396" t="e">
        <f>#REF!</f>
        <v>#REF!</v>
      </c>
      <c r="B29" s="397" t="e">
        <f>#REF!</f>
        <v>#REF!</v>
      </c>
      <c r="C29" s="397" t="e">
        <f>#REF!</f>
        <v>#REF!</v>
      </c>
      <c r="D29" s="397" t="e">
        <f>#REF!</f>
        <v>#REF!</v>
      </c>
      <c r="E29" s="397" t="e">
        <f>#REF!</f>
        <v>#REF!</v>
      </c>
      <c r="F29" s="397" t="e">
        <f>#REF!</f>
        <v>#REF!</v>
      </c>
    </row>
    <row r="30" spans="1:6">
      <c r="A30" s="396" t="e">
        <f>#REF!</f>
        <v>#REF!</v>
      </c>
      <c r="B30" s="397" t="e">
        <f>#REF!</f>
        <v>#REF!</v>
      </c>
      <c r="C30" s="397" t="e">
        <f>#REF!</f>
        <v>#REF!</v>
      </c>
      <c r="D30" s="397" t="e">
        <f>#REF!</f>
        <v>#REF!</v>
      </c>
      <c r="E30" s="397" t="e">
        <f>#REF!</f>
        <v>#REF!</v>
      </c>
      <c r="F30" s="397" t="e">
        <f>#REF!</f>
        <v>#REF!</v>
      </c>
    </row>
    <row r="31" spans="1:6">
      <c r="A31" s="396" t="e">
        <f>#REF!</f>
        <v>#REF!</v>
      </c>
      <c r="B31" s="397" t="e">
        <f>#REF!</f>
        <v>#REF!</v>
      </c>
      <c r="C31" s="397" t="e">
        <f>#REF!</f>
        <v>#REF!</v>
      </c>
      <c r="D31" s="397" t="e">
        <f>#REF!</f>
        <v>#REF!</v>
      </c>
      <c r="E31" s="397" t="e">
        <f>#REF!</f>
        <v>#REF!</v>
      </c>
      <c r="F31" s="397" t="e">
        <f>#REF!</f>
        <v>#REF!</v>
      </c>
    </row>
    <row r="32" spans="1:6">
      <c r="A32" s="396" t="e">
        <f>#REF!</f>
        <v>#REF!</v>
      </c>
      <c r="B32" s="397" t="e">
        <f>#REF!</f>
        <v>#REF!</v>
      </c>
      <c r="C32" s="397" t="e">
        <f>#REF!</f>
        <v>#REF!</v>
      </c>
      <c r="D32" s="397" t="e">
        <f>#REF!</f>
        <v>#REF!</v>
      </c>
      <c r="E32" s="397" t="e">
        <f>#REF!</f>
        <v>#REF!</v>
      </c>
      <c r="F32" s="398" t="e">
        <f>#REF!</f>
        <v>#REF!</v>
      </c>
    </row>
    <row r="33" spans="1:6">
      <c r="A33" s="396" t="e">
        <f>#REF!</f>
        <v>#REF!</v>
      </c>
      <c r="B33" s="397" t="e">
        <f>#REF!</f>
        <v>#REF!</v>
      </c>
      <c r="C33" s="397" t="e">
        <f>#REF!</f>
        <v>#REF!</v>
      </c>
      <c r="D33" s="397" t="e">
        <f>#REF!</f>
        <v>#REF!</v>
      </c>
      <c r="E33" s="397" t="e">
        <f>#REF!</f>
        <v>#REF!</v>
      </c>
      <c r="F33" s="397" t="e">
        <f>#REF!</f>
        <v>#REF!</v>
      </c>
    </row>
    <row r="34" spans="1:6">
      <c r="A34" s="396" t="e">
        <f>#REF!</f>
        <v>#REF!</v>
      </c>
      <c r="B34" s="397" t="e">
        <f>#REF!</f>
        <v>#REF!</v>
      </c>
      <c r="C34" s="397" t="e">
        <f>#REF!</f>
        <v>#REF!</v>
      </c>
      <c r="D34" s="397" t="e">
        <f>#REF!</f>
        <v>#REF!</v>
      </c>
      <c r="E34" s="397" t="e">
        <f>#REF!</f>
        <v>#REF!</v>
      </c>
      <c r="F34" s="397" t="e">
        <f>#REF!</f>
        <v>#REF!</v>
      </c>
    </row>
    <row r="35" spans="1:6">
      <c r="A35" s="396" t="e">
        <f>#REF!</f>
        <v>#REF!</v>
      </c>
      <c r="B35" s="397" t="e">
        <f>#REF!</f>
        <v>#REF!</v>
      </c>
      <c r="C35" s="397" t="e">
        <f>#REF!</f>
        <v>#REF!</v>
      </c>
      <c r="D35" s="397" t="e">
        <f>#REF!</f>
        <v>#REF!</v>
      </c>
      <c r="E35" s="397" t="e">
        <f>#REF!</f>
        <v>#REF!</v>
      </c>
      <c r="F35" s="397" t="e">
        <f>#REF!</f>
        <v>#REF!</v>
      </c>
    </row>
    <row r="36" spans="1:6">
      <c r="A36" s="396" t="e">
        <f>#REF!</f>
        <v>#REF!</v>
      </c>
      <c r="B36" s="397" t="e">
        <f>#REF!</f>
        <v>#REF!</v>
      </c>
      <c r="C36" s="397" t="e">
        <f>#REF!</f>
        <v>#REF!</v>
      </c>
      <c r="D36" s="397" t="e">
        <f>#REF!</f>
        <v>#REF!</v>
      </c>
      <c r="E36" s="397" t="e">
        <f>#REF!</f>
        <v>#REF!</v>
      </c>
      <c r="F36" s="397" t="e">
        <f>#REF!</f>
        <v>#REF!</v>
      </c>
    </row>
    <row r="37" spans="1:6">
      <c r="A37" s="396" t="e">
        <f>#REF!</f>
        <v>#REF!</v>
      </c>
      <c r="B37" s="397" t="e">
        <f>#REF!</f>
        <v>#REF!</v>
      </c>
      <c r="C37" s="397" t="e">
        <f>#REF!</f>
        <v>#REF!</v>
      </c>
      <c r="D37" s="397" t="e">
        <f>#REF!</f>
        <v>#REF!</v>
      </c>
      <c r="E37" s="397" t="e">
        <f>#REF!</f>
        <v>#REF!</v>
      </c>
      <c r="F37" s="397" t="e">
        <f>#REF!</f>
        <v>#REF!</v>
      </c>
    </row>
    <row r="39" spans="1:6">
      <c r="A39" s="396" t="e">
        <f>#REF!</f>
        <v>#REF!</v>
      </c>
      <c r="B39" s="397" t="e">
        <f>#REF!</f>
        <v>#REF!</v>
      </c>
      <c r="C39" s="398" t="e">
        <f>#REF!</f>
        <v>#REF!</v>
      </c>
      <c r="D39" s="397" t="e">
        <f>#REF!</f>
        <v>#REF!</v>
      </c>
      <c r="E39" s="397" t="e">
        <f>#REF!</f>
        <v>#REF!</v>
      </c>
      <c r="F39" s="397" t="e">
        <f>#REF!</f>
        <v>#REF!</v>
      </c>
    </row>
    <row r="40" spans="1:6">
      <c r="A40" s="396" t="e">
        <f>#REF!</f>
        <v>#REF!</v>
      </c>
      <c r="B40" s="397" t="e">
        <f>#REF!</f>
        <v>#REF!</v>
      </c>
      <c r="C40" s="398" t="e">
        <f>#REF!</f>
        <v>#REF!</v>
      </c>
      <c r="D40" s="397" t="e">
        <f>#REF!</f>
        <v>#REF!</v>
      </c>
      <c r="E40" s="397" t="e">
        <f>#REF!</f>
        <v>#REF!</v>
      </c>
      <c r="F40" s="397" t="e">
        <f>#REF!</f>
        <v>#REF!</v>
      </c>
    </row>
    <row r="41" spans="1:6">
      <c r="A41" s="396" t="e">
        <f>#REF!</f>
        <v>#REF!</v>
      </c>
      <c r="B41" s="397" t="e">
        <f>#REF!</f>
        <v>#REF!</v>
      </c>
      <c r="C41" s="397" t="e">
        <f>#REF!</f>
        <v>#REF!</v>
      </c>
      <c r="D41" s="397" t="e">
        <f>#REF!</f>
        <v>#REF!</v>
      </c>
      <c r="E41" s="397" t="e">
        <f>#REF!</f>
        <v>#REF!</v>
      </c>
      <c r="F41" s="397" t="e">
        <f>#REF!</f>
        <v>#REF!</v>
      </c>
    </row>
    <row r="42" spans="1:6" ht="75">
      <c r="A42" s="396" t="e">
        <f>#REF!</f>
        <v>#REF!</v>
      </c>
      <c r="B42" s="397" t="e">
        <f>#REF!</f>
        <v>#REF!</v>
      </c>
      <c r="C42" s="399" t="e">
        <f>#REF!</f>
        <v>#REF!</v>
      </c>
      <c r="D42" s="397" t="e">
        <f>#REF!</f>
        <v>#REF!</v>
      </c>
      <c r="E42" s="397" t="e">
        <f>#REF!</f>
        <v>#REF!</v>
      </c>
      <c r="F42" s="397" t="e">
        <f>#REF!</f>
        <v>#REF!</v>
      </c>
    </row>
    <row r="43" spans="1:6">
      <c r="A43" s="396" t="e">
        <f>#REF!</f>
        <v>#REF!</v>
      </c>
      <c r="B43" s="397" t="e">
        <f>#REF!</f>
        <v>#REF!</v>
      </c>
      <c r="C43" s="397" t="e">
        <f>#REF!</f>
        <v>#REF!</v>
      </c>
      <c r="D43" s="397" t="e">
        <f>#REF!</f>
        <v>#REF!</v>
      </c>
      <c r="E43" s="397" t="e">
        <f>#REF!</f>
        <v>#REF!</v>
      </c>
      <c r="F43" s="397" t="e">
        <f>#REF!</f>
        <v>#REF!</v>
      </c>
    </row>
    <row r="44" spans="1:6">
      <c r="A44" s="396" t="e">
        <f>#REF!</f>
        <v>#REF!</v>
      </c>
      <c r="B44" s="397" t="e">
        <f>#REF!</f>
        <v>#REF!</v>
      </c>
      <c r="C44" s="397" t="e">
        <f>#REF!</f>
        <v>#REF!</v>
      </c>
      <c r="D44" s="397" t="e">
        <f>#REF!</f>
        <v>#REF!</v>
      </c>
      <c r="E44" s="397" t="e">
        <f>#REF!</f>
        <v>#REF!</v>
      </c>
      <c r="F44" s="397" t="e">
        <f>#REF!</f>
        <v>#REF!</v>
      </c>
    </row>
    <row r="45" spans="1:6">
      <c r="A45" s="396" t="e">
        <f>#REF!</f>
        <v>#REF!</v>
      </c>
      <c r="B45" s="397" t="e">
        <f>#REF!</f>
        <v>#REF!</v>
      </c>
      <c r="C45" s="397" t="e">
        <f>#REF!</f>
        <v>#REF!</v>
      </c>
      <c r="D45" s="397" t="e">
        <f>#REF!</f>
        <v>#REF!</v>
      </c>
      <c r="E45" s="397" t="e">
        <f>#REF!</f>
        <v>#REF!</v>
      </c>
      <c r="F45" s="397" t="e">
        <f>#REF!</f>
        <v>#REF!</v>
      </c>
    </row>
    <row r="46" spans="1:6">
      <c r="A46" s="396" t="e">
        <f>#REF!</f>
        <v>#REF!</v>
      </c>
      <c r="B46" s="397" t="e">
        <f>#REF!</f>
        <v>#REF!</v>
      </c>
      <c r="C46" s="397" t="e">
        <f>#REF!</f>
        <v>#REF!</v>
      </c>
      <c r="D46" s="397" t="e">
        <f>#REF!</f>
        <v>#REF!</v>
      </c>
      <c r="E46" s="397" t="e">
        <f>#REF!</f>
        <v>#REF!</v>
      </c>
      <c r="F46" s="397" t="e">
        <f>#REF!</f>
        <v>#REF!</v>
      </c>
    </row>
    <row r="47" spans="1:6">
      <c r="A47" s="396" t="e">
        <f>#REF!</f>
        <v>#REF!</v>
      </c>
      <c r="B47" s="397" t="e">
        <f>#REF!</f>
        <v>#REF!</v>
      </c>
      <c r="C47" s="397" t="e">
        <f>#REF!</f>
        <v>#REF!</v>
      </c>
      <c r="D47" s="397" t="e">
        <f>#REF!</f>
        <v>#REF!</v>
      </c>
      <c r="E47" s="397" t="e">
        <f>#REF!</f>
        <v>#REF!</v>
      </c>
      <c r="F47" s="397" t="e">
        <f>#REF!</f>
        <v>#REF!</v>
      </c>
    </row>
    <row r="48" spans="1:6">
      <c r="A48" s="396" t="e">
        <f>#REF!</f>
        <v>#REF!</v>
      </c>
      <c r="B48" s="397" t="e">
        <f>#REF!</f>
        <v>#REF!</v>
      </c>
      <c r="C48" s="397" t="e">
        <f>#REF!</f>
        <v>#REF!</v>
      </c>
      <c r="D48" s="397" t="e">
        <f>#REF!</f>
        <v>#REF!</v>
      </c>
      <c r="E48" s="397" t="e">
        <f>#REF!</f>
        <v>#REF!</v>
      </c>
      <c r="F48" s="397" t="e">
        <f>#REF!</f>
        <v>#REF!</v>
      </c>
    </row>
    <row r="49" spans="1:6">
      <c r="A49" s="396" t="e">
        <f>#REF!</f>
        <v>#REF!</v>
      </c>
      <c r="B49" s="397" t="e">
        <f>#REF!</f>
        <v>#REF!</v>
      </c>
      <c r="C49" s="397" t="e">
        <f>#REF!</f>
        <v>#REF!</v>
      </c>
      <c r="D49" s="397" t="e">
        <f>#REF!</f>
        <v>#REF!</v>
      </c>
      <c r="E49" s="397" t="e">
        <f>#REF!</f>
        <v>#REF!</v>
      </c>
      <c r="F49" s="398" t="e">
        <f>#REF!</f>
        <v>#REF!</v>
      </c>
    </row>
    <row r="50" spans="1:6">
      <c r="A50" s="396" t="e">
        <f>#REF!</f>
        <v>#REF!</v>
      </c>
      <c r="B50" s="397" t="e">
        <f>#REF!</f>
        <v>#REF!</v>
      </c>
      <c r="C50" s="397" t="e">
        <f>#REF!</f>
        <v>#REF!</v>
      </c>
      <c r="D50" s="397" t="e">
        <f>#REF!</f>
        <v>#REF!</v>
      </c>
      <c r="E50" s="397" t="e">
        <f>#REF!</f>
        <v>#REF!</v>
      </c>
      <c r="F50" s="397" t="e">
        <f>#REF!</f>
        <v>#REF!</v>
      </c>
    </row>
    <row r="51" spans="1:6">
      <c r="A51" s="396" t="e">
        <f>#REF!</f>
        <v>#REF!</v>
      </c>
      <c r="B51" s="397" t="e">
        <f>#REF!</f>
        <v>#REF!</v>
      </c>
      <c r="C51" s="397" t="e">
        <f>#REF!</f>
        <v>#REF!</v>
      </c>
      <c r="D51" s="397" t="e">
        <f>#REF!</f>
        <v>#REF!</v>
      </c>
      <c r="E51" s="397" t="e">
        <f>#REF!</f>
        <v>#REF!</v>
      </c>
      <c r="F51" s="397" t="e">
        <f>#REF!</f>
        <v>#REF!</v>
      </c>
    </row>
    <row r="52" spans="1:6">
      <c r="A52" s="396" t="e">
        <f>#REF!</f>
        <v>#REF!</v>
      </c>
      <c r="B52" s="397" t="e">
        <f>#REF!</f>
        <v>#REF!</v>
      </c>
      <c r="C52" s="397" t="e">
        <f>#REF!</f>
        <v>#REF!</v>
      </c>
      <c r="D52" s="397" t="e">
        <f>#REF!</f>
        <v>#REF!</v>
      </c>
      <c r="E52" s="397" t="e">
        <f>#REF!</f>
        <v>#REF!</v>
      </c>
      <c r="F52" s="397" t="e">
        <f>#REF!</f>
        <v>#REF!</v>
      </c>
    </row>
    <row r="53" spans="1:6">
      <c r="A53" s="396" t="e">
        <f>#REF!</f>
        <v>#REF!</v>
      </c>
      <c r="B53" s="397" t="e">
        <f>#REF!</f>
        <v>#REF!</v>
      </c>
      <c r="C53" s="397" t="e">
        <f>#REF!</f>
        <v>#REF!</v>
      </c>
      <c r="D53" s="397" t="e">
        <f>#REF!</f>
        <v>#REF!</v>
      </c>
      <c r="E53" s="397" t="e">
        <f>#REF!</f>
        <v>#REF!</v>
      </c>
      <c r="F53" s="397" t="e">
        <f>#REF!</f>
        <v>#REF!</v>
      </c>
    </row>
    <row r="54" spans="1:6">
      <c r="A54" s="396" t="e">
        <f>#REF!</f>
        <v>#REF!</v>
      </c>
      <c r="B54" s="397" t="e">
        <f>#REF!</f>
        <v>#REF!</v>
      </c>
      <c r="C54" s="397" t="e">
        <f>#REF!</f>
        <v>#REF!</v>
      </c>
      <c r="D54" s="397" t="e">
        <f>#REF!</f>
        <v>#REF!</v>
      </c>
      <c r="E54" s="397" t="e">
        <f>#REF!</f>
        <v>#REF!</v>
      </c>
      <c r="F54" s="397" t="e">
        <f>#REF!</f>
        <v>#REF!</v>
      </c>
    </row>
    <row r="55" spans="1:6" ht="28.9" customHeight="1">
      <c r="A55" s="1246" t="e">
        <f>#REF!</f>
        <v>#REF!</v>
      </c>
      <c r="B55" s="1246"/>
      <c r="C55" s="1246"/>
      <c r="D55" s="1246"/>
      <c r="E55" s="1246"/>
      <c r="F55" s="397">
        <f>[17]Elec.Data!K3300</f>
        <v>0</v>
      </c>
    </row>
    <row r="56" spans="1:6">
      <c r="A56" s="396">
        <f>[17]Elec.Data!F3301</f>
        <v>0</v>
      </c>
      <c r="B56" s="397">
        <f>[17]Elec.Data!G3301</f>
        <v>0</v>
      </c>
      <c r="C56" s="397">
        <f>[17]Elec.Data!H3301</f>
        <v>0</v>
      </c>
      <c r="D56" s="397">
        <f>[17]Elec.Data!I3301</f>
        <v>0</v>
      </c>
      <c r="E56" s="397">
        <f>[17]Elec.Data!J3301</f>
        <v>0</v>
      </c>
      <c r="F56" s="397">
        <f>[17]Elec.Data!K3301</f>
        <v>0</v>
      </c>
    </row>
    <row r="57" spans="1:6">
      <c r="A57" s="396" t="e">
        <f>#REF!</f>
        <v>#REF!</v>
      </c>
      <c r="B57" s="397" t="e">
        <f>#REF!</f>
        <v>#REF!</v>
      </c>
      <c r="C57" s="398" t="e">
        <f>#REF!</f>
        <v>#REF!</v>
      </c>
      <c r="D57" s="397" t="e">
        <f>#REF!</f>
        <v>#REF!</v>
      </c>
      <c r="E57" s="397" t="e">
        <f>#REF!</f>
        <v>#REF!</v>
      </c>
      <c r="F57" s="397" t="e">
        <f>#REF!</f>
        <v>#REF!</v>
      </c>
    </row>
    <row r="58" spans="1:6">
      <c r="A58" s="396" t="e">
        <f>#REF!</f>
        <v>#REF!</v>
      </c>
      <c r="B58" s="397" t="e">
        <f>#REF!</f>
        <v>#REF!</v>
      </c>
      <c r="C58" s="397" t="e">
        <f>#REF!</f>
        <v>#REF!</v>
      </c>
      <c r="D58" s="397" t="e">
        <f>#REF!</f>
        <v>#REF!</v>
      </c>
      <c r="E58" s="397" t="e">
        <f>#REF!</f>
        <v>#REF!</v>
      </c>
      <c r="F58" s="397" t="e">
        <f>#REF!</f>
        <v>#REF!</v>
      </c>
    </row>
    <row r="59" spans="1:6" ht="60">
      <c r="A59" s="396" t="e">
        <f>#REF!</f>
        <v>#REF!</v>
      </c>
      <c r="B59" s="397" t="e">
        <f>#REF!</f>
        <v>#REF!</v>
      </c>
      <c r="C59" s="402" t="e">
        <f>#REF!</f>
        <v>#REF!</v>
      </c>
      <c r="D59" s="397" t="e">
        <f>#REF!</f>
        <v>#REF!</v>
      </c>
      <c r="E59" s="397" t="e">
        <f>#REF!</f>
        <v>#REF!</v>
      </c>
      <c r="F59" s="397" t="e">
        <f>#REF!</f>
        <v>#REF!</v>
      </c>
    </row>
    <row r="60" spans="1:6">
      <c r="A60" s="396" t="e">
        <f>#REF!</f>
        <v>#REF!</v>
      </c>
      <c r="B60" s="397" t="e">
        <f>#REF!</f>
        <v>#REF!</v>
      </c>
      <c r="C60" s="397" t="e">
        <f>#REF!</f>
        <v>#REF!</v>
      </c>
      <c r="D60" s="397" t="e">
        <f>#REF!</f>
        <v>#REF!</v>
      </c>
      <c r="E60" s="397" t="e">
        <f>#REF!</f>
        <v>#REF!</v>
      </c>
      <c r="F60" s="397" t="e">
        <f>#REF!</f>
        <v>#REF!</v>
      </c>
    </row>
    <row r="61" spans="1:6">
      <c r="A61" s="396" t="e">
        <f>#REF!</f>
        <v>#REF!</v>
      </c>
      <c r="B61" s="397" t="e">
        <f>#REF!</f>
        <v>#REF!</v>
      </c>
      <c r="C61" s="397" t="e">
        <f>#REF!</f>
        <v>#REF!</v>
      </c>
      <c r="D61" s="397" t="e">
        <f>#REF!</f>
        <v>#REF!</v>
      </c>
      <c r="E61" s="397" t="e">
        <f>#REF!</f>
        <v>#REF!</v>
      </c>
      <c r="F61" s="397" t="e">
        <f>#REF!</f>
        <v>#REF!</v>
      </c>
    </row>
    <row r="62" spans="1:6">
      <c r="A62" s="396" t="e">
        <f>#REF!</f>
        <v>#REF!</v>
      </c>
      <c r="B62" s="397" t="e">
        <f>#REF!</f>
        <v>#REF!</v>
      </c>
      <c r="C62" s="397" t="e">
        <f>#REF!</f>
        <v>#REF!</v>
      </c>
      <c r="D62" s="397" t="e">
        <f>#REF!</f>
        <v>#REF!</v>
      </c>
      <c r="E62" s="397" t="e">
        <f>#REF!</f>
        <v>#REF!</v>
      </c>
      <c r="F62" s="397" t="e">
        <f>#REF!</f>
        <v>#REF!</v>
      </c>
    </row>
    <row r="63" spans="1:6">
      <c r="A63" s="396" t="e">
        <f>#REF!</f>
        <v>#REF!</v>
      </c>
      <c r="B63" s="397" t="e">
        <f>#REF!</f>
        <v>#REF!</v>
      </c>
      <c r="C63" s="397" t="e">
        <f>#REF!</f>
        <v>#REF!</v>
      </c>
      <c r="D63" s="397" t="e">
        <f>#REF!</f>
        <v>#REF!</v>
      </c>
      <c r="E63" s="397" t="e">
        <f>#REF!</f>
        <v>#REF!</v>
      </c>
      <c r="F63" s="397" t="e">
        <f>#REF!</f>
        <v>#REF!</v>
      </c>
    </row>
    <row r="64" spans="1:6" ht="30">
      <c r="A64" s="396" t="e">
        <f>#REF!</f>
        <v>#REF!</v>
      </c>
      <c r="B64" s="397" t="e">
        <f>#REF!</f>
        <v>#REF!</v>
      </c>
      <c r="C64" s="399" t="e">
        <f>#REF!</f>
        <v>#REF!</v>
      </c>
      <c r="D64" s="397" t="e">
        <f>#REF!</f>
        <v>#REF!</v>
      </c>
      <c r="E64" s="397" t="e">
        <f>#REF!</f>
        <v>#REF!</v>
      </c>
      <c r="F64" s="397" t="e">
        <f>#REF!</f>
        <v>#REF!</v>
      </c>
    </row>
    <row r="65" spans="1:6">
      <c r="A65" s="396" t="e">
        <f>#REF!</f>
        <v>#REF!</v>
      </c>
      <c r="B65" s="397" t="e">
        <f>#REF!</f>
        <v>#REF!</v>
      </c>
      <c r="C65" s="397" t="e">
        <f>#REF!</f>
        <v>#REF!</v>
      </c>
      <c r="D65" s="397" t="e">
        <f>#REF!</f>
        <v>#REF!</v>
      </c>
      <c r="E65" s="397" t="e">
        <f>#REF!</f>
        <v>#REF!</v>
      </c>
      <c r="F65" s="398" t="e">
        <f>#REF!</f>
        <v>#REF!</v>
      </c>
    </row>
    <row r="67" spans="1:6">
      <c r="A67" s="396" t="e">
        <f>#REF!</f>
        <v>#REF!</v>
      </c>
      <c r="B67" s="397" t="e">
        <f>#REF!</f>
        <v>#REF!</v>
      </c>
      <c r="C67" s="398" t="e">
        <f>#REF!</f>
        <v>#REF!</v>
      </c>
      <c r="D67" s="397" t="e">
        <f>#REF!</f>
        <v>#REF!</v>
      </c>
      <c r="E67" s="397" t="e">
        <f>#REF!</f>
        <v>#REF!</v>
      </c>
      <c r="F67" s="397" t="e">
        <f>#REF!</f>
        <v>#REF!</v>
      </c>
    </row>
    <row r="68" spans="1:6">
      <c r="A68" s="396" t="e">
        <f>#REF!</f>
        <v>#REF!</v>
      </c>
      <c r="B68" s="397" t="e">
        <f>#REF!</f>
        <v>#REF!</v>
      </c>
      <c r="C68" s="398" t="e">
        <f>#REF!</f>
        <v>#REF!</v>
      </c>
      <c r="D68" s="397" t="e">
        <f>#REF!</f>
        <v>#REF!</v>
      </c>
      <c r="E68" s="397" t="e">
        <f>#REF!</f>
        <v>#REF!</v>
      </c>
      <c r="F68" s="397" t="e">
        <f>#REF!</f>
        <v>#REF!</v>
      </c>
    </row>
    <row r="69" spans="1:6">
      <c r="A69" s="396" t="e">
        <f>#REF!</f>
        <v>#REF!</v>
      </c>
      <c r="B69" s="397" t="e">
        <f>#REF!</f>
        <v>#REF!</v>
      </c>
      <c r="C69" s="397" t="e">
        <f>#REF!</f>
        <v>#REF!</v>
      </c>
      <c r="D69" s="397" t="e">
        <f>#REF!</f>
        <v>#REF!</v>
      </c>
      <c r="E69" s="397" t="e">
        <f>#REF!</f>
        <v>#REF!</v>
      </c>
      <c r="F69" s="397" t="e">
        <f>#REF!</f>
        <v>#REF!</v>
      </c>
    </row>
    <row r="70" spans="1:6" ht="60">
      <c r="A70" s="396" t="e">
        <f>#REF!</f>
        <v>#REF!</v>
      </c>
      <c r="B70" s="397" t="e">
        <f>#REF!</f>
        <v>#REF!</v>
      </c>
      <c r="C70" s="399" t="e">
        <f>#REF!</f>
        <v>#REF!</v>
      </c>
      <c r="D70" s="397" t="e">
        <f>#REF!</f>
        <v>#REF!</v>
      </c>
      <c r="E70" s="397" t="e">
        <f>#REF!</f>
        <v>#REF!</v>
      </c>
      <c r="F70" s="397" t="e">
        <f>#REF!</f>
        <v>#REF!</v>
      </c>
    </row>
    <row r="71" spans="1:6">
      <c r="A71" s="396" t="e">
        <f>#REF!</f>
        <v>#REF!</v>
      </c>
      <c r="B71" s="397" t="e">
        <f>#REF!</f>
        <v>#REF!</v>
      </c>
      <c r="C71" s="397" t="e">
        <f>#REF!</f>
        <v>#REF!</v>
      </c>
      <c r="D71" s="397" t="e">
        <f>#REF!</f>
        <v>#REF!</v>
      </c>
      <c r="E71" s="397" t="e">
        <f>#REF!</f>
        <v>#REF!</v>
      </c>
      <c r="F71" s="397" t="e">
        <f>#REF!</f>
        <v>#REF!</v>
      </c>
    </row>
    <row r="72" spans="1:6">
      <c r="A72" s="396" t="e">
        <f>#REF!</f>
        <v>#REF!</v>
      </c>
      <c r="B72" s="397" t="e">
        <f>#REF!</f>
        <v>#REF!</v>
      </c>
      <c r="C72" s="397" t="e">
        <f>#REF!</f>
        <v>#REF!</v>
      </c>
      <c r="D72" s="397" t="e">
        <f>#REF!</f>
        <v>#REF!</v>
      </c>
      <c r="E72" s="397" t="e">
        <f>#REF!</f>
        <v>#REF!</v>
      </c>
      <c r="F72" s="397" t="e">
        <f>#REF!</f>
        <v>#REF!</v>
      </c>
    </row>
    <row r="73" spans="1:6">
      <c r="A73" s="396" t="e">
        <f>#REF!</f>
        <v>#REF!</v>
      </c>
      <c r="B73" s="397" t="e">
        <f>#REF!</f>
        <v>#REF!</v>
      </c>
      <c r="C73" s="397" t="e">
        <f>#REF!</f>
        <v>#REF!</v>
      </c>
      <c r="D73" s="397" t="e">
        <f>#REF!</f>
        <v>#REF!</v>
      </c>
      <c r="E73" s="397" t="e">
        <f>#REF!</f>
        <v>#REF!</v>
      </c>
      <c r="F73" s="397" t="e">
        <f>#REF!</f>
        <v>#REF!</v>
      </c>
    </row>
    <row r="74" spans="1:6">
      <c r="A74" s="396" t="e">
        <f>#REF!</f>
        <v>#REF!</v>
      </c>
      <c r="B74" s="397" t="e">
        <f>#REF!</f>
        <v>#REF!</v>
      </c>
      <c r="C74" s="397" t="e">
        <f>#REF!</f>
        <v>#REF!</v>
      </c>
      <c r="D74" s="397" t="e">
        <f>#REF!</f>
        <v>#REF!</v>
      </c>
      <c r="E74" s="397" t="e">
        <f>#REF!</f>
        <v>#REF!</v>
      </c>
      <c r="F74" s="397" t="e">
        <f>#REF!</f>
        <v>#REF!</v>
      </c>
    </row>
    <row r="75" spans="1:6" ht="30">
      <c r="A75" s="396" t="e">
        <f>#REF!</f>
        <v>#REF!</v>
      </c>
      <c r="B75" s="397" t="e">
        <f>#REF!</f>
        <v>#REF!</v>
      </c>
      <c r="C75" s="399" t="e">
        <f>#REF!</f>
        <v>#REF!</v>
      </c>
      <c r="D75" s="397" t="e">
        <f>#REF!</f>
        <v>#REF!</v>
      </c>
      <c r="E75" s="397" t="e">
        <f>#REF!</f>
        <v>#REF!</v>
      </c>
      <c r="F75" s="397" t="e">
        <f>#REF!</f>
        <v>#REF!</v>
      </c>
    </row>
    <row r="76" spans="1:6" ht="30">
      <c r="A76" s="396" t="e">
        <f>#REF!</f>
        <v>#REF!</v>
      </c>
      <c r="B76" s="397" t="e">
        <f>#REF!</f>
        <v>#REF!</v>
      </c>
      <c r="C76" s="399" t="e">
        <f>#REF!</f>
        <v>#REF!</v>
      </c>
      <c r="D76" s="397" t="e">
        <f>#REF!</f>
        <v>#REF!</v>
      </c>
      <c r="E76" s="397" t="e">
        <f>#REF!</f>
        <v>#REF!</v>
      </c>
      <c r="F76" s="397" t="e">
        <f>#REF!</f>
        <v>#REF!</v>
      </c>
    </row>
    <row r="77" spans="1:6">
      <c r="A77" s="396" t="e">
        <f>#REF!</f>
        <v>#REF!</v>
      </c>
      <c r="B77" s="397" t="e">
        <f>#REF!</f>
        <v>#REF!</v>
      </c>
      <c r="C77" s="397" t="e">
        <f>#REF!</f>
        <v>#REF!</v>
      </c>
      <c r="D77" s="397" t="e">
        <f>#REF!</f>
        <v>#REF!</v>
      </c>
      <c r="E77" s="397" t="e">
        <f>#REF!</f>
        <v>#REF!</v>
      </c>
      <c r="F77" s="397" t="e">
        <f>#REF!</f>
        <v>#REF!</v>
      </c>
    </row>
    <row r="78" spans="1:6">
      <c r="A78" s="396" t="e">
        <f>#REF!</f>
        <v>#REF!</v>
      </c>
      <c r="B78" s="397" t="e">
        <f>#REF!</f>
        <v>#REF!</v>
      </c>
      <c r="C78" s="397" t="e">
        <f>#REF!</f>
        <v>#REF!</v>
      </c>
      <c r="D78" s="397" t="e">
        <f>#REF!</f>
        <v>#REF!</v>
      </c>
      <c r="E78" s="397" t="e">
        <f>#REF!</f>
        <v>#REF!</v>
      </c>
      <c r="F78" s="397" t="e">
        <f>#REF!</f>
        <v>#REF!</v>
      </c>
    </row>
    <row r="79" spans="1:6">
      <c r="A79" s="396" t="e">
        <f>#REF!</f>
        <v>#REF!</v>
      </c>
      <c r="B79" s="397" t="e">
        <f>#REF!</f>
        <v>#REF!</v>
      </c>
      <c r="C79" s="397" t="e">
        <f>#REF!</f>
        <v>#REF!</v>
      </c>
      <c r="D79" s="397" t="e">
        <f>#REF!</f>
        <v>#REF!</v>
      </c>
      <c r="E79" s="397" t="e">
        <f>#REF!</f>
        <v>#REF!</v>
      </c>
      <c r="F79" s="397" t="e">
        <f>#REF!</f>
        <v>#REF!</v>
      </c>
    </row>
    <row r="80" spans="1:6">
      <c r="A80" s="396" t="e">
        <f>#REF!</f>
        <v>#REF!</v>
      </c>
      <c r="B80" s="397" t="e">
        <f>#REF!</f>
        <v>#REF!</v>
      </c>
      <c r="C80" s="397" t="e">
        <f>#REF!</f>
        <v>#REF!</v>
      </c>
      <c r="D80" s="397" t="e">
        <f>#REF!</f>
        <v>#REF!</v>
      </c>
      <c r="E80" s="397" t="e">
        <f>#REF!</f>
        <v>#REF!</v>
      </c>
      <c r="F80" s="397" t="e">
        <f>#REF!</f>
        <v>#REF!</v>
      </c>
    </row>
    <row r="81" spans="1:6">
      <c r="A81" s="396" t="e">
        <f>#REF!</f>
        <v>#REF!</v>
      </c>
      <c r="B81" s="397" t="e">
        <f>#REF!</f>
        <v>#REF!</v>
      </c>
      <c r="C81" s="397" t="e">
        <f>#REF!</f>
        <v>#REF!</v>
      </c>
      <c r="D81" s="397" t="e">
        <f>#REF!</f>
        <v>#REF!</v>
      </c>
      <c r="E81" s="397" t="e">
        <f>#REF!</f>
        <v>#REF!</v>
      </c>
      <c r="F81" s="397" t="e">
        <f>#REF!</f>
        <v>#REF!</v>
      </c>
    </row>
    <row r="82" spans="1:6">
      <c r="A82" s="396" t="e">
        <f>#REF!</f>
        <v>#REF!</v>
      </c>
      <c r="B82" s="397" t="e">
        <f>#REF!</f>
        <v>#REF!</v>
      </c>
      <c r="C82" s="397" t="e">
        <f>#REF!</f>
        <v>#REF!</v>
      </c>
      <c r="D82" s="397" t="e">
        <f>#REF!</f>
        <v>#REF!</v>
      </c>
      <c r="E82" s="397" t="e">
        <f>#REF!</f>
        <v>#REF!</v>
      </c>
      <c r="F82" s="397" t="e">
        <f>#REF!</f>
        <v>#REF!</v>
      </c>
    </row>
    <row r="83" spans="1:6">
      <c r="A83" s="396" t="e">
        <f>#REF!</f>
        <v>#REF!</v>
      </c>
      <c r="B83" s="397" t="e">
        <f>#REF!</f>
        <v>#REF!</v>
      </c>
      <c r="C83" s="397" t="e">
        <f>#REF!</f>
        <v>#REF!</v>
      </c>
      <c r="D83" s="397" t="e">
        <f>#REF!</f>
        <v>#REF!</v>
      </c>
      <c r="E83" s="397" t="e">
        <f>#REF!</f>
        <v>#REF!</v>
      </c>
      <c r="F83" s="397" t="e">
        <f>#REF!</f>
        <v>#REF!</v>
      </c>
    </row>
    <row r="84" spans="1:6">
      <c r="A84" s="396" t="e">
        <f>#REF!</f>
        <v>#REF!</v>
      </c>
      <c r="B84" s="397" t="e">
        <f>#REF!</f>
        <v>#REF!</v>
      </c>
      <c r="C84" s="397" t="e">
        <f>#REF!</f>
        <v>#REF!</v>
      </c>
      <c r="D84" s="397" t="e">
        <f>#REF!</f>
        <v>#REF!</v>
      </c>
      <c r="E84" s="397" t="e">
        <f>#REF!</f>
        <v>#REF!</v>
      </c>
      <c r="F84" s="398" t="e">
        <f>#REF!</f>
        <v>#REF!</v>
      </c>
    </row>
    <row r="85" spans="1:6">
      <c r="A85" s="396" t="e">
        <f>#REF!</f>
        <v>#REF!</v>
      </c>
      <c r="B85" s="397" t="e">
        <f>#REF!</f>
        <v>#REF!</v>
      </c>
      <c r="C85" s="397" t="e">
        <f>#REF!</f>
        <v>#REF!</v>
      </c>
      <c r="D85" s="397" t="e">
        <f>#REF!</f>
        <v>#REF!</v>
      </c>
      <c r="E85" s="397" t="e">
        <f>#REF!</f>
        <v>#REF!</v>
      </c>
      <c r="F85" s="397" t="e">
        <f>#REF!</f>
        <v>#REF!</v>
      </c>
    </row>
    <row r="86" spans="1:6">
      <c r="A86" s="396" t="e">
        <f>#REF!</f>
        <v>#REF!</v>
      </c>
      <c r="B86" s="397" t="e">
        <f>#REF!</f>
        <v>#REF!</v>
      </c>
      <c r="C86" s="397" t="e">
        <f>#REF!</f>
        <v>#REF!</v>
      </c>
      <c r="D86" s="397" t="e">
        <f>#REF!</f>
        <v>#REF!</v>
      </c>
      <c r="E86" s="397" t="e">
        <f>#REF!</f>
        <v>#REF!</v>
      </c>
      <c r="F86" s="397" t="e">
        <f>#REF!</f>
        <v>#REF!</v>
      </c>
    </row>
    <row r="87" spans="1:6">
      <c r="A87" s="396" t="e">
        <f>#REF!</f>
        <v>#REF!</v>
      </c>
      <c r="B87" s="397" t="e">
        <f>#REF!</f>
        <v>#REF!</v>
      </c>
      <c r="C87" s="397" t="e">
        <f>#REF!</f>
        <v>#REF!</v>
      </c>
      <c r="D87" s="397" t="e">
        <f>#REF!</f>
        <v>#REF!</v>
      </c>
      <c r="E87" s="397" t="e">
        <f>#REF!</f>
        <v>#REF!</v>
      </c>
      <c r="F87" s="397" t="e">
        <f>#REF!</f>
        <v>#REF!</v>
      </c>
    </row>
    <row r="88" spans="1:6">
      <c r="A88" s="396" t="e">
        <f>#REF!</f>
        <v>#REF!</v>
      </c>
      <c r="B88" s="397" t="e">
        <f>#REF!</f>
        <v>#REF!</v>
      </c>
      <c r="C88" s="397" t="e">
        <f>#REF!</f>
        <v>#REF!</v>
      </c>
      <c r="D88" s="397" t="e">
        <f>#REF!</f>
        <v>#REF!</v>
      </c>
      <c r="E88" s="397" t="e">
        <f>#REF!</f>
        <v>#REF!</v>
      </c>
      <c r="F88" s="397" t="e">
        <f>#REF!</f>
        <v>#REF!</v>
      </c>
    </row>
    <row r="89" spans="1:6">
      <c r="A89" s="396" t="e">
        <f>#REF!</f>
        <v>#REF!</v>
      </c>
      <c r="B89" s="397" t="e">
        <f>#REF!</f>
        <v>#REF!</v>
      </c>
      <c r="C89" s="397" t="e">
        <f>#REF!</f>
        <v>#REF!</v>
      </c>
      <c r="D89" s="397" t="e">
        <f>#REF!</f>
        <v>#REF!</v>
      </c>
      <c r="E89" s="397" t="e">
        <f>#REF!</f>
        <v>#REF!</v>
      </c>
      <c r="F89" s="397" t="e">
        <f>#REF!</f>
        <v>#REF!</v>
      </c>
    </row>
    <row r="90" spans="1:6">
      <c r="A90" s="396"/>
      <c r="B90" s="397"/>
      <c r="C90" s="397"/>
      <c r="D90" s="397"/>
      <c r="E90" s="397"/>
      <c r="F90" s="397"/>
    </row>
    <row r="91" spans="1:6">
      <c r="A91" s="400">
        <f>Data!S525</f>
        <v>0</v>
      </c>
      <c r="B91" s="398">
        <f>Data!T525</f>
        <v>0</v>
      </c>
      <c r="C91" s="398" t="str">
        <f>Data!U525</f>
        <v>Standardised concrete mix M20</v>
      </c>
      <c r="D91" s="397">
        <f>Data!V525</f>
        <v>0</v>
      </c>
      <c r="E91" s="397">
        <f>Data!W525</f>
        <v>0</v>
      </c>
      <c r="F91" s="397">
        <f>Data!X525</f>
        <v>0</v>
      </c>
    </row>
    <row r="92" spans="1:6">
      <c r="A92" s="400" t="str">
        <f>Data!S526</f>
        <v>14.I</v>
      </c>
      <c r="B92" s="398" t="str">
        <f>Data!T526</f>
        <v>*</v>
      </c>
      <c r="C92" s="398" t="str">
        <f>Data!U526</f>
        <v xml:space="preserve"> P.C.C,R.C.C SLAB OF20mm THICK using standardised concrete mix M20</v>
      </c>
      <c r="D92" s="398"/>
      <c r="E92" s="398"/>
      <c r="F92" s="398"/>
    </row>
    <row r="93" spans="1:6">
      <c r="A93" s="396">
        <f>Data!S527</f>
        <v>0</v>
      </c>
      <c r="B93" s="397">
        <f>Data!T527</f>
        <v>0</v>
      </c>
      <c r="C93" s="397"/>
      <c r="D93" s="397">
        <f>Data!V527</f>
        <v>0</v>
      </c>
      <c r="E93" s="397">
        <f>Data!W527</f>
        <v>0</v>
      </c>
      <c r="F93" s="397">
        <f>Data!X527</f>
        <v>0</v>
      </c>
    </row>
    <row r="94" spans="1:6">
      <c r="A94" s="396">
        <f>Data!S528</f>
        <v>0.02</v>
      </c>
      <c r="B94" s="397" t="str">
        <f>Data!T528</f>
        <v>CUM</v>
      </c>
      <c r="C94" s="397" t="str">
        <f>Data!U528</f>
        <v>C.C(1:2:4)USING3mm-10mm HBG</v>
      </c>
      <c r="D94" s="397" t="e">
        <f>Data!V528</f>
        <v>#REF!</v>
      </c>
      <c r="E94" s="397" t="str">
        <f>Data!W528</f>
        <v>CUM</v>
      </c>
      <c r="F94" s="397" t="e">
        <f>Data!X528</f>
        <v>#REF!</v>
      </c>
    </row>
    <row r="95" spans="1:6">
      <c r="A95" s="396">
        <f>Data!S529</f>
        <v>0.5</v>
      </c>
      <c r="B95" s="397" t="str">
        <f>Data!T529</f>
        <v>NO</v>
      </c>
      <c r="C95" s="397" t="str">
        <f>Data!U529</f>
        <v>MASON I</v>
      </c>
      <c r="D95" s="397">
        <f>Data!V529</f>
        <v>999</v>
      </c>
      <c r="E95" s="397" t="str">
        <f>Data!W529</f>
        <v>NO</v>
      </c>
      <c r="F95" s="397">
        <f>Data!X529</f>
        <v>499.5</v>
      </c>
    </row>
    <row r="96" spans="1:6">
      <c r="A96" s="396">
        <f>Data!S530</f>
        <v>0.75</v>
      </c>
      <c r="B96" s="397" t="str">
        <f>Data!T530</f>
        <v>NO</v>
      </c>
      <c r="C96" s="397" t="str">
        <f>Data!U530</f>
        <v>MAZDOOR I</v>
      </c>
      <c r="D96" s="397">
        <f>Data!V530</f>
        <v>651</v>
      </c>
      <c r="E96" s="397" t="str">
        <f>Data!W530</f>
        <v>NO</v>
      </c>
      <c r="F96" s="397">
        <f>Data!X530</f>
        <v>488.25</v>
      </c>
    </row>
    <row r="97" spans="1:6">
      <c r="A97" s="396">
        <f>Data!S531</f>
        <v>0</v>
      </c>
      <c r="B97" s="397" t="str">
        <f>Data!T531</f>
        <v>L.S</v>
      </c>
      <c r="C97" s="397" t="str">
        <f>Data!U531</f>
        <v>SUNDRIES</v>
      </c>
      <c r="D97" s="397">
        <f>Data!V531</f>
        <v>0</v>
      </c>
      <c r="E97" s="397" t="str">
        <f>Data!W531</f>
        <v>L.S</v>
      </c>
      <c r="F97" s="397">
        <f>Data!X531</f>
        <v>0</v>
      </c>
    </row>
    <row r="98" spans="1:6">
      <c r="A98" s="396">
        <f>Data!S532</f>
        <v>0</v>
      </c>
      <c r="B98" s="397">
        <f>Data!T532</f>
        <v>0</v>
      </c>
      <c r="C98" s="397">
        <f>Data!U532</f>
        <v>0</v>
      </c>
      <c r="D98" s="397">
        <f>Data!V532</f>
        <v>0</v>
      </c>
      <c r="E98" s="397">
        <f>Data!W532</f>
        <v>0</v>
      </c>
      <c r="F98" s="397"/>
    </row>
    <row r="99" spans="1:6">
      <c r="A99" s="396">
        <f>Data!S533</f>
        <v>0</v>
      </c>
      <c r="B99" s="397">
        <f>Data!T533</f>
        <v>0</v>
      </c>
      <c r="C99" s="397" t="str">
        <f>Data!U533</f>
        <v>TOTAL FOR 0.743 SQM</v>
      </c>
      <c r="D99" s="397">
        <f>Data!V533</f>
        <v>0</v>
      </c>
      <c r="E99" s="397">
        <f>Data!W533</f>
        <v>0</v>
      </c>
      <c r="F99" s="397" t="e">
        <f>Data!X533</f>
        <v>#REF!</v>
      </c>
    </row>
    <row r="100" spans="1:6">
      <c r="A100" s="396">
        <f>Data!S534</f>
        <v>0</v>
      </c>
      <c r="B100" s="397">
        <f>Data!T534</f>
        <v>0</v>
      </c>
      <c r="C100" s="397">
        <f>Data!U534</f>
        <v>0</v>
      </c>
      <c r="D100" s="397">
        <f>Data!V534</f>
        <v>0</v>
      </c>
      <c r="E100" s="397">
        <f>Data!W534</f>
        <v>0</v>
      </c>
      <c r="F100" s="397"/>
    </row>
    <row r="101" spans="1:6">
      <c r="A101" s="396">
        <f>Data!S535</f>
        <v>0</v>
      </c>
      <c r="B101" s="397">
        <f>Data!T535</f>
        <v>0</v>
      </c>
      <c r="C101" s="397" t="str">
        <f>Data!U535</f>
        <v>RATE PER SQM</v>
      </c>
      <c r="D101" s="397">
        <f>Data!V535</f>
        <v>0</v>
      </c>
      <c r="E101" s="397">
        <f>Data!W535</f>
        <v>0</v>
      </c>
      <c r="F101" s="397" t="e">
        <f>Data!X535</f>
        <v>#REF!</v>
      </c>
    </row>
    <row r="102" spans="1:6">
      <c r="A102" s="396">
        <f>Data!S536</f>
        <v>0</v>
      </c>
      <c r="B102" s="397">
        <f>Data!T536</f>
        <v>0</v>
      </c>
      <c r="C102" s="397">
        <f>Data!U536</f>
        <v>0</v>
      </c>
      <c r="D102" s="397">
        <f>Data!V536</f>
        <v>0</v>
      </c>
      <c r="E102" s="397">
        <f>Data!W536</f>
        <v>0</v>
      </c>
      <c r="F102" s="397"/>
    </row>
    <row r="103" spans="1:6">
      <c r="A103" s="396">
        <f>Data!S537</f>
        <v>0</v>
      </c>
      <c r="B103" s="397">
        <f>Data!T537</f>
        <v>0</v>
      </c>
      <c r="C103" s="397" t="str">
        <f>Data!U537</f>
        <v>G.F</v>
      </c>
      <c r="D103" s="397" t="e">
        <f>Data!V537</f>
        <v>#REF!</v>
      </c>
      <c r="E103" s="397">
        <f>Data!W537</f>
        <v>2.42</v>
      </c>
      <c r="F103" s="398" t="e">
        <f>Data!X537</f>
        <v>#REF!</v>
      </c>
    </row>
    <row r="104" spans="1:6">
      <c r="A104" s="396">
        <f>Data!S538</f>
        <v>0</v>
      </c>
      <c r="B104" s="397">
        <f>Data!T538</f>
        <v>0</v>
      </c>
      <c r="C104" s="397" t="str">
        <f>Data!U538</f>
        <v>F.F</v>
      </c>
      <c r="D104" s="397" t="e">
        <f>Data!V538</f>
        <v>#REF!</v>
      </c>
      <c r="E104" s="397">
        <f>Data!W538</f>
        <v>4.7699999999999996</v>
      </c>
      <c r="F104" s="398" t="e">
        <f>Data!X538</f>
        <v>#REF!</v>
      </c>
    </row>
    <row r="105" spans="1:6">
      <c r="A105" s="396">
        <f>Data!S539</f>
        <v>0</v>
      </c>
      <c r="B105" s="397">
        <f>Data!T539</f>
        <v>0</v>
      </c>
      <c r="C105" s="397" t="str">
        <f>Data!U539</f>
        <v>S.F</v>
      </c>
      <c r="D105" s="397" t="e">
        <f>Data!V539</f>
        <v>#REF!</v>
      </c>
      <c r="E105" s="397">
        <f>Data!W539</f>
        <v>4.7699999999999996</v>
      </c>
      <c r="F105" s="398" t="e">
        <f>Data!X539</f>
        <v>#REF!</v>
      </c>
    </row>
    <row r="107" spans="1:6" ht="30">
      <c r="A107" s="400" t="str">
        <f>Data!S550</f>
        <v>14.II</v>
      </c>
      <c r="B107" s="398" t="str">
        <f>Data!T550</f>
        <v>*</v>
      </c>
      <c r="C107" s="402" t="str">
        <f>Data!U550</f>
        <v xml:space="preserve"> P.C.C,R.C.C SLAB OF40mm THICK using standardised concrete mix of M20 grade</v>
      </c>
      <c r="D107" s="397">
        <f>Data!V550</f>
        <v>0</v>
      </c>
      <c r="E107" s="397">
        <f>Data!W550</f>
        <v>0</v>
      </c>
      <c r="F107" s="397">
        <f>Data!X550</f>
        <v>0</v>
      </c>
    </row>
    <row r="108" spans="1:6">
      <c r="A108" s="396">
        <f>Data!S551</f>
        <v>0</v>
      </c>
      <c r="B108" s="397">
        <f>Data!T551</f>
        <v>0</v>
      </c>
      <c r="C108" s="397"/>
      <c r="D108" s="397">
        <f>Data!V551</f>
        <v>0</v>
      </c>
      <c r="E108" s="397">
        <f>Data!W551</f>
        <v>0</v>
      </c>
      <c r="F108" s="397">
        <f>Data!X551</f>
        <v>0</v>
      </c>
    </row>
    <row r="109" spans="1:6">
      <c r="A109" s="396">
        <f>Data!S552</f>
        <v>0.03</v>
      </c>
      <c r="B109" s="397" t="str">
        <f>Data!T552</f>
        <v>CUM</v>
      </c>
      <c r="C109" s="397" t="str">
        <f>Data!U552</f>
        <v xml:space="preserve">standardised concrete mix M20 </v>
      </c>
      <c r="D109" s="397" t="e">
        <f>Data!V552</f>
        <v>#REF!</v>
      </c>
      <c r="E109" s="397" t="str">
        <f>Data!W552</f>
        <v>CUM</v>
      </c>
      <c r="F109" s="397" t="e">
        <f>Data!X552</f>
        <v>#REF!</v>
      </c>
    </row>
    <row r="110" spans="1:6">
      <c r="A110" s="396">
        <f>Data!S553</f>
        <v>0.5</v>
      </c>
      <c r="B110" s="397" t="str">
        <f>Data!T553</f>
        <v>NO</v>
      </c>
      <c r="C110" s="397" t="str">
        <f>Data!U553</f>
        <v>MASON I</v>
      </c>
      <c r="D110" s="397">
        <f>Data!V553</f>
        <v>999</v>
      </c>
      <c r="E110" s="397" t="str">
        <f>Data!W553</f>
        <v>NO</v>
      </c>
      <c r="F110" s="397">
        <f>Data!X553</f>
        <v>499.5</v>
      </c>
    </row>
    <row r="111" spans="1:6">
      <c r="A111" s="396">
        <f>Data!S554</f>
        <v>0.75</v>
      </c>
      <c r="B111" s="397" t="str">
        <f>Data!T554</f>
        <v>NO</v>
      </c>
      <c r="C111" s="397" t="str">
        <f>Data!U554</f>
        <v>MAZDOOR I</v>
      </c>
      <c r="D111" s="397">
        <f>Data!V554</f>
        <v>651</v>
      </c>
      <c r="E111" s="397" t="str">
        <f>Data!W554</f>
        <v>NO</v>
      </c>
      <c r="F111" s="397">
        <f>Data!X554</f>
        <v>488.25</v>
      </c>
    </row>
    <row r="112" spans="1:6">
      <c r="A112" s="396">
        <f>Data!S555</f>
        <v>0</v>
      </c>
      <c r="B112" s="397" t="str">
        <f>Data!T555</f>
        <v>L.S</v>
      </c>
      <c r="C112" s="397" t="str">
        <f>Data!U555</f>
        <v>SUNDRIES</v>
      </c>
      <c r="D112" s="397">
        <f>Data!V555</f>
        <v>0</v>
      </c>
      <c r="E112" s="397" t="str">
        <f>Data!W555</f>
        <v>L.S</v>
      </c>
      <c r="F112" s="397">
        <f>Data!X555</f>
        <v>0</v>
      </c>
    </row>
    <row r="113" spans="1:6">
      <c r="A113" s="396">
        <f>Data!S556</f>
        <v>0</v>
      </c>
      <c r="B113" s="397">
        <f>Data!T556</f>
        <v>0</v>
      </c>
      <c r="C113" s="397">
        <f>Data!U556</f>
        <v>0</v>
      </c>
      <c r="D113" s="397">
        <f>Data!V556</f>
        <v>0</v>
      </c>
      <c r="E113" s="397">
        <f>Data!W556</f>
        <v>0</v>
      </c>
      <c r="F113" s="397"/>
    </row>
    <row r="114" spans="1:6">
      <c r="A114" s="396">
        <f>Data!S557</f>
        <v>0</v>
      </c>
      <c r="B114" s="397">
        <f>Data!T557</f>
        <v>0</v>
      </c>
      <c r="C114" s="397" t="str">
        <f>Data!U557</f>
        <v>TOTAL FOR 0.743 SQM</v>
      </c>
      <c r="D114" s="397">
        <f>Data!V557</f>
        <v>0</v>
      </c>
      <c r="E114" s="397">
        <f>Data!W557</f>
        <v>0</v>
      </c>
      <c r="F114" s="397" t="e">
        <f>Data!X557</f>
        <v>#REF!</v>
      </c>
    </row>
    <row r="115" spans="1:6">
      <c r="A115" s="396">
        <f>Data!S558</f>
        <v>0</v>
      </c>
      <c r="B115" s="397">
        <f>Data!T558</f>
        <v>0</v>
      </c>
      <c r="C115" s="397">
        <f>Data!U558</f>
        <v>0</v>
      </c>
      <c r="D115" s="397">
        <f>Data!V558</f>
        <v>0</v>
      </c>
      <c r="E115" s="397">
        <f>Data!W558</f>
        <v>0</v>
      </c>
      <c r="F115" s="397"/>
    </row>
    <row r="116" spans="1:6">
      <c r="A116" s="396">
        <f>Data!S559</f>
        <v>0</v>
      </c>
      <c r="B116" s="397">
        <f>Data!T559</f>
        <v>0</v>
      </c>
      <c r="C116" s="397" t="str">
        <f>Data!U559</f>
        <v>RATE PER SQM (Foundation and basement)</v>
      </c>
      <c r="D116" s="397">
        <f>Data!V559</f>
        <v>0</v>
      </c>
      <c r="E116" s="397">
        <f>Data!W559</f>
        <v>0</v>
      </c>
      <c r="F116" s="397" t="e">
        <f>Data!X559</f>
        <v>#REF!</v>
      </c>
    </row>
    <row r="117" spans="1:6">
      <c r="A117" s="396">
        <f>Data!S560</f>
        <v>0</v>
      </c>
      <c r="B117" s="397">
        <f>Data!T560</f>
        <v>0</v>
      </c>
      <c r="C117" s="397">
        <f>Data!U560</f>
        <v>0</v>
      </c>
      <c r="D117" s="397">
        <f>Data!V560</f>
        <v>0</v>
      </c>
      <c r="E117" s="397">
        <f>Data!W560</f>
        <v>0</v>
      </c>
      <c r="F117" s="397"/>
    </row>
    <row r="118" spans="1:6">
      <c r="A118" s="396">
        <f>Data!S561</f>
        <v>0</v>
      </c>
      <c r="B118" s="397">
        <f>Data!T561</f>
        <v>0</v>
      </c>
      <c r="C118" s="397" t="str">
        <f>Data!U561</f>
        <v>G.F</v>
      </c>
      <c r="D118" s="397" t="e">
        <f>Data!V561</f>
        <v>#REF!</v>
      </c>
      <c r="E118" s="397">
        <f>Data!W561</f>
        <v>4.84</v>
      </c>
      <c r="F118" s="398" t="e">
        <f>Data!X561</f>
        <v>#REF!</v>
      </c>
    </row>
    <row r="119" spans="1:6">
      <c r="A119" s="396">
        <f>Data!S562</f>
        <v>0</v>
      </c>
      <c r="B119" s="397">
        <f>Data!T562</f>
        <v>0</v>
      </c>
      <c r="C119" s="397" t="str">
        <f>Data!U562</f>
        <v>F.F</v>
      </c>
      <c r="D119" s="397" t="e">
        <f>Data!V562</f>
        <v>#REF!</v>
      </c>
      <c r="E119" s="397">
        <f>Data!W562</f>
        <v>9.5299999999999994</v>
      </c>
      <c r="F119" s="398" t="e">
        <f>Data!X562</f>
        <v>#REF!</v>
      </c>
    </row>
    <row r="121" spans="1:6" ht="30">
      <c r="A121" s="396">
        <f>Data!S704</f>
        <v>0</v>
      </c>
      <c r="B121" s="397">
        <f>Data!T704</f>
        <v>0</v>
      </c>
      <c r="C121" s="402" t="str">
        <f>Data!U704</f>
        <v>Standardised concrete Mix M20 Grade Concrete</v>
      </c>
      <c r="D121" s="397">
        <f>Data!V704</f>
        <v>0</v>
      </c>
      <c r="E121" s="397">
        <f>Data!W704</f>
        <v>0</v>
      </c>
      <c r="F121" s="397">
        <f>Data!X704</f>
        <v>0</v>
      </c>
    </row>
    <row r="122" spans="1:6" ht="30">
      <c r="A122" s="396">
        <f>Data!S705</f>
        <v>5</v>
      </c>
      <c r="B122" s="397" t="str">
        <f>Data!T705</f>
        <v>cum</v>
      </c>
      <c r="C122" s="399" t="str">
        <f>Data!U705</f>
        <v>20mm HBG Machine crushed stone jelly    (7730 Kg)</v>
      </c>
      <c r="D122" s="397" t="e">
        <f>Data!V705</f>
        <v>#REF!</v>
      </c>
      <c r="E122" s="397">
        <f>Data!W705</f>
        <v>0</v>
      </c>
      <c r="F122" s="397" t="e">
        <f>Data!X705</f>
        <v>#REF!</v>
      </c>
    </row>
    <row r="123" spans="1:6" ht="30">
      <c r="A123" s="396">
        <f>Data!S706</f>
        <v>3.3</v>
      </c>
      <c r="B123" s="397" t="str">
        <f>Data!T706</f>
        <v>cum</v>
      </c>
      <c r="C123" s="399" t="str">
        <f>Data!U706</f>
        <v>10-12mm HBG Machine crushed stone jelly    (5156 Kg)</v>
      </c>
      <c r="D123" s="397" t="e">
        <f>Data!V706</f>
        <v>#REF!</v>
      </c>
      <c r="E123" s="397">
        <f>Data!W706</f>
        <v>0</v>
      </c>
      <c r="F123" s="397" t="e">
        <f>Data!X706</f>
        <v>#REF!</v>
      </c>
    </row>
    <row r="124" spans="1:6">
      <c r="A124" s="396">
        <f>Data!S707</f>
        <v>4.79</v>
      </c>
      <c r="B124" s="397" t="str">
        <f>Data!T707</f>
        <v>cum</v>
      </c>
      <c r="C124" s="397" t="str">
        <f>Data!U707</f>
        <v>Sand    (7670 Kg)</v>
      </c>
      <c r="D124" s="397" t="e">
        <f>Data!V707</f>
        <v>#REF!</v>
      </c>
      <c r="E124" s="397">
        <f>Data!W707</f>
        <v>0</v>
      </c>
      <c r="F124" s="397" t="e">
        <f>Data!X707</f>
        <v>#REF!</v>
      </c>
    </row>
    <row r="125" spans="1:6">
      <c r="A125" s="396">
        <f>Data!S708</f>
        <v>3.25</v>
      </c>
      <c r="B125" s="397" t="str">
        <f>Data!T708</f>
        <v>MT</v>
      </c>
      <c r="C125" s="397" t="str">
        <f>Data!U708</f>
        <v>Cement</v>
      </c>
      <c r="D125" s="397" t="e">
        <f>Data!V708</f>
        <v>#REF!</v>
      </c>
      <c r="E125" s="397">
        <f>Data!W708</f>
        <v>0</v>
      </c>
      <c r="F125" s="397" t="e">
        <f>Data!X708</f>
        <v>#REF!</v>
      </c>
    </row>
    <row r="126" spans="1:6" ht="30">
      <c r="A126" s="396">
        <f>Data!S709</f>
        <v>19.5</v>
      </c>
      <c r="B126" s="397" t="str">
        <f>Data!T709</f>
        <v>Kg</v>
      </c>
      <c r="C126" s="399" t="str">
        <f>Data!U709</f>
        <v>Plasticiser /Super plasticiser @ .60% of cement (P57 item NO.198</v>
      </c>
      <c r="D126" s="397">
        <f>Data!V709</f>
        <v>43.2</v>
      </c>
      <c r="E126" s="397">
        <f>Data!W709</f>
        <v>0</v>
      </c>
      <c r="F126" s="397">
        <f>Data!X709</f>
        <v>842.4</v>
      </c>
    </row>
    <row r="127" spans="1:6">
      <c r="A127" s="396">
        <f>Data!S710</f>
        <v>3.5</v>
      </c>
      <c r="B127" s="397" t="str">
        <f>Data!T710</f>
        <v>Nos</v>
      </c>
      <c r="C127" s="397" t="str">
        <f>Data!U710</f>
        <v>Mason II</v>
      </c>
      <c r="D127" s="397">
        <f>Data!V710</f>
        <v>932</v>
      </c>
      <c r="E127" s="397">
        <f>Data!W710</f>
        <v>0</v>
      </c>
      <c r="F127" s="397">
        <f>Data!X710</f>
        <v>3262</v>
      </c>
    </row>
    <row r="128" spans="1:6">
      <c r="A128" s="396">
        <f>Data!S711</f>
        <v>21.2</v>
      </c>
      <c r="B128" s="397" t="str">
        <f>Data!T711</f>
        <v>Nos</v>
      </c>
      <c r="C128" s="397" t="str">
        <f>Data!U711</f>
        <v>Maz I</v>
      </c>
      <c r="D128" s="397">
        <f>Data!V711</f>
        <v>651</v>
      </c>
      <c r="E128" s="397">
        <f>Data!W711</f>
        <v>0</v>
      </c>
      <c r="F128" s="397">
        <f>Data!X711</f>
        <v>13801.2</v>
      </c>
    </row>
    <row r="129" spans="1:6">
      <c r="A129" s="396">
        <f>Data!S712</f>
        <v>35.299999999999997</v>
      </c>
      <c r="B129" s="397" t="str">
        <f>Data!T712</f>
        <v>Nos</v>
      </c>
      <c r="C129" s="397" t="str">
        <f>Data!U712</f>
        <v>Maz II</v>
      </c>
      <c r="D129" s="397">
        <f>Data!V712</f>
        <v>534</v>
      </c>
      <c r="E129" s="397">
        <f>Data!W712</f>
        <v>0</v>
      </c>
      <c r="F129" s="397">
        <f>Data!X712</f>
        <v>18850.2</v>
      </c>
    </row>
    <row r="130" spans="1:6">
      <c r="A130" s="396">
        <f>Data!S713</f>
        <v>0</v>
      </c>
      <c r="B130" s="397">
        <f>Data!T713</f>
        <v>0</v>
      </c>
      <c r="C130" s="397" t="str">
        <f>Data!U713</f>
        <v>Total for 10 cum</v>
      </c>
      <c r="D130" s="397">
        <f>Data!V713</f>
        <v>0</v>
      </c>
      <c r="E130" s="397">
        <f>Data!W713</f>
        <v>0</v>
      </c>
      <c r="F130" s="397" t="e">
        <f>Data!X713</f>
        <v>#REF!</v>
      </c>
    </row>
    <row r="131" spans="1:6">
      <c r="A131" s="396">
        <f>Data!S714</f>
        <v>0</v>
      </c>
      <c r="B131" s="397">
        <f>Data!T714</f>
        <v>0</v>
      </c>
      <c r="C131" s="397" t="str">
        <f>Data!U714</f>
        <v>for 1 cum</v>
      </c>
      <c r="D131" s="397">
        <f>Data!V714</f>
        <v>0</v>
      </c>
      <c r="E131" s="397">
        <f>Data!W714</f>
        <v>0</v>
      </c>
      <c r="F131" s="397" t="e">
        <f>Data!X714</f>
        <v>#REF!</v>
      </c>
    </row>
    <row r="132" spans="1:6">
      <c r="A132" s="396">
        <f>Data!S715</f>
        <v>1</v>
      </c>
      <c r="B132" s="397" t="str">
        <f>Data!T715</f>
        <v>cum</v>
      </c>
      <c r="C132" s="397" t="str">
        <f>Data!U715</f>
        <v>Vibrating charges p-28 /103</v>
      </c>
      <c r="D132" s="397">
        <f>Data!V715</f>
        <v>94.2</v>
      </c>
      <c r="E132" s="397">
        <f>Data!W715</f>
        <v>0</v>
      </c>
      <c r="F132" s="397">
        <f>Data!X715</f>
        <v>94.2</v>
      </c>
    </row>
    <row r="133" spans="1:6">
      <c r="A133" s="396">
        <f>Data!S716</f>
        <v>0</v>
      </c>
      <c r="B133" s="397">
        <f>Data!T716</f>
        <v>0</v>
      </c>
      <c r="C133" s="397" t="str">
        <f>Data!U716</f>
        <v>Sub Total</v>
      </c>
      <c r="D133" s="397">
        <f>Data!V716</f>
        <v>0</v>
      </c>
      <c r="E133" s="397">
        <f>Data!W716</f>
        <v>0</v>
      </c>
      <c r="F133" s="397" t="e">
        <f>Data!X716</f>
        <v>#REF!</v>
      </c>
    </row>
    <row r="134" spans="1:6">
      <c r="A134" s="396" t="str">
        <f>Data!S717</f>
        <v>LS</v>
      </c>
      <c r="B134" s="397">
        <f>Data!T717</f>
        <v>0</v>
      </c>
      <c r="C134" s="397" t="str">
        <f>Data!U717</f>
        <v>Add for water charges &amp; other sundries (0.5 % of sub total</v>
      </c>
      <c r="D134" s="397" t="str">
        <f>Data!V717</f>
        <v>LS</v>
      </c>
      <c r="E134" s="397">
        <f>Data!W717</f>
        <v>0</v>
      </c>
      <c r="F134" s="397" t="e">
        <f>Data!X717</f>
        <v>#REF!</v>
      </c>
    </row>
    <row r="135" spans="1:6">
      <c r="A135" s="396">
        <f>Data!S718</f>
        <v>0</v>
      </c>
      <c r="B135" s="397">
        <f>Data!T718</f>
        <v>0</v>
      </c>
      <c r="C135" s="397" t="str">
        <f>Data!U718</f>
        <v>Foundation &amp; Basement</v>
      </c>
      <c r="D135" s="397">
        <f>Data!V718</f>
        <v>0</v>
      </c>
      <c r="E135" s="397">
        <f>Data!W718</f>
        <v>0</v>
      </c>
      <c r="F135" s="397" t="e">
        <f>Data!X718</f>
        <v>#REF!</v>
      </c>
    </row>
    <row r="136" spans="1:6">
      <c r="A136" s="396">
        <f>Data!S719</f>
        <v>0</v>
      </c>
      <c r="B136" s="397">
        <f>Data!T719</f>
        <v>0</v>
      </c>
      <c r="C136" s="397">
        <f>Data!U719</f>
        <v>0</v>
      </c>
      <c r="D136" s="397">
        <f>Data!V719</f>
        <v>0</v>
      </c>
      <c r="E136" s="397">
        <f>Data!W719</f>
        <v>0</v>
      </c>
      <c r="F136" s="397"/>
    </row>
    <row r="137" spans="1:6">
      <c r="A137" s="396">
        <f>Data!S720</f>
        <v>0</v>
      </c>
      <c r="B137" s="397">
        <f>Data!T720</f>
        <v>0</v>
      </c>
      <c r="C137" s="397" t="str">
        <f>Data!U720</f>
        <v>G.F</v>
      </c>
      <c r="D137" s="397">
        <f>Data!V720</f>
        <v>0</v>
      </c>
      <c r="E137" s="397">
        <f>Data!W720</f>
        <v>0</v>
      </c>
      <c r="F137" s="398" t="e">
        <f>Data!X720</f>
        <v>#REF!</v>
      </c>
    </row>
    <row r="138" spans="1:6">
      <c r="A138" s="396">
        <f>Data!S721</f>
        <v>0</v>
      </c>
      <c r="B138" s="397">
        <f>Data!T721</f>
        <v>0</v>
      </c>
      <c r="C138" s="397" t="str">
        <f>Data!U721</f>
        <v>F.F</v>
      </c>
      <c r="D138" s="397">
        <f>Data!V721</f>
        <v>0</v>
      </c>
      <c r="E138" s="397">
        <f>Data!W721</f>
        <v>0</v>
      </c>
      <c r="F138" s="398" t="e">
        <f>Data!X721</f>
        <v>#REF!</v>
      </c>
    </row>
    <row r="139" spans="1:6">
      <c r="A139" s="396">
        <f>Data!S722</f>
        <v>0</v>
      </c>
      <c r="B139" s="397">
        <f>Data!T722</f>
        <v>0</v>
      </c>
      <c r="C139" s="397" t="str">
        <f>Data!U722</f>
        <v>S.F</v>
      </c>
      <c r="D139" s="397">
        <f>Data!V722</f>
        <v>0</v>
      </c>
      <c r="E139" s="397">
        <f>Data!W722</f>
        <v>0</v>
      </c>
      <c r="F139" s="398" t="e">
        <f>Data!X722</f>
        <v>#REF!</v>
      </c>
    </row>
    <row r="140" spans="1:6">
      <c r="A140" s="396">
        <f>Data!S723</f>
        <v>0</v>
      </c>
      <c r="B140" s="397">
        <f>Data!T723</f>
        <v>0</v>
      </c>
      <c r="C140" s="397" t="str">
        <f>Data!U723</f>
        <v>T.F</v>
      </c>
      <c r="D140" s="397">
        <f>Data!V723</f>
        <v>0</v>
      </c>
      <c r="E140" s="397">
        <f>Data!W723</f>
        <v>0</v>
      </c>
      <c r="F140" s="398" t="e">
        <f>Data!X723</f>
        <v>#REF!</v>
      </c>
    </row>
    <row r="142" spans="1:6">
      <c r="A142" s="400" t="str">
        <f>Data!M137</f>
        <v>2.1</v>
      </c>
      <c r="B142" s="398" t="str">
        <f>Data!N137</f>
        <v>*</v>
      </c>
      <c r="C142" s="398" t="str">
        <f>Data!O137</f>
        <v>FILLING IN FOUNDATION AND</v>
      </c>
      <c r="D142" s="397">
        <f>Data!P137</f>
        <v>0</v>
      </c>
      <c r="E142" s="397">
        <f>Data!Q137</f>
        <v>0</v>
      </c>
      <c r="F142" s="397">
        <f>Data!R137</f>
        <v>0</v>
      </c>
    </row>
    <row r="143" spans="1:6">
      <c r="A143" s="400">
        <f>Data!M138</f>
        <v>0</v>
      </c>
      <c r="B143" s="398">
        <f>Data!N138</f>
        <v>0</v>
      </c>
      <c r="C143" s="398" t="str">
        <f>Data!O138</f>
        <v>BASEMENT  WITH  FILLING GRAVEL</v>
      </c>
      <c r="D143" s="397">
        <f>Data!P138</f>
        <v>0</v>
      </c>
      <c r="E143" s="397">
        <f>Data!Q138</f>
        <v>0</v>
      </c>
      <c r="F143" s="397">
        <f>Data!R138</f>
        <v>0</v>
      </c>
    </row>
    <row r="144" spans="1:6">
      <c r="A144" s="396">
        <f>Data!M139</f>
        <v>0</v>
      </c>
      <c r="B144" s="397">
        <f>Data!N139</f>
        <v>0</v>
      </c>
      <c r="C144" s="397"/>
      <c r="D144" s="397">
        <f>Data!P139</f>
        <v>0</v>
      </c>
      <c r="E144" s="397">
        <f>Data!Q139</f>
        <v>0</v>
      </c>
      <c r="F144" s="397">
        <f>Data!R139</f>
        <v>0</v>
      </c>
    </row>
    <row r="145" spans="1:6">
      <c r="A145" s="396">
        <f>Data!M140</f>
        <v>1</v>
      </c>
      <c r="B145" s="397" t="str">
        <f>Data!N140</f>
        <v>CUM</v>
      </c>
      <c r="C145" s="397" t="str">
        <f>Data!O140</f>
        <v>COST OF FILLING GRAVEL</v>
      </c>
      <c r="D145" s="397" t="e">
        <f>Data!P140</f>
        <v>#REF!</v>
      </c>
      <c r="E145" s="397" t="str">
        <f>Data!Q140</f>
        <v>CUM</v>
      </c>
      <c r="F145" s="397" t="e">
        <f>Data!R140</f>
        <v>#REF!</v>
      </c>
    </row>
    <row r="146" spans="1:6">
      <c r="A146" s="396">
        <f>Data!M141</f>
        <v>1</v>
      </c>
      <c r="B146" s="397" t="str">
        <f>Data!N141</f>
        <v>CUM</v>
      </c>
      <c r="C146" s="397" t="str">
        <f>Data!O141</f>
        <v>LABOUR CHARGES FOR FILLING</v>
      </c>
      <c r="D146" s="397">
        <f>Data!P141</f>
        <v>38.950000000000003</v>
      </c>
      <c r="E146" s="397" t="str">
        <f>Data!Q141</f>
        <v>CUM</v>
      </c>
      <c r="F146" s="397">
        <f>Data!R141</f>
        <v>38.950000000000003</v>
      </c>
    </row>
    <row r="147" spans="1:6">
      <c r="A147" s="396">
        <f>Data!M142</f>
        <v>0</v>
      </c>
      <c r="B147" s="397" t="str">
        <f>Data!N142</f>
        <v>L.S</v>
      </c>
      <c r="C147" s="397" t="str">
        <f>Data!O142</f>
        <v>SUNDRIES</v>
      </c>
      <c r="D147" s="397" t="str">
        <f>Data!P142</f>
        <v xml:space="preserve"> </v>
      </c>
      <c r="E147" s="397" t="str">
        <f>Data!Q142</f>
        <v>L.S</v>
      </c>
      <c r="F147" s="397">
        <f>Data!R142</f>
        <v>0</v>
      </c>
    </row>
    <row r="148" spans="1:6">
      <c r="A148" s="396">
        <f>Data!M143</f>
        <v>0</v>
      </c>
      <c r="B148" s="397">
        <f>Data!N143</f>
        <v>0</v>
      </c>
      <c r="C148" s="397">
        <f>Data!O143</f>
        <v>0</v>
      </c>
      <c r="D148" s="397">
        <f>Data!P143</f>
        <v>0</v>
      </c>
      <c r="E148" s="397">
        <f>Data!Q143</f>
        <v>0</v>
      </c>
      <c r="F148" s="397"/>
    </row>
    <row r="149" spans="1:6">
      <c r="A149" s="396">
        <f>Data!M144</f>
        <v>0</v>
      </c>
      <c r="B149" s="397">
        <f>Data!N144</f>
        <v>0</v>
      </c>
      <c r="C149" s="397" t="str">
        <f>Data!O144</f>
        <v>TOTAL FOR 1 CUM</v>
      </c>
      <c r="D149" s="397">
        <f>Data!P144</f>
        <v>0</v>
      </c>
      <c r="E149" s="397">
        <f>Data!Q144</f>
        <v>0</v>
      </c>
      <c r="F149" s="398" t="e">
        <f>Data!R144</f>
        <v>#REF!</v>
      </c>
    </row>
    <row r="150" spans="1:6">
      <c r="A150" s="396"/>
      <c r="B150" s="397"/>
      <c r="C150" s="397"/>
      <c r="D150" s="397"/>
      <c r="E150" s="397"/>
      <c r="F150" s="398"/>
    </row>
    <row r="151" spans="1:6">
      <c r="A151" s="396">
        <f>Data!AB2635</f>
        <v>0</v>
      </c>
      <c r="B151" s="397">
        <f>Data!AC2635</f>
        <v>0</v>
      </c>
      <c r="C151" s="398" t="str">
        <f>Data!AD2635</f>
        <v xml:space="preserve">T.W DOOR SHUTTER TWO LEAVES(1800 X 2100 mm </v>
      </c>
      <c r="D151" s="397"/>
      <c r="E151" s="397"/>
      <c r="F151" s="397">
        <f>Data!AG2635</f>
        <v>0</v>
      </c>
    </row>
    <row r="152" spans="1:6">
      <c r="A152" s="396">
        <f>Data!AB2636</f>
        <v>0</v>
      </c>
      <c r="B152" s="397">
        <f>Data!AC2636</f>
        <v>0</v>
      </c>
      <c r="C152" s="398" t="str">
        <f>Data!AD2636</f>
        <v>With Brass Filltings</v>
      </c>
      <c r="D152" s="397">
        <f>Data!AE2636</f>
        <v>0</v>
      </c>
      <c r="E152" s="397">
        <f>Data!AF2636</f>
        <v>0</v>
      </c>
      <c r="F152" s="397">
        <f>Data!AG2636</f>
        <v>0</v>
      </c>
    </row>
    <row r="153" spans="1:6">
      <c r="A153" s="397" t="str">
        <f>Data!AB2637</f>
        <v xml:space="preserve">SHUTTER AREA      = 2X0.85 X 2.025                         </v>
      </c>
      <c r="B153" s="397"/>
      <c r="C153" s="397"/>
      <c r="D153" s="408">
        <f>Data!AE2637</f>
        <v>3.4424999999999999</v>
      </c>
      <c r="E153" s="397">
        <f>Data!AF2637</f>
        <v>0</v>
      </c>
      <c r="F153" s="397">
        <f>Data!AG2637</f>
        <v>0</v>
      </c>
    </row>
    <row r="154" spans="1:6">
      <c r="A154" s="397" t="str">
        <f>Data!AB2638</f>
        <v>STYLES (OVER 2m) = 2 X 2 X 2.025 X 0.075 X 0.0375         = 0.0228</v>
      </c>
      <c r="B154" s="397"/>
      <c r="C154" s="397"/>
      <c r="D154" s="408">
        <f>Data!AE2638</f>
        <v>2.2800000000000001E-2</v>
      </c>
      <c r="E154" s="397">
        <f>Data!AF2638</f>
        <v>0</v>
      </c>
      <c r="F154" s="397">
        <f>Data!AG2638</f>
        <v>0</v>
      </c>
    </row>
    <row r="155" spans="1:6">
      <c r="A155" s="397" t="str">
        <f>Data!AB2639</f>
        <v xml:space="preserve">RAILS (BELOW 2M) = 2 X 3 X 0.85 X 0.15 X 0.0375          </v>
      </c>
      <c r="B155" s="397"/>
      <c r="C155" s="397"/>
      <c r="D155" s="408">
        <f>Data!AE2639</f>
        <v>2.87E-2</v>
      </c>
      <c r="E155" s="397">
        <f>Data!AF2639</f>
        <v>0</v>
      </c>
      <c r="F155" s="397">
        <f>Data!AG2639</f>
        <v>0</v>
      </c>
    </row>
    <row r="156" spans="1:6">
      <c r="A156" s="396">
        <f>Data!AB2640</f>
        <v>0</v>
      </c>
      <c r="B156" s="397" t="str">
        <f>Data!AC2640</f>
        <v xml:space="preserve">              2X 3 X 0.85 X 0.075 X 0.0375     </v>
      </c>
      <c r="C156" s="397"/>
      <c r="D156" s="408">
        <f>Data!AE2640</f>
        <v>1.43E-2</v>
      </c>
      <c r="E156" s="397">
        <f>Data!AF2640</f>
        <v>0</v>
      </c>
      <c r="F156" s="397">
        <f>Data!AG2640</f>
        <v>0</v>
      </c>
    </row>
    <row r="157" spans="1:6">
      <c r="A157" s="396">
        <f>Data!AB2641</f>
        <v>0</v>
      </c>
      <c r="B157" s="397">
        <f>Data!AC2641</f>
        <v>0</v>
      </c>
      <c r="C157" s="397">
        <f>Data!AD2641</f>
        <v>0</v>
      </c>
      <c r="D157" s="409">
        <f>Data!AE2641</f>
        <v>4.2999999999999997E-2</v>
      </c>
      <c r="E157" s="397">
        <f>Data!AF2641</f>
        <v>0</v>
      </c>
      <c r="F157" s="397">
        <f>Data!AG2641</f>
        <v>0</v>
      </c>
    </row>
    <row r="158" spans="1:6">
      <c r="A158" s="396">
        <f>Data!AB2642</f>
        <v>0</v>
      </c>
      <c r="B158" s="397">
        <f>Data!AC2642</f>
        <v>0</v>
      </c>
      <c r="C158" s="397">
        <f>Data!AD2642</f>
        <v>0</v>
      </c>
      <c r="D158" s="397">
        <f>Data!AE2642</f>
        <v>0</v>
      </c>
      <c r="E158" s="397">
        <f>Data!AF2642</f>
        <v>0</v>
      </c>
      <c r="F158" s="397">
        <f>Data!AG2642</f>
        <v>0</v>
      </c>
    </row>
    <row r="159" spans="1:6">
      <c r="A159" s="396">
        <f>Data!AB2643</f>
        <v>0</v>
      </c>
      <c r="B159" s="397">
        <f>Data!AC2643</f>
        <v>0</v>
      </c>
      <c r="C159" s="397">
        <f>Data!AD2643</f>
        <v>0</v>
      </c>
      <c r="D159" s="397">
        <f>Data!AE2643</f>
        <v>0</v>
      </c>
      <c r="E159" s="397">
        <f>Data!AF2643</f>
        <v>0</v>
      </c>
      <c r="F159" s="397">
        <f>Data!AG2643</f>
        <v>0</v>
      </c>
    </row>
    <row r="160" spans="1:6">
      <c r="A160" s="397" t="str">
        <f>Data!AB2644</f>
        <v xml:space="preserve">PLANKS : 2 X 4 X 0.725 X 0.30 X 0.01875    </v>
      </c>
      <c r="B160" s="397"/>
      <c r="C160" s="397"/>
      <c r="D160" s="408">
        <f>Data!AE2644</f>
        <v>3.2599999999999997E-2</v>
      </c>
      <c r="E160" s="397">
        <f>Data!AF2644</f>
        <v>0</v>
      </c>
      <c r="F160" s="397">
        <f>Data!AG2644</f>
        <v>0</v>
      </c>
    </row>
    <row r="161" spans="1:6">
      <c r="A161" s="397" t="str">
        <f>Data!AB2645</f>
        <v xml:space="preserve">                  2 X 1 X 0.725 X 0.30 X 0.01875    </v>
      </c>
      <c r="B161" s="397"/>
      <c r="C161" s="397"/>
      <c r="D161" s="408">
        <f>Data!AE2645</f>
        <v>8.2000000000000007E-3</v>
      </c>
      <c r="E161" s="397">
        <f>Data!AF2645</f>
        <v>0</v>
      </c>
      <c r="F161" s="397">
        <f>Data!AG2645</f>
        <v>0</v>
      </c>
    </row>
    <row r="162" spans="1:6">
      <c r="A162" s="396">
        <f>Data!AB2646</f>
        <v>0</v>
      </c>
      <c r="B162" s="397">
        <f>Data!AC2646</f>
        <v>0</v>
      </c>
      <c r="C162" s="397">
        <f>Data!AD2646</f>
        <v>0</v>
      </c>
      <c r="D162" s="408">
        <f>Data!AE2646</f>
        <v>4.0800000000000003E-2</v>
      </c>
      <c r="E162" s="397">
        <f>Data!AF2646</f>
        <v>0</v>
      </c>
      <c r="F162" s="397">
        <f>Data!AG2646</f>
        <v>0</v>
      </c>
    </row>
    <row r="163" spans="1:6">
      <c r="A163" s="396">
        <f>Data!AB2647</f>
        <v>0</v>
      </c>
      <c r="B163" s="397">
        <f>Data!AC2647</f>
        <v>0</v>
      </c>
      <c r="C163" s="397" t="str">
        <f>Data!AD2647</f>
        <v>MAIN DATA</v>
      </c>
      <c r="D163" s="397">
        <f>Data!AE2647</f>
        <v>0</v>
      </c>
      <c r="E163" s="397">
        <f>Data!AF2647</f>
        <v>0</v>
      </c>
      <c r="F163" s="397">
        <f>Data!AG2647</f>
        <v>0</v>
      </c>
    </row>
    <row r="164" spans="1:6">
      <c r="A164" s="396">
        <f>Data!AB2648</f>
        <v>0</v>
      </c>
      <c r="B164" s="397">
        <f>Data!AC2648</f>
        <v>0</v>
      </c>
      <c r="C164" s="397">
        <f>Data!AD2648</f>
        <v>0</v>
      </c>
      <c r="D164" s="397">
        <f>Data!AE2648</f>
        <v>0</v>
      </c>
      <c r="E164" s="397">
        <f>Data!AF2648</f>
        <v>0</v>
      </c>
      <c r="F164" s="397">
        <f>Data!AG2648</f>
        <v>0</v>
      </c>
    </row>
    <row r="165" spans="1:6">
      <c r="A165" s="411">
        <f>Data!AB2649</f>
        <v>2.2800000000000001E-2</v>
      </c>
      <c r="B165" s="397" t="str">
        <f>Data!AC2649</f>
        <v>CUM</v>
      </c>
      <c r="C165" s="397" t="str">
        <f>Data!AD2649</f>
        <v>T.W SCANTLING over 2m</v>
      </c>
      <c r="D165" s="397" t="e">
        <f>Data!AE2649</f>
        <v>#REF!</v>
      </c>
      <c r="E165" s="397" t="str">
        <f>Data!AF2649</f>
        <v>CUM</v>
      </c>
      <c r="F165" s="397" t="e">
        <f>Data!AG2649</f>
        <v>#REF!</v>
      </c>
    </row>
    <row r="166" spans="1:6">
      <c r="A166" s="411">
        <f>Data!AB2650</f>
        <v>4.2999999999999997E-2</v>
      </c>
      <c r="B166" s="397" t="str">
        <f>Data!AC2650</f>
        <v>CUM</v>
      </c>
      <c r="C166" s="397" t="str">
        <f>Data!AD2650</f>
        <v>T.W SCANTLING below 2m</v>
      </c>
      <c r="D166" s="397" t="e">
        <f>Data!AE2650</f>
        <v>#REF!</v>
      </c>
      <c r="E166" s="397" t="str">
        <f>Data!AF2650</f>
        <v>CUM</v>
      </c>
      <c r="F166" s="397" t="e">
        <f>Data!AG2650</f>
        <v>#REF!</v>
      </c>
    </row>
    <row r="167" spans="1:6" ht="30">
      <c r="A167" s="411">
        <f>Data!AB2651</f>
        <v>4.0800000000000003E-2</v>
      </c>
      <c r="B167" s="397" t="str">
        <f>Data!AC2651</f>
        <v>CUM</v>
      </c>
      <c r="C167" s="399" t="str">
        <f>Data!AD2651</f>
        <v>T.W PLANKS (30.45 CM) (12 TO 25CM THICK)</v>
      </c>
      <c r="D167" s="397">
        <f>Data!AE2651</f>
        <v>107000</v>
      </c>
      <c r="E167" s="397" t="str">
        <f>Data!AF2651</f>
        <v>CUM</v>
      </c>
      <c r="F167" s="397">
        <f>Data!AG2651</f>
        <v>4365.6000000000004</v>
      </c>
    </row>
    <row r="168" spans="1:6" ht="30">
      <c r="A168" s="411">
        <f>Data!AB2652</f>
        <v>3.4424999999999999</v>
      </c>
      <c r="B168" s="397" t="str">
        <f>Data!AC2652</f>
        <v>SQM</v>
      </c>
      <c r="C168" s="399" t="str">
        <f>Data!AD2652</f>
        <v>LABOUR CHARGES FOR WROUGHT AND PUT UP</v>
      </c>
      <c r="D168" s="397">
        <f>Data!AE2652</f>
        <v>1537</v>
      </c>
      <c r="E168" s="397" t="str">
        <f>Data!AF2652</f>
        <v>SQM</v>
      </c>
      <c r="F168" s="397">
        <f>Data!AG2652</f>
        <v>5291.12</v>
      </c>
    </row>
    <row r="169" spans="1:6">
      <c r="A169" s="396">
        <f>Data!AB2653</f>
        <v>2</v>
      </c>
      <c r="B169" s="397" t="str">
        <f>Data!AC2653</f>
        <v>NOS</v>
      </c>
      <c r="C169" s="397" t="str">
        <f>Data!AD2653</f>
        <v>DOOR HANDLE Mejastic</v>
      </c>
      <c r="D169" s="397">
        <f>Data!AE2653</f>
        <v>450</v>
      </c>
      <c r="E169" s="397" t="str">
        <f>Data!AF2653</f>
        <v>Each</v>
      </c>
      <c r="F169" s="397">
        <f>Data!AG2653</f>
        <v>900</v>
      </c>
    </row>
    <row r="170" spans="1:6">
      <c r="A170" s="396">
        <f>Data!AB2654</f>
        <v>6</v>
      </c>
      <c r="B170" s="397" t="str">
        <f>Data!AC2654</f>
        <v>NOS</v>
      </c>
      <c r="C170" s="397" t="str">
        <f>Data!AD2654</f>
        <v>6" Brass HINGES</v>
      </c>
      <c r="D170" s="397">
        <f>Data!AE2654</f>
        <v>79</v>
      </c>
      <c r="E170" s="397" t="str">
        <f>Data!AF2654</f>
        <v>Each</v>
      </c>
      <c r="F170" s="397">
        <f>Data!AG2654</f>
        <v>474</v>
      </c>
    </row>
    <row r="171" spans="1:6">
      <c r="A171" s="396">
        <f>Data!AB2655</f>
        <v>4</v>
      </c>
      <c r="B171" s="397" t="str">
        <f>Data!AC2655</f>
        <v>NOS</v>
      </c>
      <c r="C171" s="397" t="str">
        <f>Data!AD2655</f>
        <v>8" BRASS TOWER BOLTS</v>
      </c>
      <c r="D171" s="397">
        <f>Data!AE2655</f>
        <v>130</v>
      </c>
      <c r="E171" s="397" t="str">
        <f>Data!AF2655</f>
        <v>Each</v>
      </c>
      <c r="F171" s="397">
        <f>Data!AG2655</f>
        <v>520</v>
      </c>
    </row>
    <row r="172" spans="1:6">
      <c r="A172" s="396">
        <f>Data!AB2656</f>
        <v>1</v>
      </c>
      <c r="B172" s="397" t="str">
        <f>Data!AC2656</f>
        <v>NOS</v>
      </c>
      <c r="C172" s="397" t="str">
        <f>Data!AD2656</f>
        <v>Mortice lock with handle</v>
      </c>
      <c r="D172" s="397">
        <f>Data!AE2656</f>
        <v>985</v>
      </c>
      <c r="E172" s="397" t="str">
        <f>Data!AF2656</f>
        <v>Each</v>
      </c>
      <c r="F172" s="397">
        <f>Data!AG2656</f>
        <v>985</v>
      </c>
    </row>
    <row r="173" spans="1:6">
      <c r="A173" s="396">
        <f>Data!AB2657</f>
        <v>2</v>
      </c>
      <c r="B173" s="397" t="str">
        <f>Data!AC2657</f>
        <v>NOS</v>
      </c>
      <c r="C173" s="397" t="str">
        <f>Data!AD2657</f>
        <v>RUBBER BUSH</v>
      </c>
      <c r="D173" s="397">
        <f>Data!AE2657</f>
        <v>24.6</v>
      </c>
      <c r="E173" s="397" t="str">
        <f>Data!AF2657</f>
        <v>Each</v>
      </c>
      <c r="F173" s="397">
        <f>Data!AG2657</f>
        <v>49.2</v>
      </c>
    </row>
    <row r="174" spans="1:6">
      <c r="A174" s="396">
        <f>Data!AB2658</f>
        <v>2</v>
      </c>
      <c r="B174" s="397" t="str">
        <f>Data!AC2658</f>
        <v>NOS</v>
      </c>
      <c r="C174" s="397" t="str">
        <f>Data!AD2658</f>
        <v>DOOR STOPPER</v>
      </c>
      <c r="D174" s="397">
        <f>Data!AE2658</f>
        <v>49.55</v>
      </c>
      <c r="E174" s="397" t="str">
        <f>Data!AF2658</f>
        <v>Each</v>
      </c>
      <c r="F174" s="397">
        <f>Data!AG2658</f>
        <v>99.1</v>
      </c>
    </row>
    <row r="175" spans="1:6">
      <c r="A175" s="396">
        <f>Data!AB2659</f>
        <v>0</v>
      </c>
      <c r="B175" s="397">
        <f>Data!AC2659</f>
        <v>0</v>
      </c>
      <c r="C175" s="397">
        <f>Data!AD2659</f>
        <v>0</v>
      </c>
      <c r="D175" s="397">
        <f>Data!AE2659</f>
        <v>0</v>
      </c>
      <c r="E175" s="397">
        <f>Data!AF2659</f>
        <v>0</v>
      </c>
      <c r="F175" s="397">
        <f>Data!AG2659</f>
        <v>0</v>
      </c>
    </row>
    <row r="176" spans="1:6">
      <c r="A176" s="396">
        <f>Data!AB2660</f>
        <v>118</v>
      </c>
      <c r="B176" s="397">
        <f>Data!AC2660</f>
        <v>0</v>
      </c>
      <c r="C176" s="397" t="str">
        <f>Data!AD2660</f>
        <v>Brass screw</v>
      </c>
      <c r="D176" s="397">
        <f>Data!AE2660</f>
        <v>2.41</v>
      </c>
      <c r="E176" s="397">
        <f>Data!AF2660</f>
        <v>0</v>
      </c>
      <c r="F176" s="397">
        <f>Data!AG2660</f>
        <v>284.38</v>
      </c>
    </row>
    <row r="177" spans="1:6">
      <c r="A177" s="396">
        <f>Data!AB2661</f>
        <v>0</v>
      </c>
      <c r="B177" s="397">
        <f>Data!AC2661</f>
        <v>0</v>
      </c>
      <c r="C177" s="397" t="str">
        <f>Data!AD2661</f>
        <v>RATE PER SQM</v>
      </c>
      <c r="D177" s="397">
        <f>Data!AE2661</f>
        <v>0</v>
      </c>
      <c r="E177" s="397">
        <f>Data!AF2661</f>
        <v>0</v>
      </c>
      <c r="F177" s="397" t="e">
        <f>Data!AG2661</f>
        <v>#REF!</v>
      </c>
    </row>
    <row r="178" spans="1:6">
      <c r="A178" s="396">
        <f>Data!AB2662</f>
        <v>0</v>
      </c>
      <c r="B178" s="397">
        <f>Data!AC2662</f>
        <v>0</v>
      </c>
      <c r="C178" s="397">
        <f>Data!AD2662</f>
        <v>0</v>
      </c>
      <c r="D178" s="397">
        <f>Data!AE2662</f>
        <v>0</v>
      </c>
      <c r="E178" s="397">
        <f>Data!AF2662</f>
        <v>0</v>
      </c>
      <c r="F178" s="397" t="str">
        <f>Data!AG2662</f>
        <v>============</v>
      </c>
    </row>
    <row r="179" spans="1:6">
      <c r="A179" s="396">
        <f>Data!AB2663</f>
        <v>0</v>
      </c>
      <c r="B179" s="397">
        <f>Data!AC2663</f>
        <v>0</v>
      </c>
      <c r="C179" s="397" t="str">
        <f>Data!AD2663</f>
        <v>RATE FOR 3.443 SQM</v>
      </c>
      <c r="D179" s="397">
        <f>Data!AE2663</f>
        <v>0</v>
      </c>
      <c r="E179" s="397">
        <f>Data!AF2663</f>
        <v>0</v>
      </c>
      <c r="F179" s="398" t="e">
        <f>Data!AG2663</f>
        <v>#REF!</v>
      </c>
    </row>
    <row r="180" spans="1:6">
      <c r="A180" s="396"/>
      <c r="B180" s="397"/>
      <c r="C180" s="397"/>
      <c r="D180" s="397"/>
      <c r="E180" s="397"/>
      <c r="F180" s="398"/>
    </row>
    <row r="181" spans="1:6">
      <c r="A181" s="396">
        <f>Data!M2625</f>
        <v>0</v>
      </c>
      <c r="B181" s="397">
        <f>Data!N2625</f>
        <v>0</v>
      </c>
      <c r="C181" s="397">
        <f>Data!O2625</f>
        <v>0</v>
      </c>
      <c r="D181" s="397">
        <f>Data!P2625</f>
        <v>0</v>
      </c>
      <c r="E181" s="397">
        <f>Data!Q2625</f>
        <v>0</v>
      </c>
      <c r="F181" s="398">
        <f>Data!R2625</f>
        <v>0</v>
      </c>
    </row>
    <row r="182" spans="1:6" ht="30">
      <c r="A182" s="396">
        <f>Data!M2626</f>
        <v>0</v>
      </c>
      <c r="B182" s="397">
        <f>Data!N2626</f>
        <v>0</v>
      </c>
      <c r="C182" s="402" t="str">
        <f>Data!O2626</f>
        <v>T.W DOOR SHUTTER TWO LEAVES(1200 X 2100 mm ) with Brass Fittings</v>
      </c>
      <c r="D182" s="397">
        <f>Data!P2626</f>
        <v>0</v>
      </c>
      <c r="E182" s="397">
        <f>Data!Q2626</f>
        <v>0</v>
      </c>
      <c r="F182" s="398">
        <f>Data!R2626</f>
        <v>0</v>
      </c>
    </row>
    <row r="183" spans="1:6">
      <c r="A183" s="396">
        <f>Data!M2627</f>
        <v>0</v>
      </c>
      <c r="B183" s="397">
        <f>Data!N2627</f>
        <v>0</v>
      </c>
      <c r="C183" s="397">
        <f>Data!O2627</f>
        <v>0</v>
      </c>
      <c r="D183" s="397">
        <f>Data!P2627</f>
        <v>0</v>
      </c>
      <c r="E183" s="397">
        <f>Data!Q2627</f>
        <v>0</v>
      </c>
      <c r="F183" s="398">
        <f>Data!R2627</f>
        <v>0</v>
      </c>
    </row>
    <row r="184" spans="1:6">
      <c r="A184" s="397" t="str">
        <f>Data!M2628</f>
        <v>SHUTTER AREA      = 2X0.55 X 2.025                                    = 2.23 Sqm</v>
      </c>
      <c r="B184" s="397"/>
      <c r="C184" s="397"/>
      <c r="D184" s="397">
        <f>Data!P2628</f>
        <v>0</v>
      </c>
      <c r="E184" s="397">
        <f>Data!Q2628</f>
        <v>0</v>
      </c>
      <c r="F184" s="398">
        <f>Data!R2628</f>
        <v>0</v>
      </c>
    </row>
    <row r="185" spans="1:6">
      <c r="A185" s="397" t="str">
        <f>Data!M2629</f>
        <v>STYLES (OVER 2m) = 2 X 2 X 2.025 X 0.075 X 0.0375         = 0.0228</v>
      </c>
      <c r="B185" s="397"/>
      <c r="C185" s="397"/>
      <c r="D185" s="408">
        <f>Data!P2629</f>
        <v>2.2800000000000001E-2</v>
      </c>
      <c r="E185" s="397">
        <f>Data!Q2629</f>
        <v>0</v>
      </c>
      <c r="F185" s="398">
        <f>Data!R2629</f>
        <v>0</v>
      </c>
    </row>
    <row r="186" spans="1:6">
      <c r="A186" s="1248" t="str">
        <f>Data!M2630</f>
        <v>RAILS (BELOW 2M) = 2 X 3 X 0.55 X 0.15 X 0.0375              =0.0186</v>
      </c>
      <c r="B186" s="1248"/>
      <c r="C186" s="1248"/>
      <c r="D186" s="408">
        <f>Data!P2630</f>
        <v>1.8599999999999998E-2</v>
      </c>
      <c r="E186" s="397">
        <f>Data!Q2630</f>
        <v>0</v>
      </c>
      <c r="F186" s="398">
        <f>Data!R2630</f>
        <v>0</v>
      </c>
    </row>
    <row r="187" spans="1:6">
      <c r="A187" s="396">
        <f>Data!M2631</f>
        <v>0</v>
      </c>
      <c r="B187" s="1248" t="str">
        <f>Data!N2631</f>
        <v xml:space="preserve">              2X 3 X 0.55 X 0.075 X 0.0375           = 0.0093</v>
      </c>
      <c r="C187" s="1248"/>
      <c r="D187" s="408">
        <f>Data!P2631</f>
        <v>9.2999999999999992E-3</v>
      </c>
      <c r="E187" s="397">
        <f>Data!Q2631</f>
        <v>0</v>
      </c>
      <c r="F187" s="398">
        <f>Data!R2631</f>
        <v>0</v>
      </c>
    </row>
    <row r="188" spans="1:6">
      <c r="A188" s="396">
        <f>Data!M2632</f>
        <v>0</v>
      </c>
      <c r="B188" s="397">
        <f>Data!N2632</f>
        <v>0</v>
      </c>
      <c r="C188" s="397">
        <f>Data!O2632</f>
        <v>0</v>
      </c>
      <c r="D188" s="408">
        <f>Data!P2632</f>
        <v>2.7900000000000001E-2</v>
      </c>
      <c r="E188" s="397">
        <f>Data!Q2632</f>
        <v>0</v>
      </c>
      <c r="F188" s="398">
        <f>Data!R2632</f>
        <v>0</v>
      </c>
    </row>
    <row r="189" spans="1:6">
      <c r="A189" s="396">
        <f>Data!M2633</f>
        <v>0</v>
      </c>
      <c r="B189" s="397">
        <f>Data!N2633</f>
        <v>0</v>
      </c>
      <c r="C189" s="397">
        <f>Data!O2633</f>
        <v>0</v>
      </c>
      <c r="D189" s="408">
        <f>Data!P2633</f>
        <v>0</v>
      </c>
      <c r="E189" s="397">
        <f>Data!Q2633</f>
        <v>0</v>
      </c>
      <c r="F189" s="398">
        <f>Data!R2633</f>
        <v>0</v>
      </c>
    </row>
    <row r="190" spans="1:6">
      <c r="A190" s="396">
        <f>Data!M2634</f>
        <v>0</v>
      </c>
      <c r="B190" s="397">
        <f>Data!N2634</f>
        <v>0</v>
      </c>
      <c r="C190" s="397">
        <f>Data!O2634</f>
        <v>0</v>
      </c>
      <c r="D190" s="408">
        <f>Data!P2634</f>
        <v>0</v>
      </c>
      <c r="E190" s="397">
        <f>Data!Q2634</f>
        <v>0</v>
      </c>
      <c r="F190" s="398">
        <f>Data!R2634</f>
        <v>0</v>
      </c>
    </row>
    <row r="191" spans="1:6">
      <c r="A191" s="1248" t="str">
        <f>Data!M2635</f>
        <v>PLANKS : 2 X 4 X 0.425 X 0.30 X 0.01875     = 0.019</v>
      </c>
      <c r="B191" s="1248"/>
      <c r="C191" s="1248"/>
      <c r="D191" s="408">
        <f>Data!P2635</f>
        <v>1.9E-2</v>
      </c>
      <c r="E191" s="397">
        <f>Data!Q2635</f>
        <v>0</v>
      </c>
      <c r="F191" s="398">
        <f>Data!R2635</f>
        <v>0</v>
      </c>
    </row>
    <row r="192" spans="1:6">
      <c r="A192" s="1248" t="str">
        <f>Data!M2636</f>
        <v xml:space="preserve">                  2 X 1 X 0.425 X 0.30 X 0.01875     = 0.0048</v>
      </c>
      <c r="B192" s="1248"/>
      <c r="C192" s="1248"/>
      <c r="D192" s="408">
        <f>Data!P2636</f>
        <v>4.7999999999999996E-3</v>
      </c>
      <c r="E192" s="397">
        <f>Data!Q2636</f>
        <v>0</v>
      </c>
      <c r="F192" s="398">
        <f>Data!R2636</f>
        <v>0</v>
      </c>
    </row>
    <row r="193" spans="1:6">
      <c r="A193" s="396">
        <f>Data!M2637</f>
        <v>0</v>
      </c>
      <c r="B193" s="397">
        <f>Data!N2637</f>
        <v>0</v>
      </c>
      <c r="C193" s="397">
        <f>Data!O2637</f>
        <v>0</v>
      </c>
      <c r="D193" s="408">
        <f>Data!P2637</f>
        <v>2.3800000000000002E-2</v>
      </c>
      <c r="E193" s="397">
        <f>Data!Q2637</f>
        <v>0</v>
      </c>
      <c r="F193" s="398">
        <f>Data!R2637</f>
        <v>0</v>
      </c>
    </row>
    <row r="194" spans="1:6">
      <c r="A194" s="396">
        <f>Data!M2638</f>
        <v>0</v>
      </c>
      <c r="B194" s="397">
        <f>Data!N2638</f>
        <v>0</v>
      </c>
      <c r="C194" s="397" t="str">
        <f>Data!O2638</f>
        <v>MAIN DATA</v>
      </c>
      <c r="D194" s="397">
        <f>Data!P2638</f>
        <v>0</v>
      </c>
      <c r="E194" s="397">
        <f>Data!Q2638</f>
        <v>0</v>
      </c>
      <c r="F194" s="398">
        <f>Data!R2638</f>
        <v>0</v>
      </c>
    </row>
    <row r="195" spans="1:6">
      <c r="A195" s="396">
        <f>Data!M2639</f>
        <v>0</v>
      </c>
      <c r="B195" s="397">
        <f>Data!N2639</f>
        <v>0</v>
      </c>
      <c r="C195" s="397">
        <f>Data!O2639</f>
        <v>0</v>
      </c>
      <c r="D195" s="397">
        <f>Data!P2639</f>
        <v>0</v>
      </c>
      <c r="E195" s="397">
        <f>Data!Q2639</f>
        <v>0</v>
      </c>
      <c r="F195" s="398">
        <f>Data!R2639</f>
        <v>0</v>
      </c>
    </row>
    <row r="196" spans="1:6">
      <c r="A196" s="411">
        <f>Data!M2640</f>
        <v>2.2800000000000001E-2</v>
      </c>
      <c r="B196" s="397" t="str">
        <f>Data!N2640</f>
        <v>CUM</v>
      </c>
      <c r="C196" s="397" t="str">
        <f>Data!O2640</f>
        <v>T.W SCANTLING over 2m</v>
      </c>
      <c r="D196" s="397" t="e">
        <f>Data!P2640</f>
        <v>#REF!</v>
      </c>
      <c r="E196" s="397" t="str">
        <f>Data!Q2640</f>
        <v>CUM</v>
      </c>
      <c r="F196" s="397" t="e">
        <f>Data!R2640</f>
        <v>#REF!</v>
      </c>
    </row>
    <row r="197" spans="1:6">
      <c r="A197" s="411">
        <f>Data!M2641</f>
        <v>2.7900000000000001E-2</v>
      </c>
      <c r="B197" s="397" t="str">
        <f>Data!N2641</f>
        <v>CUM</v>
      </c>
      <c r="C197" s="397" t="str">
        <f>Data!O2641</f>
        <v>T.W SCANTLING below 2m</v>
      </c>
      <c r="D197" s="397" t="e">
        <f>Data!P2641</f>
        <v>#REF!</v>
      </c>
      <c r="E197" s="397" t="str">
        <f>Data!Q2641</f>
        <v>CUM</v>
      </c>
      <c r="F197" s="397" t="e">
        <f>Data!R2641</f>
        <v>#REF!</v>
      </c>
    </row>
    <row r="198" spans="1:6" ht="30">
      <c r="A198" s="411">
        <f>Data!M2642</f>
        <v>2.3800000000000002E-2</v>
      </c>
      <c r="B198" s="397" t="str">
        <f>Data!N2642</f>
        <v>CUM</v>
      </c>
      <c r="C198" s="399" t="str">
        <f>Data!O2642</f>
        <v>T.W PLANKS (30.45 CM) (12 TO 25CM THICK)</v>
      </c>
      <c r="D198" s="397">
        <f>Data!P2642</f>
        <v>107000</v>
      </c>
      <c r="E198" s="397" t="str">
        <f>Data!Q2642</f>
        <v>CUM</v>
      </c>
      <c r="F198" s="397">
        <f>Data!R2642</f>
        <v>2546.6</v>
      </c>
    </row>
    <row r="199" spans="1:6" ht="30">
      <c r="A199" s="410">
        <f>Data!M2643</f>
        <v>2.23</v>
      </c>
      <c r="B199" s="397" t="str">
        <f>Data!N2643</f>
        <v>SQM</v>
      </c>
      <c r="C199" s="399" t="str">
        <f>Data!O2643</f>
        <v>LABOUR CHARGES FOR WROUGHT AND PUT UP</v>
      </c>
      <c r="D199" s="397">
        <f>Data!P2643</f>
        <v>1537</v>
      </c>
      <c r="E199" s="397" t="str">
        <f>Data!Q2643</f>
        <v>SQM</v>
      </c>
      <c r="F199" s="397">
        <f>Data!R2643</f>
        <v>3427.51</v>
      </c>
    </row>
    <row r="200" spans="1:6">
      <c r="A200" s="396">
        <f>Data!M2644</f>
        <v>2</v>
      </c>
      <c r="B200" s="397" t="str">
        <f>Data!N2644</f>
        <v>NOS</v>
      </c>
      <c r="C200" s="397" t="str">
        <f>Data!O2644</f>
        <v>DOOR HANDLE Mejastic</v>
      </c>
      <c r="D200" s="397">
        <f>Data!P2644</f>
        <v>254.5</v>
      </c>
      <c r="E200" s="397" t="str">
        <f>Data!Q2644</f>
        <v>Each</v>
      </c>
      <c r="F200" s="397">
        <f>Data!R2644</f>
        <v>509</v>
      </c>
    </row>
    <row r="201" spans="1:6">
      <c r="A201" s="396">
        <f>Data!M2645</f>
        <v>6</v>
      </c>
      <c r="B201" s="397" t="str">
        <f>Data!N2645</f>
        <v>NOS</v>
      </c>
      <c r="C201" s="397" t="str">
        <f>Data!O2645</f>
        <v>6" Brass HINGES</v>
      </c>
      <c r="D201" s="397">
        <f>Data!P2645</f>
        <v>214.1</v>
      </c>
      <c r="E201" s="397" t="str">
        <f>Data!Q2645</f>
        <v>Each</v>
      </c>
      <c r="F201" s="397">
        <f>Data!R2645</f>
        <v>1284.5999999999999</v>
      </c>
    </row>
    <row r="202" spans="1:6">
      <c r="A202" s="396">
        <f>Data!M2646</f>
        <v>4</v>
      </c>
      <c r="B202" s="397" t="str">
        <f>Data!N2646</f>
        <v>NOS</v>
      </c>
      <c r="C202" s="397" t="str">
        <f>Data!O2646</f>
        <v>8" BRASS TOWER BOLTS</v>
      </c>
      <c r="D202" s="397">
        <f>Data!P2646</f>
        <v>408</v>
      </c>
      <c r="E202" s="397" t="str">
        <f>Data!Q2646</f>
        <v>Each</v>
      </c>
      <c r="F202" s="397">
        <f>Data!R2646</f>
        <v>1632</v>
      </c>
    </row>
    <row r="203" spans="1:6">
      <c r="A203" s="396">
        <f>Data!M2647</f>
        <v>1</v>
      </c>
      <c r="B203" s="397" t="str">
        <f>Data!N2647</f>
        <v>NOS</v>
      </c>
      <c r="C203" s="397" t="str">
        <f>Data!O2647</f>
        <v>Mortice lock with handle</v>
      </c>
      <c r="D203" s="397">
        <f>Data!P2647</f>
        <v>836</v>
      </c>
      <c r="E203" s="397" t="str">
        <f>Data!Q2647</f>
        <v>Each</v>
      </c>
      <c r="F203" s="397">
        <f>Data!R2647</f>
        <v>836</v>
      </c>
    </row>
    <row r="204" spans="1:6">
      <c r="A204" s="396">
        <f>Data!M2648</f>
        <v>2</v>
      </c>
      <c r="B204" s="397" t="str">
        <f>Data!N2648</f>
        <v>NOS</v>
      </c>
      <c r="C204" s="397" t="str">
        <f>Data!O2648</f>
        <v>NYLON BUSH</v>
      </c>
      <c r="D204" s="397">
        <f>Data!P2648</f>
        <v>7.3</v>
      </c>
      <c r="E204" s="397" t="str">
        <f>Data!Q2648</f>
        <v>Each</v>
      </c>
      <c r="F204" s="397">
        <f>Data!R2648</f>
        <v>14.6</v>
      </c>
    </row>
    <row r="205" spans="1:6">
      <c r="A205" s="396">
        <f>Data!M2649</f>
        <v>2</v>
      </c>
      <c r="B205" s="397" t="str">
        <f>Data!N2649</f>
        <v>NOS</v>
      </c>
      <c r="C205" s="397" t="str">
        <f>Data!O2649</f>
        <v>DOOR STOPPER</v>
      </c>
      <c r="D205" s="397">
        <f>Data!P2649</f>
        <v>49.55</v>
      </c>
      <c r="E205" s="397" t="str">
        <f>Data!Q2649</f>
        <v>Each</v>
      </c>
      <c r="F205" s="397">
        <f>Data!R2649</f>
        <v>99.1</v>
      </c>
    </row>
    <row r="206" spans="1:6">
      <c r="A206" s="396">
        <f>Data!M2650</f>
        <v>118</v>
      </c>
      <c r="B206" s="397">
        <f>Data!N2650</f>
        <v>0</v>
      </c>
      <c r="C206" s="397" t="str">
        <f>Data!O2650</f>
        <v>Brass screw</v>
      </c>
      <c r="D206" s="397">
        <f>Data!P2650</f>
        <v>2.41</v>
      </c>
      <c r="E206" s="397">
        <f>Data!Q2650</f>
        <v>0</v>
      </c>
      <c r="F206" s="397">
        <f>Data!R2650</f>
        <v>284.38</v>
      </c>
    </row>
    <row r="207" spans="1:6">
      <c r="A207" s="396">
        <f>Data!M2651</f>
        <v>0</v>
      </c>
      <c r="B207" s="397">
        <f>Data!N2651</f>
        <v>0</v>
      </c>
      <c r="C207" s="397">
        <f>Data!O2651</f>
        <v>0</v>
      </c>
      <c r="D207" s="397">
        <f>Data!P2651</f>
        <v>0</v>
      </c>
      <c r="E207" s="397">
        <f>Data!Q2651</f>
        <v>0</v>
      </c>
      <c r="F207" s="397" t="str">
        <f>Data!R2651</f>
        <v>============</v>
      </c>
    </row>
    <row r="208" spans="1:6">
      <c r="A208" s="396">
        <f>Data!M2652</f>
        <v>0</v>
      </c>
      <c r="B208" s="397">
        <f>Data!N2652</f>
        <v>0</v>
      </c>
      <c r="C208" s="397" t="str">
        <f>Data!O2652</f>
        <v>RATE PER SQM</v>
      </c>
      <c r="D208" s="397">
        <f>Data!P2652</f>
        <v>0</v>
      </c>
      <c r="E208" s="397">
        <f>Data!Q2652</f>
        <v>0</v>
      </c>
      <c r="F208" s="397" t="e">
        <f>Data!R2652</f>
        <v>#REF!</v>
      </c>
    </row>
    <row r="209" spans="1:6">
      <c r="A209" s="396">
        <f>Data!M2653</f>
        <v>0</v>
      </c>
      <c r="B209" s="397">
        <f>Data!N2653</f>
        <v>0</v>
      </c>
      <c r="C209" s="397">
        <f>Data!O2653</f>
        <v>0</v>
      </c>
      <c r="D209" s="397">
        <f>Data!P2653</f>
        <v>0</v>
      </c>
      <c r="E209" s="397">
        <f>Data!Q2653</f>
        <v>0</v>
      </c>
      <c r="F209" s="397" t="str">
        <f>Data!R2653</f>
        <v>============</v>
      </c>
    </row>
    <row r="210" spans="1:6">
      <c r="A210" s="396">
        <f>Data!M2654</f>
        <v>0</v>
      </c>
      <c r="B210" s="397">
        <f>Data!N2654</f>
        <v>0</v>
      </c>
      <c r="C210" s="397" t="str">
        <f>Data!O2654</f>
        <v>RATE FOR 2.23 SQM</v>
      </c>
      <c r="D210" s="397">
        <f>Data!P2654</f>
        <v>0</v>
      </c>
      <c r="E210" s="397">
        <f>Data!Q2654</f>
        <v>0</v>
      </c>
      <c r="F210" s="398" t="e">
        <f>Data!R2654</f>
        <v>#REF!</v>
      </c>
    </row>
    <row r="211" spans="1:6">
      <c r="A211" s="396">
        <f>Data!M2655</f>
        <v>0</v>
      </c>
      <c r="B211" s="397">
        <f>Data!N2655</f>
        <v>0</v>
      </c>
      <c r="C211" s="397">
        <f>Data!O2655</f>
        <v>0</v>
      </c>
      <c r="D211" s="397">
        <f>Data!P2655</f>
        <v>0</v>
      </c>
      <c r="E211" s="397">
        <f>Data!Q2655</f>
        <v>0</v>
      </c>
      <c r="F211" s="397" t="str">
        <f>Data!R2655</f>
        <v>============</v>
      </c>
    </row>
    <row r="212" spans="1:6">
      <c r="A212" s="396"/>
      <c r="B212" s="397"/>
      <c r="C212" s="397"/>
      <c r="D212" s="397"/>
      <c r="E212" s="397"/>
      <c r="F212" s="398"/>
    </row>
    <row r="213" spans="1:6">
      <c r="A213" s="400" t="str">
        <f>Data!M1062</f>
        <v>(a)</v>
      </c>
      <c r="B213" s="398">
        <f>Data!N1062</f>
        <v>0</v>
      </c>
      <c r="C213" s="398" t="str">
        <f>Data!O1062</f>
        <v>DOOR OF SIZE 1000 X2100 MM</v>
      </c>
      <c r="D213" s="397">
        <f>Data!P1062</f>
        <v>0</v>
      </c>
      <c r="E213" s="397">
        <f>Data!Q1062</f>
        <v>0</v>
      </c>
      <c r="F213" s="397" t="str">
        <f>Data!R1062</f>
        <v xml:space="preserve"> </v>
      </c>
    </row>
    <row r="214" spans="1:6">
      <c r="A214" s="396">
        <f>Data!M1063</f>
        <v>0</v>
      </c>
      <c r="B214" s="397">
        <f>Data!N1063</f>
        <v>0</v>
      </c>
      <c r="C214" s="397"/>
      <c r="D214" s="397">
        <f>Data!P1063</f>
        <v>0</v>
      </c>
      <c r="E214" s="397">
        <f>Data!Q1063</f>
        <v>0</v>
      </c>
      <c r="F214" s="397">
        <f>Data!R1063</f>
        <v>0</v>
      </c>
    </row>
    <row r="215" spans="1:6">
      <c r="A215" s="396">
        <f>Data!M1064</f>
        <v>0.01</v>
      </c>
      <c r="B215" s="397" t="str">
        <f>Data!N1064</f>
        <v>CUM</v>
      </c>
      <c r="C215" s="397" t="str">
        <f>Data!O1064</f>
        <v>T.W.SCANTLING above 2M length</v>
      </c>
      <c r="D215" s="397" t="e">
        <f>Data!P1064</f>
        <v>#REF!</v>
      </c>
      <c r="E215" s="397" t="str">
        <f>Data!Q1064</f>
        <v>CUM</v>
      </c>
      <c r="F215" s="397" t="e">
        <f>Data!R1064</f>
        <v>#REF!</v>
      </c>
    </row>
    <row r="216" spans="1:6">
      <c r="A216" s="396">
        <f>Data!M1065</f>
        <v>0.02</v>
      </c>
      <c r="B216" s="397" t="str">
        <f>Data!N1065</f>
        <v>CUM</v>
      </c>
      <c r="C216" s="397" t="str">
        <f>Data!O1065</f>
        <v>T.W.SCANTLING below 2M length</v>
      </c>
      <c r="D216" s="397" t="e">
        <f>Data!P1065</f>
        <v>#REF!</v>
      </c>
      <c r="E216" s="397" t="str">
        <f>Data!Q1065</f>
        <v>CUM</v>
      </c>
      <c r="F216" s="397" t="e">
        <f>Data!R1065</f>
        <v>#REF!</v>
      </c>
    </row>
    <row r="217" spans="1:6">
      <c r="A217" s="396">
        <f>Data!M1066</f>
        <v>1.26</v>
      </c>
      <c r="B217" s="397" t="str">
        <f>Data!N1066</f>
        <v>SQM</v>
      </c>
      <c r="C217" s="397" t="str">
        <f>Data!O1066</f>
        <v>Phenol bonded BWR Plywood 9mm</v>
      </c>
      <c r="D217" s="397">
        <f>Data!P1066</f>
        <v>387.4</v>
      </c>
      <c r="E217" s="397" t="str">
        <f>Data!Q1066</f>
        <v>SQM</v>
      </c>
      <c r="F217" s="397">
        <f>Data!R1066</f>
        <v>488.12</v>
      </c>
    </row>
    <row r="218" spans="1:6">
      <c r="A218" s="396">
        <f>Data!M1067</f>
        <v>1.85</v>
      </c>
      <c r="B218" s="397" t="str">
        <f>Data!N1067</f>
        <v>SQM</v>
      </c>
      <c r="C218" s="397" t="str">
        <f>Data!O1067</f>
        <v>LABOUR CHARGE</v>
      </c>
      <c r="D218" s="397">
        <f>Data!P1067</f>
        <v>1281</v>
      </c>
      <c r="E218" s="397" t="str">
        <f>Data!Q1067</f>
        <v>SQM</v>
      </c>
      <c r="F218" s="397">
        <f>Data!R1067</f>
        <v>2363.4499999999998</v>
      </c>
    </row>
    <row r="219" spans="1:6">
      <c r="A219" s="396">
        <f>Data!M1068</f>
        <v>2</v>
      </c>
      <c r="B219" s="397" t="str">
        <f>Data!N1068</f>
        <v>NO.</v>
      </c>
      <c r="C219" s="397" t="str">
        <f>Data!O1068</f>
        <v xml:space="preserve"> 6"X1/2"ALU.TOWER BOLT</v>
      </c>
      <c r="D219" s="397">
        <f>Data!P1068</f>
        <v>64.8</v>
      </c>
      <c r="E219" s="397" t="str">
        <f>Data!Q1068</f>
        <v>NO.</v>
      </c>
      <c r="F219" s="397">
        <f>Data!R1068</f>
        <v>129.6</v>
      </c>
    </row>
    <row r="220" spans="1:6">
      <c r="A220" s="396">
        <f>Data!M1069</f>
        <v>3</v>
      </c>
      <c r="B220" s="397" t="str">
        <f>Data!N1069</f>
        <v>NO.</v>
      </c>
      <c r="C220" s="397" t="str">
        <f>Data!O1069</f>
        <v xml:space="preserve"> 5" ALU BUTT HINGES</v>
      </c>
      <c r="D220" s="397">
        <f>Data!P1069</f>
        <v>89.6</v>
      </c>
      <c r="E220" s="397" t="str">
        <f>Data!Q1069</f>
        <v>NO.</v>
      </c>
      <c r="F220" s="397">
        <f>Data!R1069</f>
        <v>268.8</v>
      </c>
    </row>
    <row r="221" spans="1:6">
      <c r="A221" s="396">
        <f>Data!M1070</f>
        <v>1</v>
      </c>
      <c r="B221" s="397" t="str">
        <f>Data!N1070</f>
        <v>NO.</v>
      </c>
      <c r="C221" s="397" t="str">
        <f>Data!O1070</f>
        <v xml:space="preserve"> 10"X5/8" ALU. ALDROP</v>
      </c>
      <c r="D221" s="397">
        <f>Data!P1070</f>
        <v>181</v>
      </c>
      <c r="E221" s="397" t="str">
        <f>Data!Q1070</f>
        <v>NO.</v>
      </c>
      <c r="F221" s="397">
        <f>Data!R1070</f>
        <v>181</v>
      </c>
    </row>
    <row r="222" spans="1:6">
      <c r="A222" s="396">
        <f>Data!M1071</f>
        <v>1</v>
      </c>
      <c r="B222" s="397" t="str">
        <f>Data!N1071</f>
        <v>NO.</v>
      </c>
      <c r="C222" s="397" t="str">
        <f>Data!O1071</f>
        <v>NYLON BUSH</v>
      </c>
      <c r="D222" s="397">
        <f>Data!P1071</f>
        <v>7.3</v>
      </c>
      <c r="E222" s="397" t="str">
        <f>Data!Q1071</f>
        <v>NO.</v>
      </c>
      <c r="F222" s="397">
        <f>Data!R1071</f>
        <v>7.3</v>
      </c>
    </row>
    <row r="223" spans="1:6">
      <c r="A223" s="396">
        <f>Data!M1072</f>
        <v>1</v>
      </c>
      <c r="B223" s="397" t="str">
        <f>Data!N1072</f>
        <v>NO.</v>
      </c>
      <c r="C223" s="397" t="str">
        <f>Data!O1072</f>
        <v>ALU.HANDLE WITH C.P.SCREWS 6"</v>
      </c>
      <c r="D223" s="397">
        <f>Data!P1072</f>
        <v>57.65</v>
      </c>
      <c r="E223" s="397" t="str">
        <f>Data!Q1072</f>
        <v>NO.</v>
      </c>
      <c r="F223" s="397">
        <f>Data!R1072</f>
        <v>57.65</v>
      </c>
    </row>
    <row r="224" spans="1:6">
      <c r="A224" s="396">
        <f>Data!M1073</f>
        <v>1</v>
      </c>
      <c r="B224" s="397" t="str">
        <f>Data!N1073</f>
        <v>NO.</v>
      </c>
      <c r="C224" s="397" t="str">
        <f>Data!O1073</f>
        <v>DOOR STOPPER</v>
      </c>
      <c r="D224" s="397">
        <f>Data!P1073</f>
        <v>49.55</v>
      </c>
      <c r="E224" s="397" t="str">
        <f>Data!Q1073</f>
        <v>NO.</v>
      </c>
      <c r="F224" s="397">
        <f>Data!R1073</f>
        <v>49.55</v>
      </c>
    </row>
    <row r="225" spans="1:6">
      <c r="A225" s="396">
        <f>Data!M1074</f>
        <v>58</v>
      </c>
      <c r="B225" s="397">
        <f>Data!N1074</f>
        <v>0</v>
      </c>
      <c r="C225" s="397" t="str">
        <f>Data!O1074</f>
        <v>brass screws</v>
      </c>
      <c r="D225" s="397">
        <f>Data!P1074</f>
        <v>2.41</v>
      </c>
      <c r="E225" s="397">
        <f>Data!Q1074</f>
        <v>0</v>
      </c>
      <c r="F225" s="397">
        <f>Data!R1074</f>
        <v>139.78</v>
      </c>
    </row>
    <row r="226" spans="1:6">
      <c r="A226" s="396">
        <f>Data!M1075</f>
        <v>0</v>
      </c>
      <c r="B226" s="397">
        <f>Data!N1075</f>
        <v>0</v>
      </c>
      <c r="C226" s="397" t="str">
        <f>Data!O1075</f>
        <v>TOTAL FOR 1.845SQM</v>
      </c>
      <c r="D226" s="397">
        <f>Data!P1075</f>
        <v>0</v>
      </c>
      <c r="E226" s="397">
        <f>Data!Q1075</f>
        <v>0</v>
      </c>
      <c r="F226" s="397" t="e">
        <f>Data!R1075</f>
        <v>#REF!</v>
      </c>
    </row>
    <row r="227" spans="1:6">
      <c r="A227" s="396">
        <f>Data!M1076</f>
        <v>0</v>
      </c>
      <c r="B227" s="397" t="str">
        <f>Data!N1076</f>
        <v xml:space="preserve"> </v>
      </c>
      <c r="C227" s="397">
        <f>Data!O1076</f>
        <v>0</v>
      </c>
      <c r="D227" s="397">
        <f>Data!P1076</f>
        <v>0</v>
      </c>
      <c r="E227" s="397">
        <f>Data!Q1076</f>
        <v>0</v>
      </c>
      <c r="F227" s="397"/>
    </row>
    <row r="228" spans="1:6">
      <c r="A228" s="396">
        <f>Data!M1077</f>
        <v>0</v>
      </c>
      <c r="B228" s="397">
        <f>Data!N1077</f>
        <v>0</v>
      </c>
      <c r="C228" s="397" t="str">
        <f>Data!O1077</f>
        <v>RATE PER SQM</v>
      </c>
      <c r="D228" s="397">
        <f>Data!P1077</f>
        <v>0</v>
      </c>
      <c r="E228" s="397">
        <f>Data!Q1077</f>
        <v>0</v>
      </c>
      <c r="F228" s="398" t="e">
        <f>Data!R1077</f>
        <v>#REF!</v>
      </c>
    </row>
    <row r="229" spans="1:6">
      <c r="A229" s="396">
        <f>Data!M1078</f>
        <v>0</v>
      </c>
      <c r="B229" s="397">
        <f>Data!N1078</f>
        <v>0</v>
      </c>
      <c r="C229" s="397">
        <f>Data!O1078</f>
        <v>0</v>
      </c>
      <c r="D229" s="397">
        <f>Data!P1078</f>
        <v>0</v>
      </c>
      <c r="E229" s="397">
        <f>Data!Q1078</f>
        <v>0</v>
      </c>
      <c r="F229" s="397"/>
    </row>
    <row r="230" spans="1:6" ht="30">
      <c r="A230" s="396"/>
      <c r="B230" s="397">
        <f>Data!A704</f>
        <v>0</v>
      </c>
      <c r="C230" s="402" t="str">
        <f>Data!B704</f>
        <v>Solid panel PVC door with frame (Rajeshree) p-43 it-125a</v>
      </c>
      <c r="D230" s="398">
        <f>Data!C704</f>
        <v>3325</v>
      </c>
      <c r="E230" s="398" t="str">
        <f>Data!D704</f>
        <v>SQM</v>
      </c>
      <c r="F230" s="398"/>
    </row>
    <row r="231" spans="1:6">
      <c r="A231" s="396"/>
      <c r="B231" s="397"/>
      <c r="C231" s="397"/>
      <c r="D231" s="397"/>
      <c r="E231" s="397"/>
      <c r="F231" s="398"/>
    </row>
    <row r="232" spans="1:6">
      <c r="A232" s="396">
        <f>Data!M3555</f>
        <v>0</v>
      </c>
      <c r="B232" s="397" t="str">
        <f>Data!N3555</f>
        <v>*</v>
      </c>
      <c r="C232" s="398" t="str">
        <f>Data!O3555</f>
        <v>SUPPLYING AND FIXING</v>
      </c>
      <c r="D232" s="397">
        <f>Data!P3555</f>
        <v>0</v>
      </c>
      <c r="E232" s="397">
        <f>Data!Q3555</f>
        <v>0</v>
      </c>
      <c r="F232" s="398">
        <f>Data!R3555</f>
        <v>0</v>
      </c>
    </row>
    <row r="233" spans="1:6">
      <c r="A233" s="396">
        <f>Data!M3556</f>
        <v>0</v>
      </c>
      <c r="B233" s="397">
        <f>Data!N3556</f>
        <v>0</v>
      </c>
      <c r="C233" s="398" t="str">
        <f>Data!O3556</f>
        <v>WASHBASIN (White Pedastal type)  22"X16" INCLUDING</v>
      </c>
      <c r="D233" s="398"/>
      <c r="E233" s="398"/>
      <c r="F233" s="398">
        <f>Data!R3556</f>
        <v>0</v>
      </c>
    </row>
    <row r="234" spans="1:6">
      <c r="A234" s="396">
        <f>Data!M3557</f>
        <v>0</v>
      </c>
      <c r="B234" s="397">
        <f>Data!N3557</f>
        <v>0</v>
      </c>
      <c r="C234" s="398" t="str">
        <f>Data!O3557</f>
        <v>COST OF ALL MATERIALS AND</v>
      </c>
      <c r="D234" s="397">
        <f>Data!P3557</f>
        <v>0</v>
      </c>
      <c r="E234" s="397">
        <f>Data!Q3557</f>
        <v>0</v>
      </c>
      <c r="F234" s="398">
        <f>Data!R3557</f>
        <v>0</v>
      </c>
    </row>
    <row r="235" spans="1:6">
      <c r="A235" s="396">
        <f>Data!M3558</f>
        <v>0</v>
      </c>
      <c r="B235" s="397">
        <f>Data!N3558</f>
        <v>0</v>
      </c>
      <c r="C235" s="398" t="str">
        <f>Data!O3558</f>
        <v>FIXING CHARGES</v>
      </c>
      <c r="D235" s="397">
        <f>Data!P3558</f>
        <v>0</v>
      </c>
      <c r="E235" s="397">
        <f>Data!Q3558</f>
        <v>0</v>
      </c>
      <c r="F235" s="398">
        <f>Data!R3558</f>
        <v>0</v>
      </c>
    </row>
    <row r="236" spans="1:6">
      <c r="A236" s="396">
        <f>Data!M3559</f>
        <v>0</v>
      </c>
      <c r="B236" s="397">
        <f>Data!N3559</f>
        <v>0</v>
      </c>
      <c r="C236" s="397"/>
      <c r="D236" s="397">
        <f>Data!P3559</f>
        <v>0</v>
      </c>
      <c r="E236" s="397">
        <f>Data!Q3559</f>
        <v>0</v>
      </c>
      <c r="F236" s="398">
        <f>Data!R3559</f>
        <v>0</v>
      </c>
    </row>
    <row r="237" spans="1:6" ht="90">
      <c r="A237" s="396">
        <f>Data!M3560</f>
        <v>1</v>
      </c>
      <c r="B237" s="397" t="str">
        <f>Data!N3560</f>
        <v>NO.</v>
      </c>
      <c r="C237" s="399" t="str">
        <f>Data!O3560</f>
        <v>Wash Hand Basin of size 550 x 400 mm with all accessories such as CI brackets, 32mm dia CP waste coupling, Rubber plug and chain, 32mm dia B class GI waste pipe, 15mm dia brass nipples. 15mm CP pillar tap etc.,P-55 it-169 -i</v>
      </c>
      <c r="D237" s="397">
        <f>Data!P3560</f>
        <v>1672</v>
      </c>
      <c r="E237" s="397" t="str">
        <f>Data!Q3560</f>
        <v>NO.</v>
      </c>
      <c r="F237" s="397">
        <f>Data!R3560</f>
        <v>1672</v>
      </c>
    </row>
    <row r="238" spans="1:6">
      <c r="A238" s="396">
        <f>Data!M3561</f>
        <v>0</v>
      </c>
      <c r="B238" s="397">
        <f>Data!N3561</f>
        <v>0</v>
      </c>
      <c r="C238" s="397">
        <f>Data!O3561</f>
        <v>0</v>
      </c>
      <c r="D238" s="397">
        <f>Data!P3561</f>
        <v>0</v>
      </c>
      <c r="E238" s="397">
        <f>Data!Q3561</f>
        <v>0</v>
      </c>
      <c r="F238" s="398">
        <f>Data!R3561</f>
        <v>0</v>
      </c>
    </row>
    <row r="239" spans="1:6">
      <c r="A239" s="396">
        <f>Data!M3562</f>
        <v>0</v>
      </c>
      <c r="B239" s="397">
        <f>Data!N3562</f>
        <v>0</v>
      </c>
      <c r="C239" s="397">
        <f>Data!O3562</f>
        <v>0</v>
      </c>
      <c r="D239" s="397">
        <f>Data!P3562</f>
        <v>0</v>
      </c>
      <c r="E239" s="397">
        <f>Data!Q3562</f>
        <v>0</v>
      </c>
      <c r="F239" s="398">
        <f>Data!R3562</f>
        <v>0</v>
      </c>
    </row>
    <row r="240" spans="1:6">
      <c r="A240" s="396">
        <f>Data!M3563</f>
        <v>1</v>
      </c>
      <c r="B240" s="397" t="str">
        <f>Data!N3563</f>
        <v>NO.</v>
      </c>
      <c r="C240" s="397" t="str">
        <f>Data!O3563</f>
        <v>deduct rate for 15mm dia GM wheel valve</v>
      </c>
      <c r="D240" s="404">
        <f>Data!P3563</f>
        <v>-169</v>
      </c>
      <c r="E240" s="397" t="str">
        <f>Data!Q3563</f>
        <v>NO.</v>
      </c>
      <c r="F240" s="404">
        <f>Data!R3563</f>
        <v>-169</v>
      </c>
    </row>
    <row r="241" spans="1:6">
      <c r="A241" s="396">
        <f>Data!M3564</f>
        <v>0</v>
      </c>
      <c r="B241" s="397">
        <f>Data!N3564</f>
        <v>0</v>
      </c>
      <c r="C241" s="397">
        <f>Data!O3564</f>
        <v>0</v>
      </c>
      <c r="D241" s="397">
        <f>Data!P3564</f>
        <v>0</v>
      </c>
      <c r="E241" s="397">
        <f>Data!Q3564</f>
        <v>0</v>
      </c>
      <c r="F241" s="397">
        <f>Data!R3564</f>
        <v>0</v>
      </c>
    </row>
    <row r="242" spans="1:6">
      <c r="A242" s="396">
        <f>Data!M3565</f>
        <v>1</v>
      </c>
      <c r="B242" s="397" t="str">
        <f>Data!N3565</f>
        <v>NO.</v>
      </c>
      <c r="C242" s="397" t="str">
        <f>Data!O3565</f>
        <v xml:space="preserve"> Angle Valve</v>
      </c>
      <c r="D242" s="397">
        <f>Data!P3565</f>
        <v>250</v>
      </c>
      <c r="E242" s="397" t="str">
        <f>Data!Q3565</f>
        <v>NO.</v>
      </c>
      <c r="F242" s="397">
        <f>Data!R3565</f>
        <v>250</v>
      </c>
    </row>
    <row r="243" spans="1:6">
      <c r="A243" s="396">
        <f>Data!M3566</f>
        <v>0</v>
      </c>
      <c r="B243" s="397">
        <f>Data!N3566</f>
        <v>0</v>
      </c>
      <c r="C243" s="397">
        <f>Data!O3566</f>
        <v>0</v>
      </c>
      <c r="D243" s="397">
        <f>Data!P3566</f>
        <v>0</v>
      </c>
      <c r="E243" s="397">
        <f>Data!Q3566</f>
        <v>0</v>
      </c>
      <c r="F243" s="397">
        <f>Data!R3566</f>
        <v>0</v>
      </c>
    </row>
    <row r="244" spans="1:6">
      <c r="A244" s="396">
        <f>Data!M3567</f>
        <v>0.5</v>
      </c>
      <c r="B244" s="397" t="str">
        <f>Data!N3567</f>
        <v>NO.</v>
      </c>
      <c r="C244" s="397" t="str">
        <f>Data!O3567</f>
        <v>PLUMBER I</v>
      </c>
      <c r="D244" s="397">
        <f>Data!P3567</f>
        <v>866</v>
      </c>
      <c r="E244" s="397" t="str">
        <f>Data!Q3567</f>
        <v>NO.</v>
      </c>
      <c r="F244" s="397">
        <f>Data!R3567</f>
        <v>433</v>
      </c>
    </row>
    <row r="245" spans="1:6">
      <c r="A245" s="396">
        <f>Data!M3568</f>
        <v>1</v>
      </c>
      <c r="B245" s="397" t="str">
        <f>Data!N3568</f>
        <v>NO.</v>
      </c>
      <c r="C245" s="397" t="str">
        <f>Data!O3568</f>
        <v>MAZDOOR I</v>
      </c>
      <c r="D245" s="397">
        <f>Data!P3568</f>
        <v>651</v>
      </c>
      <c r="E245" s="397" t="str">
        <f>Data!Q3568</f>
        <v>NO.</v>
      </c>
      <c r="F245" s="397">
        <f>Data!R3568</f>
        <v>651</v>
      </c>
    </row>
    <row r="246" spans="1:6">
      <c r="A246" s="396">
        <f>Data!M3569</f>
        <v>0.5</v>
      </c>
      <c r="B246" s="397" t="str">
        <f>Data!N3569</f>
        <v>NO.</v>
      </c>
      <c r="C246" s="397" t="str">
        <f>Data!O3569</f>
        <v>MASON I</v>
      </c>
      <c r="D246" s="397">
        <f>Data!P3569</f>
        <v>999</v>
      </c>
      <c r="E246" s="397" t="str">
        <f>Data!Q3569</f>
        <v>NO.</v>
      </c>
      <c r="F246" s="397">
        <f>Data!R3569</f>
        <v>499.5</v>
      </c>
    </row>
    <row r="247" spans="1:6">
      <c r="A247" s="396">
        <f>Data!M3570</f>
        <v>0</v>
      </c>
      <c r="B247" s="397" t="str">
        <f>Data!N3570</f>
        <v>L.S</v>
      </c>
      <c r="C247" s="397" t="str">
        <f>Data!O3570</f>
        <v>SUNDRIES FOR PLUGSCREW,PAINT</v>
      </c>
      <c r="D247" s="397">
        <f>Data!P3570</f>
        <v>0</v>
      </c>
      <c r="E247" s="397" t="str">
        <f>Data!Q3570</f>
        <v>L.S</v>
      </c>
      <c r="F247" s="397">
        <f>Data!R3570</f>
        <v>0.82</v>
      </c>
    </row>
    <row r="248" spans="1:6">
      <c r="A248" s="396">
        <f>Data!M3571</f>
        <v>0</v>
      </c>
      <c r="B248" s="397">
        <f>Data!N3571</f>
        <v>0</v>
      </c>
      <c r="C248" s="397">
        <f>Data!O3571</f>
        <v>0</v>
      </c>
      <c r="D248" s="397">
        <f>Data!P3571</f>
        <v>0</v>
      </c>
      <c r="E248" s="397">
        <f>Data!Q3571</f>
        <v>0</v>
      </c>
      <c r="F248" s="397"/>
    </row>
    <row r="249" spans="1:6">
      <c r="A249" s="396">
        <f>Data!M3572</f>
        <v>0</v>
      </c>
      <c r="B249" s="397">
        <f>Data!N3572</f>
        <v>0</v>
      </c>
      <c r="C249" s="397" t="str">
        <f>Data!O3572</f>
        <v>TOTAL FOR ONE NUMBER</v>
      </c>
      <c r="D249" s="397">
        <f>Data!P3572</f>
        <v>0</v>
      </c>
      <c r="E249" s="397">
        <f>Data!Q3572</f>
        <v>0</v>
      </c>
      <c r="F249" s="398">
        <f>Data!R3572</f>
        <v>3337.32</v>
      </c>
    </row>
    <row r="250" spans="1:6">
      <c r="A250" s="396">
        <f>Data!M3573</f>
        <v>0</v>
      </c>
      <c r="B250" s="397">
        <f>Data!N3573</f>
        <v>0</v>
      </c>
      <c r="C250" s="397">
        <f>Data!O3573</f>
        <v>0</v>
      </c>
      <c r="D250" s="397">
        <f>Data!P3573</f>
        <v>0</v>
      </c>
      <c r="E250" s="397">
        <f>Data!Q3573</f>
        <v>0</v>
      </c>
      <c r="F250" s="398"/>
    </row>
    <row r="251" spans="1:6">
      <c r="A251" s="396" t="e">
        <f>#REF!</f>
        <v>#REF!</v>
      </c>
      <c r="B251" s="397" t="e">
        <f>#REF!</f>
        <v>#REF!</v>
      </c>
      <c r="C251" s="398" t="e">
        <f>#REF!</f>
        <v>#REF!</v>
      </c>
      <c r="D251" s="397" t="e">
        <f>#REF!</f>
        <v>#REF!</v>
      </c>
      <c r="E251" s="397" t="e">
        <f>#REF!</f>
        <v>#REF!</v>
      </c>
      <c r="F251" s="397" t="e">
        <f>#REF!</f>
        <v>#REF!</v>
      </c>
    </row>
    <row r="252" spans="1:6">
      <c r="A252" s="396" t="e">
        <f>#REF!</f>
        <v>#REF!</v>
      </c>
      <c r="B252" s="397" t="e">
        <f>#REF!</f>
        <v>#REF!</v>
      </c>
      <c r="C252" s="398" t="e">
        <f>#REF!</f>
        <v>#REF!</v>
      </c>
      <c r="D252" s="397" t="e">
        <f>#REF!</f>
        <v>#REF!</v>
      </c>
      <c r="E252" s="397" t="e">
        <f>#REF!</f>
        <v>#REF!</v>
      </c>
      <c r="F252" s="397" t="e">
        <f>#REF!</f>
        <v>#REF!</v>
      </c>
    </row>
    <row r="253" spans="1:6">
      <c r="A253" s="396" t="e">
        <f>#REF!</f>
        <v>#REF!</v>
      </c>
      <c r="B253" s="397" t="e">
        <f>#REF!</f>
        <v>#REF!</v>
      </c>
      <c r="C253" s="397" t="e">
        <f>#REF!</f>
        <v>#REF!</v>
      </c>
      <c r="D253" s="397" t="e">
        <f>#REF!</f>
        <v>#REF!</v>
      </c>
      <c r="E253" s="397" t="e">
        <f>#REF!</f>
        <v>#REF!</v>
      </c>
      <c r="F253" s="397" t="e">
        <f>#REF!</f>
        <v>#REF!</v>
      </c>
    </row>
    <row r="254" spans="1:6">
      <c r="A254" s="396" t="e">
        <f>#REF!</f>
        <v>#REF!</v>
      </c>
      <c r="B254" s="397" t="e">
        <f>#REF!</f>
        <v>#REF!</v>
      </c>
      <c r="C254" s="397" t="e">
        <f>#REF!</f>
        <v>#REF!</v>
      </c>
      <c r="D254" s="397" t="e">
        <f>#REF!</f>
        <v>#REF!</v>
      </c>
      <c r="E254" s="397" t="e">
        <f>#REF!</f>
        <v>#REF!</v>
      </c>
      <c r="F254" s="397" t="e">
        <f>#REF!</f>
        <v>#REF!</v>
      </c>
    </row>
    <row r="255" spans="1:6">
      <c r="A255" s="396" t="e">
        <f>#REF!</f>
        <v>#REF!</v>
      </c>
      <c r="B255" s="397" t="e">
        <f>#REF!</f>
        <v>#REF!</v>
      </c>
      <c r="C255" s="397" t="e">
        <f>#REF!</f>
        <v>#REF!</v>
      </c>
      <c r="D255" s="397" t="e">
        <f>#REF!</f>
        <v>#REF!</v>
      </c>
      <c r="E255" s="397" t="e">
        <f>#REF!</f>
        <v>#REF!</v>
      </c>
      <c r="F255" s="397" t="e">
        <f>#REF!</f>
        <v>#REF!</v>
      </c>
    </row>
    <row r="256" spans="1:6" ht="214.9" customHeight="1">
      <c r="A256" s="396" t="e">
        <f>#REF!</f>
        <v>#REF!</v>
      </c>
      <c r="B256" s="397" t="e">
        <f>#REF!</f>
        <v>#REF!</v>
      </c>
      <c r="C256" s="399" t="e">
        <f>#REF!</f>
        <v>#REF!</v>
      </c>
      <c r="D256" s="397" t="e">
        <f>#REF!</f>
        <v>#REF!</v>
      </c>
      <c r="E256" s="397" t="e">
        <f>#REF!</f>
        <v>#REF!</v>
      </c>
      <c r="F256" s="397" t="e">
        <f>#REF!</f>
        <v>#REF!</v>
      </c>
    </row>
    <row r="257" spans="1:6" ht="45">
      <c r="A257" s="396" t="e">
        <f>#REF!</f>
        <v>#REF!</v>
      </c>
      <c r="B257" s="397" t="e">
        <f>#REF!</f>
        <v>#REF!</v>
      </c>
      <c r="C257" s="399" t="e">
        <f>#REF!</f>
        <v>#REF!</v>
      </c>
      <c r="D257" s="397" t="e">
        <f>#REF!</f>
        <v>#REF!</v>
      </c>
      <c r="E257" s="397" t="e">
        <f>#REF!</f>
        <v>#REF!</v>
      </c>
      <c r="F257" s="397" t="e">
        <f>#REF!</f>
        <v>#REF!</v>
      </c>
    </row>
    <row r="258" spans="1:6" ht="33.6" customHeight="1">
      <c r="A258" s="396" t="e">
        <f>#REF!</f>
        <v>#REF!</v>
      </c>
      <c r="B258" s="397" t="e">
        <f>#REF!</f>
        <v>#REF!</v>
      </c>
      <c r="C258" s="399" t="e">
        <f>#REF!</f>
        <v>#REF!</v>
      </c>
      <c r="D258" s="397" t="e">
        <f>#REF!</f>
        <v>#REF!</v>
      </c>
      <c r="E258" s="397" t="e">
        <f>#REF!</f>
        <v>#REF!</v>
      </c>
      <c r="F258" s="397" t="e">
        <f>#REF!</f>
        <v>#REF!</v>
      </c>
    </row>
    <row r="259" spans="1:6" ht="30">
      <c r="A259" s="396" t="e">
        <f>#REF!</f>
        <v>#REF!</v>
      </c>
      <c r="B259" s="397" t="e">
        <f>#REF!</f>
        <v>#REF!</v>
      </c>
      <c r="C259" s="399" t="e">
        <f>#REF!</f>
        <v>#REF!</v>
      </c>
      <c r="D259" s="397" t="e">
        <f>#REF!</f>
        <v>#REF!</v>
      </c>
      <c r="E259" s="397" t="e">
        <f>#REF!</f>
        <v>#REF!</v>
      </c>
      <c r="F259" s="397" t="e">
        <f>#REF!</f>
        <v>#REF!</v>
      </c>
    </row>
    <row r="260" spans="1:6" ht="30">
      <c r="A260" s="396" t="e">
        <f>#REF!</f>
        <v>#REF!</v>
      </c>
      <c r="B260" s="397" t="e">
        <f>#REF!</f>
        <v>#REF!</v>
      </c>
      <c r="C260" s="399" t="e">
        <f>#REF!</f>
        <v>#REF!</v>
      </c>
      <c r="D260" s="397" t="e">
        <f>#REF!</f>
        <v>#REF!</v>
      </c>
      <c r="E260" s="397" t="e">
        <f>#REF!</f>
        <v>#REF!</v>
      </c>
      <c r="F260" s="397" t="e">
        <f>#REF!</f>
        <v>#REF!</v>
      </c>
    </row>
    <row r="261" spans="1:6" ht="30">
      <c r="A261" s="396" t="e">
        <f>#REF!</f>
        <v>#REF!</v>
      </c>
      <c r="B261" s="397" t="e">
        <f>#REF!</f>
        <v>#REF!</v>
      </c>
      <c r="C261" s="399" t="e">
        <f>#REF!</f>
        <v>#REF!</v>
      </c>
      <c r="D261" s="397" t="e">
        <f>#REF!</f>
        <v>#REF!</v>
      </c>
      <c r="E261" s="397" t="e">
        <f>#REF!</f>
        <v>#REF!</v>
      </c>
      <c r="F261" s="397" t="e">
        <f>#REF!</f>
        <v>#REF!</v>
      </c>
    </row>
    <row r="262" spans="1:6">
      <c r="A262" s="396" t="e">
        <f>#REF!</f>
        <v>#REF!</v>
      </c>
      <c r="B262" s="397" t="e">
        <f>#REF!</f>
        <v>#REF!</v>
      </c>
      <c r="C262" s="399" t="e">
        <f>#REF!</f>
        <v>#REF!</v>
      </c>
      <c r="D262" s="397" t="e">
        <f>#REF!</f>
        <v>#REF!</v>
      </c>
      <c r="E262" s="397" t="e">
        <f>#REF!</f>
        <v>#REF!</v>
      </c>
      <c r="F262" s="397" t="e">
        <f>#REF!</f>
        <v>#REF!</v>
      </c>
    </row>
    <row r="263" spans="1:6" ht="30">
      <c r="A263" s="396" t="e">
        <f>#REF!</f>
        <v>#REF!</v>
      </c>
      <c r="B263" s="397" t="e">
        <f>#REF!</f>
        <v>#REF!</v>
      </c>
      <c r="C263" s="399" t="e">
        <f>#REF!</f>
        <v>#REF!</v>
      </c>
      <c r="D263" s="397" t="e">
        <f>#REF!</f>
        <v>#REF!</v>
      </c>
      <c r="E263" s="397" t="e">
        <f>#REF!</f>
        <v>#REF!</v>
      </c>
      <c r="F263" s="397" t="e">
        <f>#REF!</f>
        <v>#REF!</v>
      </c>
    </row>
    <row r="264" spans="1:6" ht="30">
      <c r="A264" s="396" t="e">
        <f>#REF!</f>
        <v>#REF!</v>
      </c>
      <c r="B264" s="397" t="e">
        <f>#REF!</f>
        <v>#REF!</v>
      </c>
      <c r="C264" s="399" t="e">
        <f>#REF!</f>
        <v>#REF!</v>
      </c>
      <c r="D264" s="397" t="e">
        <f>#REF!</f>
        <v>#REF!</v>
      </c>
      <c r="E264" s="397" t="e">
        <f>#REF!</f>
        <v>#REF!</v>
      </c>
      <c r="F264" s="397" t="e">
        <f>#REF!</f>
        <v>#REF!</v>
      </c>
    </row>
    <row r="265" spans="1:6">
      <c r="A265" s="396" t="e">
        <f>#REF!</f>
        <v>#REF!</v>
      </c>
      <c r="B265" s="397" t="e">
        <f>#REF!</f>
        <v>#REF!</v>
      </c>
      <c r="C265" s="399" t="e">
        <f>#REF!</f>
        <v>#REF!</v>
      </c>
      <c r="D265" s="397" t="e">
        <f>#REF!</f>
        <v>#REF!</v>
      </c>
      <c r="E265" s="397" t="e">
        <f>#REF!</f>
        <v>#REF!</v>
      </c>
      <c r="F265" s="397" t="e">
        <f>#REF!</f>
        <v>#REF!</v>
      </c>
    </row>
    <row r="266" spans="1:6" ht="30">
      <c r="A266" s="396" t="e">
        <f>#REF!</f>
        <v>#REF!</v>
      </c>
      <c r="B266" s="397" t="e">
        <f>#REF!</f>
        <v>#REF!</v>
      </c>
      <c r="C266" s="399" t="e">
        <f>#REF!</f>
        <v>#REF!</v>
      </c>
      <c r="D266" s="397" t="e">
        <f>#REF!</f>
        <v>#REF!</v>
      </c>
      <c r="E266" s="397" t="e">
        <f>#REF!</f>
        <v>#REF!</v>
      </c>
      <c r="F266" s="397" t="e">
        <f>#REF!</f>
        <v>#REF!</v>
      </c>
    </row>
    <row r="267" spans="1:6">
      <c r="A267" s="396" t="e">
        <f>#REF!</f>
        <v>#REF!</v>
      </c>
      <c r="B267" s="397" t="e">
        <f>#REF!</f>
        <v>#REF!</v>
      </c>
      <c r="C267" s="399" t="e">
        <f>#REF!</f>
        <v>#REF!</v>
      </c>
      <c r="D267" s="397" t="e">
        <f>#REF!</f>
        <v>#REF!</v>
      </c>
      <c r="E267" s="397" t="e">
        <f>#REF!</f>
        <v>#REF!</v>
      </c>
      <c r="F267" s="397" t="e">
        <f>#REF!</f>
        <v>#REF!</v>
      </c>
    </row>
    <row r="268" spans="1:6" ht="30">
      <c r="A268" s="396" t="e">
        <f>#REF!</f>
        <v>#REF!</v>
      </c>
      <c r="B268" s="397" t="e">
        <f>#REF!</f>
        <v>#REF!</v>
      </c>
      <c r="C268" s="399" t="e">
        <f>#REF!</f>
        <v>#REF!</v>
      </c>
      <c r="D268" s="397" t="e">
        <f>#REF!</f>
        <v>#REF!</v>
      </c>
      <c r="E268" s="397" t="e">
        <f>#REF!</f>
        <v>#REF!</v>
      </c>
      <c r="F268" s="397" t="e">
        <f>#REF!</f>
        <v>#REF!</v>
      </c>
    </row>
    <row r="269" spans="1:6" ht="30">
      <c r="A269" s="396" t="e">
        <f>#REF!</f>
        <v>#REF!</v>
      </c>
      <c r="B269" s="397" t="e">
        <f>#REF!</f>
        <v>#REF!</v>
      </c>
      <c r="C269" s="399" t="e">
        <f>#REF!</f>
        <v>#REF!</v>
      </c>
      <c r="D269" s="397" t="e">
        <f>#REF!</f>
        <v>#REF!</v>
      </c>
      <c r="E269" s="397" t="e">
        <f>#REF!</f>
        <v>#REF!</v>
      </c>
      <c r="F269" s="397" t="e">
        <f>#REF!</f>
        <v>#REF!</v>
      </c>
    </row>
    <row r="270" spans="1:6">
      <c r="A270" s="396" t="e">
        <f>#REF!</f>
        <v>#REF!</v>
      </c>
      <c r="B270" s="397" t="e">
        <f>#REF!</f>
        <v>#REF!</v>
      </c>
      <c r="C270" s="397" t="e">
        <f>#REF!</f>
        <v>#REF!</v>
      </c>
      <c r="D270" s="397" t="e">
        <f>#REF!</f>
        <v>#REF!</v>
      </c>
      <c r="E270" s="397" t="e">
        <f>#REF!</f>
        <v>#REF!</v>
      </c>
      <c r="F270" s="397" t="e">
        <f>#REF!</f>
        <v>#REF!</v>
      </c>
    </row>
    <row r="271" spans="1:6">
      <c r="A271" s="396" t="e">
        <f>#REF!</f>
        <v>#REF!</v>
      </c>
      <c r="B271" s="397" t="e">
        <f>#REF!</f>
        <v>#REF!</v>
      </c>
      <c r="C271" s="397" t="e">
        <f>#REF!</f>
        <v>#REF!</v>
      </c>
      <c r="D271" s="397" t="e">
        <f>#REF!</f>
        <v>#REF!</v>
      </c>
      <c r="E271" s="397" t="e">
        <f>#REF!</f>
        <v>#REF!</v>
      </c>
      <c r="F271" s="397" t="e">
        <f>#REF!</f>
        <v>#REF!</v>
      </c>
    </row>
    <row r="272" spans="1:6">
      <c r="A272" s="396" t="e">
        <f>#REF!</f>
        <v>#REF!</v>
      </c>
      <c r="B272" s="397" t="e">
        <f>#REF!</f>
        <v>#REF!</v>
      </c>
      <c r="C272" s="397" t="e">
        <f>#REF!</f>
        <v>#REF!</v>
      </c>
      <c r="D272" s="397" t="e">
        <f>#REF!</f>
        <v>#REF!</v>
      </c>
      <c r="E272" s="397" t="e">
        <f>#REF!</f>
        <v>#REF!</v>
      </c>
      <c r="F272" s="397" t="e">
        <f>#REF!</f>
        <v>#REF!</v>
      </c>
    </row>
    <row r="273" spans="1:6">
      <c r="A273" s="396" t="e">
        <f>#REF!</f>
        <v>#REF!</v>
      </c>
      <c r="B273" s="397" t="e">
        <f>#REF!</f>
        <v>#REF!</v>
      </c>
      <c r="C273" s="397" t="e">
        <f>#REF!</f>
        <v>#REF!</v>
      </c>
      <c r="D273" s="397" t="e">
        <f>#REF!</f>
        <v>#REF!</v>
      </c>
      <c r="E273" s="397" t="e">
        <f>#REF!</f>
        <v>#REF!</v>
      </c>
      <c r="F273" s="397" t="e">
        <f>#REF!</f>
        <v>#REF!</v>
      </c>
    </row>
    <row r="274" spans="1:6">
      <c r="A274" s="396" t="e">
        <f>#REF!</f>
        <v>#REF!</v>
      </c>
      <c r="B274" s="397" t="e">
        <f>#REF!</f>
        <v>#REF!</v>
      </c>
      <c r="C274" s="397" t="e">
        <f>#REF!</f>
        <v>#REF!</v>
      </c>
      <c r="D274" s="397" t="e">
        <f>#REF!</f>
        <v>#REF!</v>
      </c>
      <c r="E274" s="397" t="e">
        <f>#REF!</f>
        <v>#REF!</v>
      </c>
      <c r="F274" s="398" t="e">
        <f>#REF!</f>
        <v>#REF!</v>
      </c>
    </row>
    <row r="275" spans="1:6">
      <c r="A275" s="396" t="e">
        <f>#REF!</f>
        <v>#REF!</v>
      </c>
      <c r="B275" s="397" t="e">
        <f>#REF!</f>
        <v>#REF!</v>
      </c>
      <c r="C275" s="397" t="e">
        <f>#REF!</f>
        <v>#REF!</v>
      </c>
      <c r="D275" s="397" t="e">
        <f>#REF!</f>
        <v>#REF!</v>
      </c>
      <c r="E275" s="397" t="e">
        <f>#REF!</f>
        <v>#REF!</v>
      </c>
      <c r="F275" s="397" t="e">
        <f>#REF!</f>
        <v>#REF!</v>
      </c>
    </row>
    <row r="276" spans="1:6">
      <c r="A276" s="396" t="e">
        <f>#REF!</f>
        <v>#REF!</v>
      </c>
      <c r="B276" s="397" t="e">
        <f>#REF!</f>
        <v>#REF!</v>
      </c>
      <c r="C276" s="1248" t="e">
        <f>#REF!</f>
        <v>#REF!</v>
      </c>
      <c r="D276" s="1248"/>
      <c r="E276" s="397" t="e">
        <f>#REF!</f>
        <v>#REF!</v>
      </c>
      <c r="F276" s="397" t="e">
        <f>#REF!</f>
        <v>#REF!</v>
      </c>
    </row>
    <row r="277" spans="1:6">
      <c r="A277" s="396" t="e">
        <f>#REF!</f>
        <v>#REF!</v>
      </c>
      <c r="B277" s="397" t="e">
        <f>#REF!</f>
        <v>#REF!</v>
      </c>
      <c r="C277" s="397" t="e">
        <f>#REF!</f>
        <v>#REF!</v>
      </c>
      <c r="D277" s="397" t="e">
        <f>#REF!</f>
        <v>#REF!</v>
      </c>
      <c r="E277" s="397" t="e">
        <f>#REF!</f>
        <v>#REF!</v>
      </c>
      <c r="F277" s="397" t="e">
        <f>#REF!</f>
        <v>#REF!</v>
      </c>
    </row>
    <row r="278" spans="1:6">
      <c r="A278" s="396" t="e">
        <f>#REF!</f>
        <v>#REF!</v>
      </c>
      <c r="B278" s="397" t="e">
        <f>#REF!</f>
        <v>#REF!</v>
      </c>
      <c r="C278" s="397" t="e">
        <f>#REF!</f>
        <v>#REF!</v>
      </c>
      <c r="D278" s="397" t="e">
        <f>#REF!</f>
        <v>#REF!</v>
      </c>
      <c r="E278" s="397" t="e">
        <f>#REF!</f>
        <v>#REF!</v>
      </c>
      <c r="F278" s="397" t="e">
        <f>#REF!</f>
        <v>#REF!</v>
      </c>
    </row>
    <row r="279" spans="1:6">
      <c r="A279" s="396" t="e">
        <f>#REF!</f>
        <v>#REF!</v>
      </c>
      <c r="B279" s="397" t="e">
        <f>#REF!</f>
        <v>#REF!</v>
      </c>
      <c r="C279" s="397" t="e">
        <f>#REF!</f>
        <v>#REF!</v>
      </c>
      <c r="D279" s="397" t="e">
        <f>#REF!</f>
        <v>#REF!</v>
      </c>
      <c r="E279" s="397" t="e">
        <f>#REF!</f>
        <v>#REF!</v>
      </c>
      <c r="F279" s="397" t="e">
        <f>#REF!</f>
        <v>#REF!</v>
      </c>
    </row>
    <row r="280" spans="1:6">
      <c r="A280" s="396" t="e">
        <f>#REF!</f>
        <v>#REF!</v>
      </c>
      <c r="B280" s="397" t="e">
        <f>#REF!</f>
        <v>#REF!</v>
      </c>
      <c r="C280" s="397" t="e">
        <f>#REF!</f>
        <v>#REF!</v>
      </c>
      <c r="D280" s="397" t="e">
        <f>#REF!</f>
        <v>#REF!</v>
      </c>
      <c r="E280" s="397" t="e">
        <f>#REF!</f>
        <v>#REF!</v>
      </c>
      <c r="F280" s="397" t="e">
        <f>#REF!</f>
        <v>#REF!</v>
      </c>
    </row>
    <row r="281" spans="1:6">
      <c r="A281" s="396" t="e">
        <f>#REF!</f>
        <v>#REF!</v>
      </c>
      <c r="B281" s="397" t="e">
        <f>#REF!</f>
        <v>#REF!</v>
      </c>
      <c r="C281" s="397" t="e">
        <f>#REF!</f>
        <v>#REF!</v>
      </c>
      <c r="D281" s="397" t="e">
        <f>#REF!</f>
        <v>#REF!</v>
      </c>
      <c r="E281" s="397" t="e">
        <f>#REF!</f>
        <v>#REF!</v>
      </c>
      <c r="F281" s="397" t="e">
        <f>#REF!</f>
        <v>#REF!</v>
      </c>
    </row>
    <row r="282" spans="1:6">
      <c r="A282" s="396" t="e">
        <f>#REF!</f>
        <v>#REF!</v>
      </c>
      <c r="B282" s="397" t="e">
        <f>#REF!</f>
        <v>#REF!</v>
      </c>
      <c r="C282" s="397" t="e">
        <f>#REF!</f>
        <v>#REF!</v>
      </c>
      <c r="D282" s="397" t="e">
        <f>#REF!</f>
        <v>#REF!</v>
      </c>
      <c r="E282" s="397" t="e">
        <f>#REF!</f>
        <v>#REF!</v>
      </c>
      <c r="F282" s="397" t="e">
        <f>#REF!</f>
        <v>#REF!</v>
      </c>
    </row>
    <row r="283" spans="1:6">
      <c r="A283" s="396" t="e">
        <f>#REF!</f>
        <v>#REF!</v>
      </c>
      <c r="B283" s="397" t="e">
        <f>#REF!</f>
        <v>#REF!</v>
      </c>
      <c r="C283" s="397" t="e">
        <f>#REF!</f>
        <v>#REF!</v>
      </c>
      <c r="D283" s="397" t="e">
        <f>#REF!</f>
        <v>#REF!</v>
      </c>
      <c r="E283" s="397" t="e">
        <f>#REF!</f>
        <v>#REF!</v>
      </c>
      <c r="F283" s="397" t="e">
        <f>#REF!</f>
        <v>#REF!</v>
      </c>
    </row>
    <row r="284" spans="1:6">
      <c r="A284" s="396" t="e">
        <f>#REF!</f>
        <v>#REF!</v>
      </c>
      <c r="B284" s="397" t="e">
        <f>#REF!</f>
        <v>#REF!</v>
      </c>
      <c r="C284" s="397" t="e">
        <f>#REF!</f>
        <v>#REF!</v>
      </c>
      <c r="D284" s="397" t="e">
        <f>#REF!</f>
        <v>#REF!</v>
      </c>
      <c r="E284" s="397" t="e">
        <f>#REF!</f>
        <v>#REF!</v>
      </c>
      <c r="F284" s="397" t="e">
        <f>#REF!</f>
        <v>#REF!</v>
      </c>
    </row>
    <row r="285" spans="1:6">
      <c r="A285" s="396" t="e">
        <f>#REF!</f>
        <v>#REF!</v>
      </c>
      <c r="B285" s="397" t="e">
        <f>#REF!</f>
        <v>#REF!</v>
      </c>
      <c r="C285" s="397" t="e">
        <f>#REF!</f>
        <v>#REF!</v>
      </c>
      <c r="D285" s="397" t="e">
        <f>#REF!</f>
        <v>#REF!</v>
      </c>
      <c r="E285" s="397" t="e">
        <f>#REF!</f>
        <v>#REF!</v>
      </c>
      <c r="F285" s="397" t="e">
        <f>#REF!</f>
        <v>#REF!</v>
      </c>
    </row>
    <row r="286" spans="1:6">
      <c r="A286" s="396" t="e">
        <f>#REF!</f>
        <v>#REF!</v>
      </c>
      <c r="B286" s="397" t="e">
        <f>#REF!</f>
        <v>#REF!</v>
      </c>
      <c r="C286" s="397" t="e">
        <f>#REF!</f>
        <v>#REF!</v>
      </c>
      <c r="D286" s="397" t="e">
        <f>#REF!</f>
        <v>#REF!</v>
      </c>
      <c r="E286" s="397" t="e">
        <f>#REF!</f>
        <v>#REF!</v>
      </c>
      <c r="F286" s="397" t="e">
        <f>#REF!</f>
        <v>#REF!</v>
      </c>
    </row>
    <row r="287" spans="1:6">
      <c r="A287" s="396" t="e">
        <f>#REF!</f>
        <v>#REF!</v>
      </c>
      <c r="B287" s="397" t="e">
        <f>#REF!</f>
        <v>#REF!</v>
      </c>
      <c r="C287" s="397" t="e">
        <f>#REF!</f>
        <v>#REF!</v>
      </c>
      <c r="D287" s="397" t="e">
        <f>#REF!</f>
        <v>#REF!</v>
      </c>
      <c r="E287" s="397" t="e">
        <f>#REF!</f>
        <v>#REF!</v>
      </c>
      <c r="F287" s="397" t="e">
        <f>#REF!</f>
        <v>#REF!</v>
      </c>
    </row>
    <row r="288" spans="1:6">
      <c r="A288" s="396" t="e">
        <f>#REF!</f>
        <v>#REF!</v>
      </c>
      <c r="B288" s="397" t="e">
        <f>#REF!</f>
        <v>#REF!</v>
      </c>
      <c r="C288" s="397" t="e">
        <f>#REF!</f>
        <v>#REF!</v>
      </c>
      <c r="D288" s="397" t="e">
        <f>#REF!</f>
        <v>#REF!</v>
      </c>
      <c r="E288" s="397" t="e">
        <f>#REF!</f>
        <v>#REF!</v>
      </c>
      <c r="F288" s="397" t="e">
        <f>#REF!</f>
        <v>#REF!</v>
      </c>
    </row>
    <row r="289" spans="1:6">
      <c r="A289" s="396" t="e">
        <f>#REF!</f>
        <v>#REF!</v>
      </c>
      <c r="B289" s="397" t="e">
        <f>#REF!</f>
        <v>#REF!</v>
      </c>
      <c r="C289" s="398" t="e">
        <f>#REF!</f>
        <v>#REF!</v>
      </c>
      <c r="D289" s="397" t="e">
        <f>#REF!</f>
        <v>#REF!</v>
      </c>
      <c r="E289" s="397" t="e">
        <f>#REF!</f>
        <v>#REF!</v>
      </c>
      <c r="F289" s="397" t="e">
        <f>#REF!</f>
        <v>#REF!</v>
      </c>
    </row>
    <row r="290" spans="1:6" ht="30">
      <c r="A290" s="396" t="e">
        <f>#REF!</f>
        <v>#REF!</v>
      </c>
      <c r="B290" s="397" t="e">
        <f>#REF!</f>
        <v>#REF!</v>
      </c>
      <c r="C290" s="402" t="e">
        <f>#REF!</f>
        <v>#REF!</v>
      </c>
      <c r="D290" s="397" t="e">
        <f>#REF!</f>
        <v>#REF!</v>
      </c>
      <c r="E290" s="397" t="e">
        <f>#REF!</f>
        <v>#REF!</v>
      </c>
      <c r="F290" s="397" t="e">
        <f>#REF!</f>
        <v>#REF!</v>
      </c>
    </row>
    <row r="291" spans="1:6">
      <c r="A291" s="396" t="e">
        <f>#REF!</f>
        <v>#REF!</v>
      </c>
      <c r="B291" s="397" t="e">
        <f>#REF!</f>
        <v>#REF!</v>
      </c>
      <c r="C291" s="397" t="e">
        <f>#REF!</f>
        <v>#REF!</v>
      </c>
      <c r="D291" s="397" t="e">
        <f>#REF!</f>
        <v>#REF!</v>
      </c>
      <c r="E291" s="397" t="e">
        <f>#REF!</f>
        <v>#REF!</v>
      </c>
      <c r="F291" s="397" t="e">
        <f>#REF!</f>
        <v>#REF!</v>
      </c>
    </row>
    <row r="292" spans="1:6" ht="229.15" customHeight="1">
      <c r="A292" s="396" t="e">
        <f>#REF!</f>
        <v>#REF!</v>
      </c>
      <c r="B292" s="397" t="e">
        <f>#REF!</f>
        <v>#REF!</v>
      </c>
      <c r="C292" s="399" t="e">
        <f>#REF!</f>
        <v>#REF!</v>
      </c>
      <c r="D292" s="397" t="e">
        <f>#REF!</f>
        <v>#REF!</v>
      </c>
      <c r="E292" s="397" t="e">
        <f>#REF!</f>
        <v>#REF!</v>
      </c>
      <c r="F292" s="397" t="e">
        <f>#REF!</f>
        <v>#REF!</v>
      </c>
    </row>
    <row r="293" spans="1:6">
      <c r="A293" s="396" t="e">
        <f>#REF!</f>
        <v>#REF!</v>
      </c>
      <c r="B293" s="397" t="e">
        <f>#REF!</f>
        <v>#REF!</v>
      </c>
      <c r="C293" s="397" t="e">
        <f>#REF!</f>
        <v>#REF!</v>
      </c>
      <c r="D293" s="397" t="e">
        <f>#REF!</f>
        <v>#REF!</v>
      </c>
      <c r="E293" s="397" t="e">
        <f>#REF!</f>
        <v>#REF!</v>
      </c>
      <c r="F293" s="397" t="e">
        <f>#REF!</f>
        <v>#REF!</v>
      </c>
    </row>
    <row r="294" spans="1:6">
      <c r="A294" s="396" t="e">
        <f>#REF!</f>
        <v>#REF!</v>
      </c>
      <c r="B294" s="397" t="e">
        <f>#REF!</f>
        <v>#REF!</v>
      </c>
      <c r="C294" s="397" t="e">
        <f>#REF!</f>
        <v>#REF!</v>
      </c>
      <c r="D294" s="397" t="e">
        <f>#REF!</f>
        <v>#REF!</v>
      </c>
      <c r="E294" s="397" t="e">
        <f>#REF!</f>
        <v>#REF!</v>
      </c>
      <c r="F294" s="397" t="e">
        <f>#REF!</f>
        <v>#REF!</v>
      </c>
    </row>
    <row r="295" spans="1:6" ht="30">
      <c r="A295" s="396" t="e">
        <f>#REF!</f>
        <v>#REF!</v>
      </c>
      <c r="B295" s="397" t="e">
        <f>#REF!</f>
        <v>#REF!</v>
      </c>
      <c r="C295" s="399" t="e">
        <f>#REF!</f>
        <v>#REF!</v>
      </c>
      <c r="D295" s="397" t="e">
        <f>#REF!</f>
        <v>#REF!</v>
      </c>
      <c r="E295" s="397" t="e">
        <f>#REF!</f>
        <v>#REF!</v>
      </c>
      <c r="F295" s="397" t="e">
        <f>#REF!</f>
        <v>#REF!</v>
      </c>
    </row>
    <row r="296" spans="1:6">
      <c r="A296" s="396" t="e">
        <f>#REF!</f>
        <v>#REF!</v>
      </c>
      <c r="B296" s="397" t="e">
        <f>#REF!</f>
        <v>#REF!</v>
      </c>
      <c r="C296" s="397" t="e">
        <f>#REF!</f>
        <v>#REF!</v>
      </c>
      <c r="D296" s="397" t="e">
        <f>#REF!</f>
        <v>#REF!</v>
      </c>
      <c r="E296" s="397" t="e">
        <f>#REF!</f>
        <v>#REF!</v>
      </c>
      <c r="F296" s="397" t="e">
        <f>#REF!</f>
        <v>#REF!</v>
      </c>
    </row>
    <row r="297" spans="1:6">
      <c r="A297" s="396" t="e">
        <f>#REF!</f>
        <v>#REF!</v>
      </c>
      <c r="B297" s="397" t="e">
        <f>#REF!</f>
        <v>#REF!</v>
      </c>
      <c r="C297" s="397" t="e">
        <f>#REF!</f>
        <v>#REF!</v>
      </c>
      <c r="D297" s="397" t="e">
        <f>#REF!</f>
        <v>#REF!</v>
      </c>
      <c r="E297" s="397" t="e">
        <f>#REF!</f>
        <v>#REF!</v>
      </c>
      <c r="F297" s="397" t="e">
        <f>#REF!</f>
        <v>#REF!</v>
      </c>
    </row>
    <row r="298" spans="1:6">
      <c r="A298" s="396" t="e">
        <f>#REF!</f>
        <v>#REF!</v>
      </c>
      <c r="B298" s="397" t="e">
        <f>#REF!</f>
        <v>#REF!</v>
      </c>
      <c r="C298" s="397" t="e">
        <f>#REF!</f>
        <v>#REF!</v>
      </c>
      <c r="D298" s="397" t="e">
        <f>#REF!</f>
        <v>#REF!</v>
      </c>
      <c r="E298" s="397" t="e">
        <f>#REF!</f>
        <v>#REF!</v>
      </c>
      <c r="F298" s="398" t="e">
        <f>#REF!</f>
        <v>#REF!</v>
      </c>
    </row>
    <row r="299" spans="1:6">
      <c r="A299" s="396" t="e">
        <f>#REF!</f>
        <v>#REF!</v>
      </c>
      <c r="B299" s="397" t="e">
        <f>#REF!</f>
        <v>#REF!</v>
      </c>
      <c r="C299" s="397" t="e">
        <f>#REF!</f>
        <v>#REF!</v>
      </c>
      <c r="D299" s="397" t="e">
        <f>#REF!</f>
        <v>#REF!</v>
      </c>
      <c r="E299" s="397" t="e">
        <f>#REF!</f>
        <v>#REF!</v>
      </c>
      <c r="F299" s="397" t="e">
        <f>#REF!</f>
        <v>#REF!</v>
      </c>
    </row>
    <row r="300" spans="1:6">
      <c r="A300" s="396" t="e">
        <f>#REF!</f>
        <v>#REF!</v>
      </c>
      <c r="B300" s="397" t="e">
        <f>#REF!</f>
        <v>#REF!</v>
      </c>
      <c r="C300" s="398" t="e">
        <f>#REF!</f>
        <v>#REF!</v>
      </c>
      <c r="D300" s="397" t="e">
        <f>#REF!</f>
        <v>#REF!</v>
      </c>
      <c r="E300" s="397" t="e">
        <f>#REF!</f>
        <v>#REF!</v>
      </c>
      <c r="F300" s="397" t="e">
        <f>#REF!</f>
        <v>#REF!</v>
      </c>
    </row>
    <row r="301" spans="1:6" ht="45">
      <c r="A301" s="396" t="e">
        <f>#REF!</f>
        <v>#REF!</v>
      </c>
      <c r="B301" s="397" t="e">
        <f>#REF!</f>
        <v>#REF!</v>
      </c>
      <c r="C301" s="402" t="e">
        <f>#REF!</f>
        <v>#REF!</v>
      </c>
      <c r="D301" s="397" t="e">
        <f>#REF!</f>
        <v>#REF!</v>
      </c>
      <c r="E301" s="397" t="e">
        <f>#REF!</f>
        <v>#REF!</v>
      </c>
      <c r="F301" s="397" t="e">
        <f>#REF!</f>
        <v>#REF!</v>
      </c>
    </row>
    <row r="302" spans="1:6">
      <c r="A302" s="396" t="e">
        <f>#REF!</f>
        <v>#REF!</v>
      </c>
      <c r="B302" s="397" t="e">
        <f>#REF!</f>
        <v>#REF!</v>
      </c>
      <c r="C302" s="397" t="e">
        <f>#REF!</f>
        <v>#REF!</v>
      </c>
      <c r="D302" s="397" t="e">
        <f>#REF!</f>
        <v>#REF!</v>
      </c>
      <c r="E302" s="397" t="e">
        <f>#REF!</f>
        <v>#REF!</v>
      </c>
      <c r="F302" s="397" t="e">
        <f>#REF!</f>
        <v>#REF!</v>
      </c>
    </row>
    <row r="303" spans="1:6" ht="225.6" customHeight="1">
      <c r="A303" s="396" t="e">
        <f>#REF!</f>
        <v>#REF!</v>
      </c>
      <c r="B303" s="397" t="e">
        <f>#REF!</f>
        <v>#REF!</v>
      </c>
      <c r="C303" s="399" t="e">
        <f>#REF!</f>
        <v>#REF!</v>
      </c>
      <c r="D303" s="397" t="e">
        <f>#REF!</f>
        <v>#REF!</v>
      </c>
      <c r="E303" s="397" t="e">
        <f>#REF!</f>
        <v>#REF!</v>
      </c>
      <c r="F303" s="397" t="e">
        <f>#REF!</f>
        <v>#REF!</v>
      </c>
    </row>
    <row r="304" spans="1:6">
      <c r="A304" s="396" t="e">
        <f>#REF!</f>
        <v>#REF!</v>
      </c>
      <c r="B304" s="397" t="e">
        <f>#REF!</f>
        <v>#REF!</v>
      </c>
      <c r="C304" s="399" t="e">
        <f>#REF!</f>
        <v>#REF!</v>
      </c>
      <c r="D304" s="397" t="e">
        <f>#REF!</f>
        <v>#REF!</v>
      </c>
      <c r="E304" s="397" t="e">
        <f>#REF!</f>
        <v>#REF!</v>
      </c>
      <c r="F304" s="397" t="e">
        <f>#REF!</f>
        <v>#REF!</v>
      </c>
    </row>
    <row r="305" spans="1:6">
      <c r="A305" s="396" t="e">
        <f>#REF!</f>
        <v>#REF!</v>
      </c>
      <c r="B305" s="397" t="e">
        <f>#REF!</f>
        <v>#REF!</v>
      </c>
      <c r="C305" s="399" t="e">
        <f>#REF!</f>
        <v>#REF!</v>
      </c>
      <c r="D305" s="397" t="e">
        <f>#REF!</f>
        <v>#REF!</v>
      </c>
      <c r="E305" s="397" t="e">
        <f>#REF!</f>
        <v>#REF!</v>
      </c>
      <c r="F305" s="397" t="e">
        <f>#REF!</f>
        <v>#REF!</v>
      </c>
    </row>
    <row r="306" spans="1:6" ht="30">
      <c r="A306" s="396" t="e">
        <f>#REF!</f>
        <v>#REF!</v>
      </c>
      <c r="B306" s="397" t="e">
        <f>#REF!</f>
        <v>#REF!</v>
      </c>
      <c r="C306" s="399" t="e">
        <f>#REF!</f>
        <v>#REF!</v>
      </c>
      <c r="D306" s="397" t="e">
        <f>#REF!</f>
        <v>#REF!</v>
      </c>
      <c r="E306" s="397" t="e">
        <f>#REF!</f>
        <v>#REF!</v>
      </c>
      <c r="F306" s="397" t="e">
        <f>#REF!</f>
        <v>#REF!</v>
      </c>
    </row>
    <row r="307" spans="1:6">
      <c r="A307" s="396" t="e">
        <f>#REF!</f>
        <v>#REF!</v>
      </c>
      <c r="B307" s="397" t="e">
        <f>#REF!</f>
        <v>#REF!</v>
      </c>
      <c r="C307" s="399" t="e">
        <f>#REF!</f>
        <v>#REF!</v>
      </c>
      <c r="D307" s="397" t="e">
        <f>#REF!</f>
        <v>#REF!</v>
      </c>
      <c r="E307" s="397" t="e">
        <f>#REF!</f>
        <v>#REF!</v>
      </c>
      <c r="F307" s="397" t="e">
        <f>#REF!</f>
        <v>#REF!</v>
      </c>
    </row>
    <row r="308" spans="1:6" ht="30">
      <c r="A308" s="396" t="e">
        <f>#REF!</f>
        <v>#REF!</v>
      </c>
      <c r="B308" s="397" t="e">
        <f>#REF!</f>
        <v>#REF!</v>
      </c>
      <c r="C308" s="399" t="e">
        <f>#REF!</f>
        <v>#REF!</v>
      </c>
      <c r="D308" s="397" t="e">
        <f>#REF!</f>
        <v>#REF!</v>
      </c>
      <c r="E308" s="397" t="e">
        <f>#REF!</f>
        <v>#REF!</v>
      </c>
      <c r="F308" s="397" t="e">
        <f>#REF!</f>
        <v>#REF!</v>
      </c>
    </row>
    <row r="309" spans="1:6" ht="30">
      <c r="A309" s="396" t="e">
        <f>#REF!</f>
        <v>#REF!</v>
      </c>
      <c r="B309" s="397" t="e">
        <f>#REF!</f>
        <v>#REF!</v>
      </c>
      <c r="C309" s="399" t="e">
        <f>#REF!</f>
        <v>#REF!</v>
      </c>
      <c r="D309" s="397" t="e">
        <f>#REF!</f>
        <v>#REF!</v>
      </c>
      <c r="E309" s="397" t="e">
        <f>#REF!</f>
        <v>#REF!</v>
      </c>
      <c r="F309" s="397" t="e">
        <f>#REF!</f>
        <v>#REF!</v>
      </c>
    </row>
    <row r="310" spans="1:6" ht="30">
      <c r="A310" s="396" t="e">
        <f>#REF!</f>
        <v>#REF!</v>
      </c>
      <c r="B310" s="397" t="e">
        <f>#REF!</f>
        <v>#REF!</v>
      </c>
      <c r="C310" s="399" t="e">
        <f>#REF!</f>
        <v>#REF!</v>
      </c>
      <c r="D310" s="397" t="e">
        <f>#REF!</f>
        <v>#REF!</v>
      </c>
      <c r="E310" s="397" t="e">
        <f>#REF!</f>
        <v>#REF!</v>
      </c>
      <c r="F310" s="397" t="e">
        <f>#REF!</f>
        <v>#REF!</v>
      </c>
    </row>
    <row r="311" spans="1:6">
      <c r="A311" s="396" t="e">
        <f>#REF!</f>
        <v>#REF!</v>
      </c>
      <c r="B311" s="397" t="e">
        <f>#REF!</f>
        <v>#REF!</v>
      </c>
      <c r="C311" s="397" t="e">
        <f>#REF!</f>
        <v>#REF!</v>
      </c>
      <c r="D311" s="397" t="e">
        <f>#REF!</f>
        <v>#REF!</v>
      </c>
      <c r="E311" s="397" t="e">
        <f>#REF!</f>
        <v>#REF!</v>
      </c>
      <c r="F311" s="397" t="e">
        <f>#REF!</f>
        <v>#REF!</v>
      </c>
    </row>
    <row r="312" spans="1:6">
      <c r="A312" s="396" t="e">
        <f>#REF!</f>
        <v>#REF!</v>
      </c>
      <c r="B312" s="397" t="e">
        <f>#REF!</f>
        <v>#REF!</v>
      </c>
      <c r="C312" s="397" t="e">
        <f>#REF!</f>
        <v>#REF!</v>
      </c>
      <c r="D312" s="397" t="e">
        <f>#REF!</f>
        <v>#REF!</v>
      </c>
      <c r="E312" s="397" t="e">
        <f>#REF!</f>
        <v>#REF!</v>
      </c>
      <c r="F312" s="397" t="e">
        <f>#REF!</f>
        <v>#REF!</v>
      </c>
    </row>
    <row r="313" spans="1:6">
      <c r="A313" s="396" t="e">
        <f>#REF!</f>
        <v>#REF!</v>
      </c>
      <c r="B313" s="397" t="e">
        <f>#REF!</f>
        <v>#REF!</v>
      </c>
      <c r="C313" s="397" t="e">
        <f>#REF!</f>
        <v>#REF!</v>
      </c>
      <c r="D313" s="397" t="e">
        <f>#REF!</f>
        <v>#REF!</v>
      </c>
      <c r="E313" s="397" t="e">
        <f>#REF!</f>
        <v>#REF!</v>
      </c>
      <c r="F313" s="398" t="e">
        <f>#REF!</f>
        <v>#REF!</v>
      </c>
    </row>
    <row r="314" spans="1:6">
      <c r="A314" s="396" t="e">
        <f>#REF!</f>
        <v>#REF!</v>
      </c>
      <c r="B314" s="397" t="e">
        <f>#REF!</f>
        <v>#REF!</v>
      </c>
      <c r="C314" s="397" t="e">
        <f>#REF!</f>
        <v>#REF!</v>
      </c>
      <c r="D314" s="397" t="e">
        <f>#REF!</f>
        <v>#REF!</v>
      </c>
      <c r="E314" s="397" t="e">
        <f>#REF!</f>
        <v>#REF!</v>
      </c>
      <c r="F314" s="397" t="e">
        <f>#REF!</f>
        <v>#REF!</v>
      </c>
    </row>
    <row r="315" spans="1:6">
      <c r="A315" s="396" t="e">
        <f>#REF!</f>
        <v>#REF!</v>
      </c>
      <c r="B315" s="397" t="e">
        <f>#REF!</f>
        <v>#REF!</v>
      </c>
      <c r="C315" s="398" t="e">
        <f>#REF!</f>
        <v>#REF!</v>
      </c>
      <c r="D315" s="397" t="e">
        <f>#REF!</f>
        <v>#REF!</v>
      </c>
      <c r="E315" s="397" t="e">
        <f>#REF!</f>
        <v>#REF!</v>
      </c>
      <c r="F315" s="397" t="e">
        <f>#REF!</f>
        <v>#REF!</v>
      </c>
    </row>
    <row r="316" spans="1:6">
      <c r="A316" s="396" t="e">
        <f>#REF!</f>
        <v>#REF!</v>
      </c>
      <c r="B316" s="397" t="e">
        <f>#REF!</f>
        <v>#REF!</v>
      </c>
      <c r="C316" s="398" t="e">
        <f>#REF!</f>
        <v>#REF!</v>
      </c>
      <c r="D316" s="397" t="e">
        <f>#REF!</f>
        <v>#REF!</v>
      </c>
      <c r="E316" s="397" t="e">
        <f>#REF!</f>
        <v>#REF!</v>
      </c>
      <c r="F316" s="397" t="e">
        <f>#REF!</f>
        <v>#REF!</v>
      </c>
    </row>
    <row r="317" spans="1:6" ht="202.15" customHeight="1">
      <c r="A317" s="396" t="e">
        <f>#REF!</f>
        <v>#REF!</v>
      </c>
      <c r="B317" s="397" t="e">
        <f>#REF!</f>
        <v>#REF!</v>
      </c>
      <c r="C317" s="399" t="e">
        <f>#REF!</f>
        <v>#REF!</v>
      </c>
      <c r="D317" s="397" t="e">
        <f>#REF!</f>
        <v>#REF!</v>
      </c>
      <c r="E317" s="397" t="e">
        <f>#REF!</f>
        <v>#REF!</v>
      </c>
      <c r="F317" s="397" t="e">
        <f>#REF!</f>
        <v>#REF!</v>
      </c>
    </row>
    <row r="318" spans="1:6">
      <c r="A318" s="396" t="e">
        <f>#REF!</f>
        <v>#REF!</v>
      </c>
      <c r="B318" s="397" t="e">
        <f>#REF!</f>
        <v>#REF!</v>
      </c>
      <c r="C318" s="397" t="e">
        <f>#REF!</f>
        <v>#REF!</v>
      </c>
      <c r="D318" s="397" t="e">
        <f>#REF!</f>
        <v>#REF!</v>
      </c>
      <c r="E318" s="397" t="e">
        <f>#REF!</f>
        <v>#REF!</v>
      </c>
      <c r="F318" s="397" t="e">
        <f>#REF!</f>
        <v>#REF!</v>
      </c>
    </row>
    <row r="319" spans="1:6" ht="45">
      <c r="A319" s="396" t="e">
        <f>#REF!</f>
        <v>#REF!</v>
      </c>
      <c r="B319" s="397" t="e">
        <f>#REF!</f>
        <v>#REF!</v>
      </c>
      <c r="C319" s="399" t="e">
        <f>#REF!</f>
        <v>#REF!</v>
      </c>
      <c r="D319" s="397" t="e">
        <f>#REF!</f>
        <v>#REF!</v>
      </c>
      <c r="E319" s="397" t="e">
        <f>#REF!</f>
        <v>#REF!</v>
      </c>
      <c r="F319" s="397" t="e">
        <f>#REF!</f>
        <v>#REF!</v>
      </c>
    </row>
    <row r="320" spans="1:6" ht="45">
      <c r="A320" s="396" t="e">
        <f>#REF!</f>
        <v>#REF!</v>
      </c>
      <c r="B320" s="397" t="e">
        <f>#REF!</f>
        <v>#REF!</v>
      </c>
      <c r="C320" s="399" t="e">
        <f>#REF!</f>
        <v>#REF!</v>
      </c>
      <c r="D320" s="397" t="e">
        <f>#REF!</f>
        <v>#REF!</v>
      </c>
      <c r="E320" s="397" t="e">
        <f>#REF!</f>
        <v>#REF!</v>
      </c>
      <c r="F320" s="397" t="e">
        <f>#REF!</f>
        <v>#REF!</v>
      </c>
    </row>
    <row r="321" spans="1:6" ht="30">
      <c r="A321" s="396" t="e">
        <f>#REF!</f>
        <v>#REF!</v>
      </c>
      <c r="B321" s="397" t="e">
        <f>#REF!</f>
        <v>#REF!</v>
      </c>
      <c r="C321" s="399" t="e">
        <f>#REF!</f>
        <v>#REF!</v>
      </c>
      <c r="D321" s="397" t="e">
        <f>#REF!</f>
        <v>#REF!</v>
      </c>
      <c r="E321" s="397" t="e">
        <f>#REF!</f>
        <v>#REF!</v>
      </c>
      <c r="F321" s="397" t="e">
        <f>#REF!</f>
        <v>#REF!</v>
      </c>
    </row>
    <row r="322" spans="1:6" ht="30">
      <c r="A322" s="396" t="e">
        <f>#REF!</f>
        <v>#REF!</v>
      </c>
      <c r="B322" s="397" t="e">
        <f>#REF!</f>
        <v>#REF!</v>
      </c>
      <c r="C322" s="399" t="e">
        <f>#REF!</f>
        <v>#REF!</v>
      </c>
      <c r="D322" s="397" t="e">
        <f>#REF!</f>
        <v>#REF!</v>
      </c>
      <c r="E322" s="397" t="e">
        <f>#REF!</f>
        <v>#REF!</v>
      </c>
      <c r="F322" s="397" t="e">
        <f>#REF!</f>
        <v>#REF!</v>
      </c>
    </row>
    <row r="323" spans="1:6" ht="30">
      <c r="A323" s="396" t="e">
        <f>#REF!</f>
        <v>#REF!</v>
      </c>
      <c r="B323" s="397" t="e">
        <f>#REF!</f>
        <v>#REF!</v>
      </c>
      <c r="C323" s="399" t="e">
        <f>#REF!</f>
        <v>#REF!</v>
      </c>
      <c r="D323" s="397" t="e">
        <f>#REF!</f>
        <v>#REF!</v>
      </c>
      <c r="E323" s="397" t="e">
        <f>#REF!</f>
        <v>#REF!</v>
      </c>
      <c r="F323" s="397" t="e">
        <f>#REF!</f>
        <v>#REF!</v>
      </c>
    </row>
    <row r="324" spans="1:6">
      <c r="A324" s="396" t="e">
        <f>#REF!</f>
        <v>#REF!</v>
      </c>
      <c r="B324" s="397" t="e">
        <f>#REF!</f>
        <v>#REF!</v>
      </c>
      <c r="C324" s="399" t="e">
        <f>#REF!</f>
        <v>#REF!</v>
      </c>
      <c r="D324" s="397" t="e">
        <f>#REF!</f>
        <v>#REF!</v>
      </c>
      <c r="E324" s="397" t="e">
        <f>#REF!</f>
        <v>#REF!</v>
      </c>
      <c r="F324" s="397" t="e">
        <f>#REF!</f>
        <v>#REF!</v>
      </c>
    </row>
    <row r="325" spans="1:6" ht="30">
      <c r="A325" s="396" t="e">
        <f>#REF!</f>
        <v>#REF!</v>
      </c>
      <c r="B325" s="397" t="e">
        <f>#REF!</f>
        <v>#REF!</v>
      </c>
      <c r="C325" s="399" t="e">
        <f>#REF!</f>
        <v>#REF!</v>
      </c>
      <c r="D325" s="397" t="e">
        <f>#REF!</f>
        <v>#REF!</v>
      </c>
      <c r="E325" s="397" t="e">
        <f>#REF!</f>
        <v>#REF!</v>
      </c>
      <c r="F325" s="397" t="e">
        <f>#REF!</f>
        <v>#REF!</v>
      </c>
    </row>
    <row r="326" spans="1:6" ht="30">
      <c r="A326" s="396" t="e">
        <f>#REF!</f>
        <v>#REF!</v>
      </c>
      <c r="B326" s="397" t="e">
        <f>#REF!</f>
        <v>#REF!</v>
      </c>
      <c r="C326" s="399" t="e">
        <f>#REF!</f>
        <v>#REF!</v>
      </c>
      <c r="D326" s="397" t="e">
        <f>#REF!</f>
        <v>#REF!</v>
      </c>
      <c r="E326" s="397" t="e">
        <f>#REF!</f>
        <v>#REF!</v>
      </c>
      <c r="F326" s="397" t="e">
        <f>#REF!</f>
        <v>#REF!</v>
      </c>
    </row>
    <row r="327" spans="1:6" ht="30">
      <c r="A327" s="396" t="e">
        <f>#REF!</f>
        <v>#REF!</v>
      </c>
      <c r="B327" s="397" t="e">
        <f>#REF!</f>
        <v>#REF!</v>
      </c>
      <c r="C327" s="399" t="e">
        <f>#REF!</f>
        <v>#REF!</v>
      </c>
      <c r="D327" s="397" t="e">
        <f>#REF!</f>
        <v>#REF!</v>
      </c>
      <c r="E327" s="397" t="e">
        <f>#REF!</f>
        <v>#REF!</v>
      </c>
      <c r="F327" s="397" t="e">
        <f>#REF!</f>
        <v>#REF!</v>
      </c>
    </row>
    <row r="328" spans="1:6">
      <c r="A328" s="396" t="e">
        <f>#REF!</f>
        <v>#REF!</v>
      </c>
      <c r="B328" s="397" t="e">
        <f>#REF!</f>
        <v>#REF!</v>
      </c>
      <c r="C328" s="399" t="e">
        <f>#REF!</f>
        <v>#REF!</v>
      </c>
      <c r="D328" s="397" t="e">
        <f>#REF!</f>
        <v>#REF!</v>
      </c>
      <c r="E328" s="397" t="e">
        <f>#REF!</f>
        <v>#REF!</v>
      </c>
      <c r="F328" s="397" t="e">
        <f>#REF!</f>
        <v>#REF!</v>
      </c>
    </row>
    <row r="329" spans="1:6" ht="30">
      <c r="A329" s="396" t="e">
        <f>#REF!</f>
        <v>#REF!</v>
      </c>
      <c r="B329" s="397" t="e">
        <f>#REF!</f>
        <v>#REF!</v>
      </c>
      <c r="C329" s="399" t="e">
        <f>#REF!</f>
        <v>#REF!</v>
      </c>
      <c r="D329" s="397" t="e">
        <f>#REF!</f>
        <v>#REF!</v>
      </c>
      <c r="E329" s="397" t="e">
        <f>#REF!</f>
        <v>#REF!</v>
      </c>
      <c r="F329" s="397" t="e">
        <f>#REF!</f>
        <v>#REF!</v>
      </c>
    </row>
    <row r="330" spans="1:6">
      <c r="A330" s="396" t="e">
        <f>#REF!</f>
        <v>#REF!</v>
      </c>
      <c r="B330" s="397" t="e">
        <f>#REF!</f>
        <v>#REF!</v>
      </c>
      <c r="C330" s="399" t="e">
        <f>#REF!</f>
        <v>#REF!</v>
      </c>
      <c r="D330" s="397" t="e">
        <f>#REF!</f>
        <v>#REF!</v>
      </c>
      <c r="E330" s="397" t="e">
        <f>#REF!</f>
        <v>#REF!</v>
      </c>
      <c r="F330" s="397" t="e">
        <f>#REF!</f>
        <v>#REF!</v>
      </c>
    </row>
    <row r="331" spans="1:6" ht="45">
      <c r="A331" s="396" t="e">
        <f>#REF!</f>
        <v>#REF!</v>
      </c>
      <c r="B331" s="397" t="e">
        <f>#REF!</f>
        <v>#REF!</v>
      </c>
      <c r="C331" s="399" t="e">
        <f>#REF!</f>
        <v>#REF!</v>
      </c>
      <c r="D331" s="397" t="e">
        <f>#REF!</f>
        <v>#REF!</v>
      </c>
      <c r="E331" s="397" t="e">
        <f>#REF!</f>
        <v>#REF!</v>
      </c>
      <c r="F331" s="397" t="e">
        <f>#REF!</f>
        <v>#REF!</v>
      </c>
    </row>
    <row r="332" spans="1:6">
      <c r="A332" s="396" t="e">
        <f>#REF!</f>
        <v>#REF!</v>
      </c>
      <c r="B332" s="397" t="e">
        <f>#REF!</f>
        <v>#REF!</v>
      </c>
      <c r="C332" s="397" t="e">
        <f>#REF!</f>
        <v>#REF!</v>
      </c>
      <c r="D332" s="397" t="e">
        <f>#REF!</f>
        <v>#REF!</v>
      </c>
      <c r="E332" s="397" t="e">
        <f>#REF!</f>
        <v>#REF!</v>
      </c>
      <c r="F332" s="397" t="e">
        <f>#REF!</f>
        <v>#REF!</v>
      </c>
    </row>
    <row r="333" spans="1:6">
      <c r="A333" s="396" t="e">
        <f>#REF!</f>
        <v>#REF!</v>
      </c>
      <c r="B333" s="397" t="e">
        <f>#REF!</f>
        <v>#REF!</v>
      </c>
      <c r="C333" s="397" t="e">
        <f>#REF!</f>
        <v>#REF!</v>
      </c>
      <c r="D333" s="397" t="e">
        <f>#REF!</f>
        <v>#REF!</v>
      </c>
      <c r="E333" s="397" t="e">
        <f>#REF!</f>
        <v>#REF!</v>
      </c>
      <c r="F333" s="397" t="e">
        <f>#REF!</f>
        <v>#REF!</v>
      </c>
    </row>
    <row r="334" spans="1:6">
      <c r="A334" s="396" t="e">
        <f>#REF!</f>
        <v>#REF!</v>
      </c>
      <c r="B334" s="397" t="e">
        <f>#REF!</f>
        <v>#REF!</v>
      </c>
      <c r="C334" s="397" t="e">
        <f>#REF!</f>
        <v>#REF!</v>
      </c>
      <c r="D334" s="397" t="e">
        <f>#REF!</f>
        <v>#REF!</v>
      </c>
      <c r="E334" s="397" t="e">
        <f>#REF!</f>
        <v>#REF!</v>
      </c>
      <c r="F334" s="397" t="e">
        <f>#REF!</f>
        <v>#REF!</v>
      </c>
    </row>
    <row r="335" spans="1:6">
      <c r="A335" s="396" t="e">
        <f>#REF!</f>
        <v>#REF!</v>
      </c>
      <c r="B335" s="397" t="e">
        <f>#REF!</f>
        <v>#REF!</v>
      </c>
      <c r="C335" s="397" t="e">
        <f>#REF!</f>
        <v>#REF!</v>
      </c>
      <c r="D335" s="397" t="e">
        <f>#REF!</f>
        <v>#REF!</v>
      </c>
      <c r="E335" s="397" t="e">
        <f>#REF!</f>
        <v>#REF!</v>
      </c>
      <c r="F335" s="398" t="e">
        <f>#REF!</f>
        <v>#REF!</v>
      </c>
    </row>
    <row r="336" spans="1:6">
      <c r="A336" s="396" t="e">
        <f>#REF!</f>
        <v>#REF!</v>
      </c>
      <c r="B336" s="397" t="e">
        <f>#REF!</f>
        <v>#REF!</v>
      </c>
      <c r="C336" s="397" t="e">
        <f>#REF!</f>
        <v>#REF!</v>
      </c>
      <c r="D336" s="397" t="e">
        <f>#REF!</f>
        <v>#REF!</v>
      </c>
      <c r="E336" s="397" t="e">
        <f>#REF!</f>
        <v>#REF!</v>
      </c>
      <c r="F336" s="397" t="e">
        <f>#REF!</f>
        <v>#REF!</v>
      </c>
    </row>
    <row r="337" spans="1:6">
      <c r="A337" s="396" t="e">
        <f>#REF!</f>
        <v>#REF!</v>
      </c>
      <c r="B337" s="397" t="e">
        <f>#REF!</f>
        <v>#REF!</v>
      </c>
      <c r="C337" s="397" t="e">
        <f>#REF!</f>
        <v>#REF!</v>
      </c>
      <c r="D337" s="397" t="e">
        <f>#REF!</f>
        <v>#REF!</v>
      </c>
      <c r="E337" s="397" t="e">
        <f>#REF!</f>
        <v>#REF!</v>
      </c>
      <c r="F337" s="397" t="e">
        <f>#REF!</f>
        <v>#REF!</v>
      </c>
    </row>
    <row r="338" spans="1:6">
      <c r="A338" s="396" t="e">
        <f>#REF!</f>
        <v>#REF!</v>
      </c>
      <c r="B338" s="397" t="e">
        <f>#REF!</f>
        <v>#REF!</v>
      </c>
      <c r="C338" s="397" t="e">
        <f>#REF!</f>
        <v>#REF!</v>
      </c>
      <c r="D338" s="397" t="e">
        <f>#REF!</f>
        <v>#REF!</v>
      </c>
      <c r="E338" s="397" t="e">
        <f>#REF!</f>
        <v>#REF!</v>
      </c>
      <c r="F338" s="397" t="e">
        <f>#REF!</f>
        <v>#REF!</v>
      </c>
    </row>
    <row r="339" spans="1:6">
      <c r="A339" s="396" t="e">
        <f>#REF!</f>
        <v>#REF!</v>
      </c>
      <c r="B339" s="397" t="e">
        <f>#REF!</f>
        <v>#REF!</v>
      </c>
      <c r="C339" s="397" t="e">
        <f>#REF!</f>
        <v>#REF!</v>
      </c>
      <c r="D339" s="397" t="e">
        <f>#REF!</f>
        <v>#REF!</v>
      </c>
      <c r="E339" s="397" t="e">
        <f>#REF!</f>
        <v>#REF!</v>
      </c>
      <c r="F339" s="397" t="e">
        <f>#REF!</f>
        <v>#REF!</v>
      </c>
    </row>
    <row r="340" spans="1:6">
      <c r="A340" s="396" t="e">
        <f>#REF!</f>
        <v>#REF!</v>
      </c>
      <c r="B340" s="397" t="e">
        <f>#REF!</f>
        <v>#REF!</v>
      </c>
      <c r="C340" s="397" t="e">
        <f>#REF!</f>
        <v>#REF!</v>
      </c>
      <c r="D340" s="397" t="e">
        <f>#REF!</f>
        <v>#REF!</v>
      </c>
      <c r="E340" s="397" t="e">
        <f>#REF!</f>
        <v>#REF!</v>
      </c>
      <c r="F340" s="397" t="e">
        <f>#REF!</f>
        <v>#REF!</v>
      </c>
    </row>
    <row r="341" spans="1:6">
      <c r="A341" s="396" t="e">
        <f>#REF!</f>
        <v>#REF!</v>
      </c>
      <c r="B341" s="397" t="e">
        <f>#REF!</f>
        <v>#REF!</v>
      </c>
      <c r="C341" s="398" t="e">
        <f>#REF!</f>
        <v>#REF!</v>
      </c>
      <c r="D341" s="397" t="e">
        <f>#REF!</f>
        <v>#REF!</v>
      </c>
      <c r="E341" s="397" t="e">
        <f>#REF!</f>
        <v>#REF!</v>
      </c>
      <c r="F341" s="397" t="e">
        <f>#REF!</f>
        <v>#REF!</v>
      </c>
    </row>
    <row r="342" spans="1:6">
      <c r="A342" s="396" t="e">
        <f>#REF!</f>
        <v>#REF!</v>
      </c>
      <c r="B342" s="397" t="e">
        <f>#REF!</f>
        <v>#REF!</v>
      </c>
      <c r="C342" s="398" t="e">
        <f>#REF!</f>
        <v>#REF!</v>
      </c>
      <c r="D342" s="397" t="e">
        <f>#REF!</f>
        <v>#REF!</v>
      </c>
      <c r="E342" s="397" t="e">
        <f>#REF!</f>
        <v>#REF!</v>
      </c>
      <c r="F342" s="397" t="e">
        <f>#REF!</f>
        <v>#REF!</v>
      </c>
    </row>
    <row r="343" spans="1:6" ht="211.15" customHeight="1">
      <c r="A343" s="396" t="e">
        <f>#REF!</f>
        <v>#REF!</v>
      </c>
      <c r="B343" s="397" t="e">
        <f>#REF!</f>
        <v>#REF!</v>
      </c>
      <c r="C343" s="399" t="e">
        <f>#REF!</f>
        <v>#REF!</v>
      </c>
      <c r="D343" s="397" t="e">
        <f>#REF!</f>
        <v>#REF!</v>
      </c>
      <c r="E343" s="397" t="e">
        <f>#REF!</f>
        <v>#REF!</v>
      </c>
      <c r="F343" s="397" t="e">
        <f>#REF!</f>
        <v>#REF!</v>
      </c>
    </row>
    <row r="344" spans="1:6" ht="30">
      <c r="A344" s="396" t="e">
        <f>#REF!</f>
        <v>#REF!</v>
      </c>
      <c r="B344" s="397" t="e">
        <f>#REF!</f>
        <v>#REF!</v>
      </c>
      <c r="C344" s="399" t="e">
        <f>#REF!</f>
        <v>#REF!</v>
      </c>
      <c r="D344" s="397" t="e">
        <f>#REF!</f>
        <v>#REF!</v>
      </c>
      <c r="E344" s="397" t="e">
        <f>#REF!</f>
        <v>#REF!</v>
      </c>
      <c r="F344" s="397" t="e">
        <f>#REF!</f>
        <v>#REF!</v>
      </c>
    </row>
    <row r="345" spans="1:6" ht="30">
      <c r="A345" s="396" t="e">
        <f>#REF!</f>
        <v>#REF!</v>
      </c>
      <c r="B345" s="397" t="e">
        <f>#REF!</f>
        <v>#REF!</v>
      </c>
      <c r="C345" s="399" t="e">
        <f>#REF!</f>
        <v>#REF!</v>
      </c>
      <c r="D345" s="397" t="e">
        <f>#REF!</f>
        <v>#REF!</v>
      </c>
      <c r="E345" s="397" t="e">
        <f>#REF!</f>
        <v>#REF!</v>
      </c>
      <c r="F345" s="397" t="e">
        <f>#REF!</f>
        <v>#REF!</v>
      </c>
    </row>
    <row r="346" spans="1:6">
      <c r="A346" s="396" t="e">
        <f>#REF!</f>
        <v>#REF!</v>
      </c>
      <c r="B346" s="397" t="e">
        <f>#REF!</f>
        <v>#REF!</v>
      </c>
      <c r="C346" s="399" t="e">
        <f>#REF!</f>
        <v>#REF!</v>
      </c>
      <c r="D346" s="397" t="e">
        <f>#REF!</f>
        <v>#REF!</v>
      </c>
      <c r="E346" s="397" t="e">
        <f>#REF!</f>
        <v>#REF!</v>
      </c>
      <c r="F346" s="397" t="e">
        <f>#REF!</f>
        <v>#REF!</v>
      </c>
    </row>
    <row r="347" spans="1:6">
      <c r="A347" s="396" t="e">
        <f>#REF!</f>
        <v>#REF!</v>
      </c>
      <c r="B347" s="397" t="e">
        <f>#REF!</f>
        <v>#REF!</v>
      </c>
      <c r="C347" s="399" t="e">
        <f>#REF!</f>
        <v>#REF!</v>
      </c>
      <c r="D347" s="397" t="e">
        <f>#REF!</f>
        <v>#REF!</v>
      </c>
      <c r="E347" s="397" t="e">
        <f>#REF!</f>
        <v>#REF!</v>
      </c>
      <c r="F347" s="397" t="e">
        <f>#REF!</f>
        <v>#REF!</v>
      </c>
    </row>
    <row r="348" spans="1:6" ht="30">
      <c r="A348" s="396" t="e">
        <f>#REF!</f>
        <v>#REF!</v>
      </c>
      <c r="B348" s="397" t="e">
        <f>#REF!</f>
        <v>#REF!</v>
      </c>
      <c r="C348" s="399" t="e">
        <f>#REF!</f>
        <v>#REF!</v>
      </c>
      <c r="D348" s="397" t="e">
        <f>#REF!</f>
        <v>#REF!</v>
      </c>
      <c r="E348" s="397" t="e">
        <f>#REF!</f>
        <v>#REF!</v>
      </c>
      <c r="F348" s="397" t="e">
        <f>#REF!</f>
        <v>#REF!</v>
      </c>
    </row>
    <row r="349" spans="1:6">
      <c r="A349" s="396" t="e">
        <f>#REF!</f>
        <v>#REF!</v>
      </c>
      <c r="B349" s="397" t="e">
        <f>#REF!</f>
        <v>#REF!</v>
      </c>
      <c r="C349" s="399" t="e">
        <f>#REF!</f>
        <v>#REF!</v>
      </c>
      <c r="D349" s="397" t="e">
        <f>#REF!</f>
        <v>#REF!</v>
      </c>
      <c r="E349" s="397" t="e">
        <f>#REF!</f>
        <v>#REF!</v>
      </c>
      <c r="F349" s="397" t="e">
        <f>#REF!</f>
        <v>#REF!</v>
      </c>
    </row>
    <row r="350" spans="1:6">
      <c r="A350" s="396" t="e">
        <f>#REF!</f>
        <v>#REF!</v>
      </c>
      <c r="B350" s="397" t="e">
        <f>#REF!</f>
        <v>#REF!</v>
      </c>
      <c r="C350" s="399" t="e">
        <f>#REF!</f>
        <v>#REF!</v>
      </c>
      <c r="D350" s="397" t="e">
        <f>#REF!</f>
        <v>#REF!</v>
      </c>
      <c r="E350" s="397" t="e">
        <f>#REF!</f>
        <v>#REF!</v>
      </c>
      <c r="F350" s="397" t="e">
        <f>#REF!</f>
        <v>#REF!</v>
      </c>
    </row>
    <row r="351" spans="1:6">
      <c r="A351" s="396" t="e">
        <f>#REF!</f>
        <v>#REF!</v>
      </c>
      <c r="B351" s="397" t="e">
        <f>#REF!</f>
        <v>#REF!</v>
      </c>
      <c r="C351" s="399" t="e">
        <f>#REF!</f>
        <v>#REF!</v>
      </c>
      <c r="D351" s="397" t="e">
        <f>#REF!</f>
        <v>#REF!</v>
      </c>
      <c r="E351" s="397" t="e">
        <f>#REF!</f>
        <v>#REF!</v>
      </c>
      <c r="F351" s="397" t="e">
        <f>#REF!</f>
        <v>#REF!</v>
      </c>
    </row>
    <row r="352" spans="1:6">
      <c r="A352" s="396" t="e">
        <f>#REF!</f>
        <v>#REF!</v>
      </c>
      <c r="B352" s="397" t="e">
        <f>#REF!</f>
        <v>#REF!</v>
      </c>
      <c r="C352" s="399" t="e">
        <f>#REF!</f>
        <v>#REF!</v>
      </c>
      <c r="D352" s="397" t="e">
        <f>#REF!</f>
        <v>#REF!</v>
      </c>
      <c r="E352" s="397" t="e">
        <f>#REF!</f>
        <v>#REF!</v>
      </c>
      <c r="F352" s="397" t="e">
        <f>#REF!</f>
        <v>#REF!</v>
      </c>
    </row>
    <row r="353" spans="1:6">
      <c r="A353" s="396" t="e">
        <f>#REF!</f>
        <v>#REF!</v>
      </c>
      <c r="B353" s="397" t="e">
        <f>#REF!</f>
        <v>#REF!</v>
      </c>
      <c r="C353" s="399" t="e">
        <f>#REF!</f>
        <v>#REF!</v>
      </c>
      <c r="D353" s="397" t="e">
        <f>#REF!</f>
        <v>#REF!</v>
      </c>
      <c r="E353" s="397" t="e">
        <f>#REF!</f>
        <v>#REF!</v>
      </c>
      <c r="F353" s="397" t="e">
        <f>#REF!</f>
        <v>#REF!</v>
      </c>
    </row>
    <row r="354" spans="1:6" ht="45">
      <c r="A354" s="396" t="e">
        <f>#REF!</f>
        <v>#REF!</v>
      </c>
      <c r="B354" s="397" t="e">
        <f>#REF!</f>
        <v>#REF!</v>
      </c>
      <c r="C354" s="399" t="e">
        <f>#REF!</f>
        <v>#REF!</v>
      </c>
      <c r="D354" s="397" t="e">
        <f>#REF!</f>
        <v>#REF!</v>
      </c>
      <c r="E354" s="397" t="e">
        <f>#REF!</f>
        <v>#REF!</v>
      </c>
      <c r="F354" s="397" t="e">
        <f>#REF!</f>
        <v>#REF!</v>
      </c>
    </row>
    <row r="355" spans="1:6">
      <c r="A355" s="396" t="e">
        <f>#REF!</f>
        <v>#REF!</v>
      </c>
      <c r="B355" s="397" t="e">
        <f>#REF!</f>
        <v>#REF!</v>
      </c>
      <c r="C355" s="397" t="e">
        <f>#REF!</f>
        <v>#REF!</v>
      </c>
      <c r="D355" s="397" t="e">
        <f>#REF!</f>
        <v>#REF!</v>
      </c>
      <c r="E355" s="397" t="e">
        <f>#REF!</f>
        <v>#REF!</v>
      </c>
      <c r="F355" s="397" t="e">
        <f>#REF!</f>
        <v>#REF!</v>
      </c>
    </row>
    <row r="356" spans="1:6">
      <c r="A356" s="396" t="e">
        <f>#REF!</f>
        <v>#REF!</v>
      </c>
      <c r="B356" s="397" t="e">
        <f>#REF!</f>
        <v>#REF!</v>
      </c>
      <c r="C356" s="397" t="e">
        <f>#REF!</f>
        <v>#REF!</v>
      </c>
      <c r="D356" s="397" t="e">
        <f>#REF!</f>
        <v>#REF!</v>
      </c>
      <c r="E356" s="397" t="e">
        <f>#REF!</f>
        <v>#REF!</v>
      </c>
      <c r="F356" s="397" t="e">
        <f>#REF!</f>
        <v>#REF!</v>
      </c>
    </row>
    <row r="357" spans="1:6">
      <c r="A357" s="396" t="e">
        <f>#REF!</f>
        <v>#REF!</v>
      </c>
      <c r="B357" s="397" t="e">
        <f>#REF!</f>
        <v>#REF!</v>
      </c>
      <c r="C357" s="397" t="e">
        <f>#REF!</f>
        <v>#REF!</v>
      </c>
      <c r="D357" s="397" t="e">
        <f>#REF!</f>
        <v>#REF!</v>
      </c>
      <c r="E357" s="397" t="e">
        <f>#REF!</f>
        <v>#REF!</v>
      </c>
      <c r="F357" s="397" t="e">
        <f>#REF!</f>
        <v>#REF!</v>
      </c>
    </row>
    <row r="358" spans="1:6">
      <c r="A358" s="396" t="e">
        <f>#REF!</f>
        <v>#REF!</v>
      </c>
      <c r="B358" s="397" t="e">
        <f>#REF!</f>
        <v>#REF!</v>
      </c>
      <c r="C358" s="397" t="e">
        <f>#REF!</f>
        <v>#REF!</v>
      </c>
      <c r="D358" s="397" t="e">
        <f>#REF!</f>
        <v>#REF!</v>
      </c>
      <c r="E358" s="397" t="e">
        <f>#REF!</f>
        <v>#REF!</v>
      </c>
      <c r="F358" s="398" t="e">
        <f>#REF!</f>
        <v>#REF!</v>
      </c>
    </row>
    <row r="359" spans="1:6">
      <c r="A359" s="396" t="e">
        <f>#REF!</f>
        <v>#REF!</v>
      </c>
      <c r="B359" s="397" t="e">
        <f>#REF!</f>
        <v>#REF!</v>
      </c>
      <c r="C359" s="397" t="e">
        <f>#REF!</f>
        <v>#REF!</v>
      </c>
      <c r="D359" s="397" t="e">
        <f>#REF!</f>
        <v>#REF!</v>
      </c>
      <c r="E359" s="397" t="e">
        <f>#REF!</f>
        <v>#REF!</v>
      </c>
      <c r="F359" s="397" t="e">
        <f>#REF!</f>
        <v>#REF!</v>
      </c>
    </row>
    <row r="360" spans="1:6">
      <c r="A360" s="396" t="e">
        <f>#REF!</f>
        <v>#REF!</v>
      </c>
      <c r="B360" s="397" t="e">
        <f>#REF!</f>
        <v>#REF!</v>
      </c>
      <c r="C360" s="398" t="e">
        <f>#REF!</f>
        <v>#REF!</v>
      </c>
      <c r="D360" s="397" t="e">
        <f>#REF!</f>
        <v>#REF!</v>
      </c>
      <c r="E360" s="397" t="e">
        <f>#REF!</f>
        <v>#REF!</v>
      </c>
      <c r="F360" s="397" t="e">
        <f>#REF!</f>
        <v>#REF!</v>
      </c>
    </row>
    <row r="361" spans="1:6" ht="30">
      <c r="A361" s="396" t="e">
        <f>#REF!</f>
        <v>#REF!</v>
      </c>
      <c r="B361" s="397" t="e">
        <f>#REF!</f>
        <v>#REF!</v>
      </c>
      <c r="C361" s="402" t="e">
        <f>#REF!</f>
        <v>#REF!</v>
      </c>
      <c r="D361" s="397" t="e">
        <f>#REF!</f>
        <v>#REF!</v>
      </c>
      <c r="E361" s="397" t="e">
        <f>#REF!</f>
        <v>#REF!</v>
      </c>
      <c r="F361" s="397" t="e">
        <f>#REF!</f>
        <v>#REF!</v>
      </c>
    </row>
    <row r="362" spans="1:6">
      <c r="A362" s="396" t="e">
        <f>#REF!</f>
        <v>#REF!</v>
      </c>
      <c r="B362" s="397" t="e">
        <f>#REF!</f>
        <v>#REF!</v>
      </c>
      <c r="C362" s="397" t="e">
        <f>#REF!</f>
        <v>#REF!</v>
      </c>
      <c r="D362" s="397" t="e">
        <f>#REF!</f>
        <v>#REF!</v>
      </c>
      <c r="E362" s="397" t="e">
        <f>#REF!</f>
        <v>#REF!</v>
      </c>
      <c r="F362" s="397" t="e">
        <f>#REF!</f>
        <v>#REF!</v>
      </c>
    </row>
    <row r="363" spans="1:6" ht="210" customHeight="1">
      <c r="A363" s="396" t="e">
        <f>#REF!</f>
        <v>#REF!</v>
      </c>
      <c r="B363" s="397" t="e">
        <f>#REF!</f>
        <v>#REF!</v>
      </c>
      <c r="C363" s="399" t="e">
        <f>#REF!</f>
        <v>#REF!</v>
      </c>
      <c r="D363" s="397" t="e">
        <f>#REF!</f>
        <v>#REF!</v>
      </c>
      <c r="E363" s="397" t="e">
        <f>#REF!</f>
        <v>#REF!</v>
      </c>
      <c r="F363" s="397" t="e">
        <f>#REF!</f>
        <v>#REF!</v>
      </c>
    </row>
    <row r="364" spans="1:6" ht="30">
      <c r="A364" s="396" t="e">
        <f>#REF!</f>
        <v>#REF!</v>
      </c>
      <c r="B364" s="397" t="e">
        <f>#REF!</f>
        <v>#REF!</v>
      </c>
      <c r="C364" s="399" t="e">
        <f>#REF!</f>
        <v>#REF!</v>
      </c>
      <c r="D364" s="397" t="e">
        <f>#REF!</f>
        <v>#REF!</v>
      </c>
      <c r="E364" s="397" t="e">
        <f>#REF!</f>
        <v>#REF!</v>
      </c>
      <c r="F364" s="397" t="e">
        <f>#REF!</f>
        <v>#REF!</v>
      </c>
    </row>
    <row r="365" spans="1:6" ht="30">
      <c r="A365" s="396" t="e">
        <f>#REF!</f>
        <v>#REF!</v>
      </c>
      <c r="B365" s="397" t="e">
        <f>#REF!</f>
        <v>#REF!</v>
      </c>
      <c r="C365" s="399" t="e">
        <f>#REF!</f>
        <v>#REF!</v>
      </c>
      <c r="D365" s="397" t="e">
        <f>#REF!</f>
        <v>#REF!</v>
      </c>
      <c r="E365" s="397" t="e">
        <f>#REF!</f>
        <v>#REF!</v>
      </c>
      <c r="F365" s="397" t="e">
        <f>#REF!</f>
        <v>#REF!</v>
      </c>
    </row>
    <row r="366" spans="1:6">
      <c r="A366" s="396" t="e">
        <f>#REF!</f>
        <v>#REF!</v>
      </c>
      <c r="B366" s="397" t="e">
        <f>#REF!</f>
        <v>#REF!</v>
      </c>
      <c r="C366" s="399" t="e">
        <f>#REF!</f>
        <v>#REF!</v>
      </c>
      <c r="D366" s="397" t="e">
        <f>#REF!</f>
        <v>#REF!</v>
      </c>
      <c r="E366" s="397" t="e">
        <f>#REF!</f>
        <v>#REF!</v>
      </c>
      <c r="F366" s="397" t="e">
        <f>#REF!</f>
        <v>#REF!</v>
      </c>
    </row>
    <row r="367" spans="1:6">
      <c r="A367" s="396" t="e">
        <f>#REF!</f>
        <v>#REF!</v>
      </c>
      <c r="B367" s="397" t="e">
        <f>#REF!</f>
        <v>#REF!</v>
      </c>
      <c r="C367" s="399" t="e">
        <f>#REF!</f>
        <v>#REF!</v>
      </c>
      <c r="D367" s="397" t="e">
        <f>#REF!</f>
        <v>#REF!</v>
      </c>
      <c r="E367" s="397" t="e">
        <f>#REF!</f>
        <v>#REF!</v>
      </c>
      <c r="F367" s="397" t="e">
        <f>#REF!</f>
        <v>#REF!</v>
      </c>
    </row>
    <row r="368" spans="1:6">
      <c r="A368" s="396" t="e">
        <f>#REF!</f>
        <v>#REF!</v>
      </c>
      <c r="B368" s="397" t="e">
        <f>#REF!</f>
        <v>#REF!</v>
      </c>
      <c r="C368" s="399" t="e">
        <f>#REF!</f>
        <v>#REF!</v>
      </c>
      <c r="D368" s="397" t="e">
        <f>#REF!</f>
        <v>#REF!</v>
      </c>
      <c r="E368" s="397" t="e">
        <f>#REF!</f>
        <v>#REF!</v>
      </c>
      <c r="F368" s="397" t="e">
        <f>#REF!</f>
        <v>#REF!</v>
      </c>
    </row>
    <row r="369" spans="1:6">
      <c r="A369" s="396" t="e">
        <f>#REF!</f>
        <v>#REF!</v>
      </c>
      <c r="B369" s="397" t="e">
        <f>#REF!</f>
        <v>#REF!</v>
      </c>
      <c r="C369" s="399" t="e">
        <f>#REF!</f>
        <v>#REF!</v>
      </c>
      <c r="D369" s="397" t="e">
        <f>#REF!</f>
        <v>#REF!</v>
      </c>
      <c r="E369" s="397" t="e">
        <f>#REF!</f>
        <v>#REF!</v>
      </c>
      <c r="F369" s="397" t="e">
        <f>#REF!</f>
        <v>#REF!</v>
      </c>
    </row>
    <row r="370" spans="1:6" ht="60">
      <c r="A370" s="396" t="e">
        <f>#REF!</f>
        <v>#REF!</v>
      </c>
      <c r="B370" s="397" t="e">
        <f>#REF!</f>
        <v>#REF!</v>
      </c>
      <c r="C370" s="399" t="e">
        <f>#REF!</f>
        <v>#REF!</v>
      </c>
      <c r="D370" s="397" t="e">
        <f>#REF!</f>
        <v>#REF!</v>
      </c>
      <c r="E370" s="397" t="e">
        <f>#REF!</f>
        <v>#REF!</v>
      </c>
      <c r="F370" s="397" t="e">
        <f>#REF!</f>
        <v>#REF!</v>
      </c>
    </row>
    <row r="371" spans="1:6">
      <c r="A371" s="396" t="e">
        <f>#REF!</f>
        <v>#REF!</v>
      </c>
      <c r="B371" s="397" t="e">
        <f>#REF!</f>
        <v>#REF!</v>
      </c>
      <c r="C371" s="399" t="e">
        <f>#REF!</f>
        <v>#REF!</v>
      </c>
      <c r="D371" s="397" t="e">
        <f>#REF!</f>
        <v>#REF!</v>
      </c>
      <c r="E371" s="397" t="e">
        <f>#REF!</f>
        <v>#REF!</v>
      </c>
      <c r="F371" s="397" t="e">
        <f>#REF!</f>
        <v>#REF!</v>
      </c>
    </row>
    <row r="372" spans="1:6">
      <c r="A372" s="396" t="e">
        <f>#REF!</f>
        <v>#REF!</v>
      </c>
      <c r="B372" s="397" t="e">
        <f>#REF!</f>
        <v>#REF!</v>
      </c>
      <c r="C372" s="399" t="e">
        <f>#REF!</f>
        <v>#REF!</v>
      </c>
      <c r="D372" s="397" t="e">
        <f>#REF!</f>
        <v>#REF!</v>
      </c>
      <c r="E372" s="397" t="e">
        <f>#REF!</f>
        <v>#REF!</v>
      </c>
      <c r="F372" s="397" t="e">
        <f>#REF!</f>
        <v>#REF!</v>
      </c>
    </row>
    <row r="373" spans="1:6">
      <c r="A373" s="396" t="e">
        <f>#REF!</f>
        <v>#REF!</v>
      </c>
      <c r="B373" s="397" t="e">
        <f>#REF!</f>
        <v>#REF!</v>
      </c>
      <c r="C373" s="399" t="e">
        <f>#REF!</f>
        <v>#REF!</v>
      </c>
      <c r="D373" s="397" t="e">
        <f>#REF!</f>
        <v>#REF!</v>
      </c>
      <c r="E373" s="397" t="e">
        <f>#REF!</f>
        <v>#REF!</v>
      </c>
      <c r="F373" s="397" t="e">
        <f>#REF!</f>
        <v>#REF!</v>
      </c>
    </row>
    <row r="374" spans="1:6" ht="45">
      <c r="A374" s="396" t="e">
        <f>#REF!</f>
        <v>#REF!</v>
      </c>
      <c r="B374" s="397" t="e">
        <f>#REF!</f>
        <v>#REF!</v>
      </c>
      <c r="C374" s="399" t="e">
        <f>#REF!</f>
        <v>#REF!</v>
      </c>
      <c r="D374" s="397" t="e">
        <f>#REF!</f>
        <v>#REF!</v>
      </c>
      <c r="E374" s="397" t="e">
        <f>#REF!</f>
        <v>#REF!</v>
      </c>
      <c r="F374" s="397" t="e">
        <f>#REF!</f>
        <v>#REF!</v>
      </c>
    </row>
    <row r="375" spans="1:6">
      <c r="A375" s="396" t="e">
        <f>#REF!</f>
        <v>#REF!</v>
      </c>
      <c r="B375" s="397" t="e">
        <f>#REF!</f>
        <v>#REF!</v>
      </c>
      <c r="C375" s="399" t="e">
        <f>#REF!</f>
        <v>#REF!</v>
      </c>
      <c r="D375" s="397" t="e">
        <f>#REF!</f>
        <v>#REF!</v>
      </c>
      <c r="E375" s="397" t="e">
        <f>#REF!</f>
        <v>#REF!</v>
      </c>
      <c r="F375" s="397" t="e">
        <f>#REF!</f>
        <v>#REF!</v>
      </c>
    </row>
    <row r="376" spans="1:6">
      <c r="A376" s="396" t="e">
        <f>#REF!</f>
        <v>#REF!</v>
      </c>
      <c r="B376" s="397" t="e">
        <f>#REF!</f>
        <v>#REF!</v>
      </c>
      <c r="C376" s="397" t="e">
        <f>#REF!</f>
        <v>#REF!</v>
      </c>
      <c r="D376" s="397" t="e">
        <f>#REF!</f>
        <v>#REF!</v>
      </c>
      <c r="E376" s="397" t="e">
        <f>#REF!</f>
        <v>#REF!</v>
      </c>
      <c r="F376" s="397" t="e">
        <f>#REF!</f>
        <v>#REF!</v>
      </c>
    </row>
    <row r="377" spans="1:6">
      <c r="A377" s="396" t="e">
        <f>#REF!</f>
        <v>#REF!</v>
      </c>
      <c r="B377" s="397" t="e">
        <f>#REF!</f>
        <v>#REF!</v>
      </c>
      <c r="C377" s="397" t="e">
        <f>#REF!</f>
        <v>#REF!</v>
      </c>
      <c r="D377" s="397" t="e">
        <f>#REF!</f>
        <v>#REF!</v>
      </c>
      <c r="E377" s="397" t="e">
        <f>#REF!</f>
        <v>#REF!</v>
      </c>
      <c r="F377" s="397" t="e">
        <f>#REF!</f>
        <v>#REF!</v>
      </c>
    </row>
    <row r="378" spans="1:6">
      <c r="A378" s="396" t="e">
        <f>#REF!</f>
        <v>#REF!</v>
      </c>
      <c r="B378" s="397" t="e">
        <f>#REF!</f>
        <v>#REF!</v>
      </c>
      <c r="C378" s="397" t="e">
        <f>#REF!</f>
        <v>#REF!</v>
      </c>
      <c r="D378" s="397" t="e">
        <f>#REF!</f>
        <v>#REF!</v>
      </c>
      <c r="E378" s="397" t="e">
        <f>#REF!</f>
        <v>#REF!</v>
      </c>
      <c r="F378" s="398" t="e">
        <f>#REF!</f>
        <v>#REF!</v>
      </c>
    </row>
    <row r="379" spans="1:6">
      <c r="A379" s="396" t="e">
        <f>#REF!</f>
        <v>#REF!</v>
      </c>
      <c r="B379" s="397" t="e">
        <f>#REF!</f>
        <v>#REF!</v>
      </c>
      <c r="C379" s="397" t="e">
        <f>#REF!</f>
        <v>#REF!</v>
      </c>
      <c r="D379" s="397" t="e">
        <f>#REF!</f>
        <v>#REF!</v>
      </c>
      <c r="E379" s="397" t="e">
        <f>#REF!</f>
        <v>#REF!</v>
      </c>
      <c r="F379" s="397" t="e">
        <f>#REF!</f>
        <v>#REF!</v>
      </c>
    </row>
    <row r="380" spans="1:6">
      <c r="A380" s="396" t="e">
        <f>#REF!</f>
        <v>#REF!</v>
      </c>
      <c r="B380" s="397" t="e">
        <f>#REF!</f>
        <v>#REF!</v>
      </c>
      <c r="C380" s="398" t="e">
        <f>#REF!</f>
        <v>#REF!</v>
      </c>
      <c r="D380" s="397" t="e">
        <f>#REF!</f>
        <v>#REF!</v>
      </c>
      <c r="E380" s="397" t="e">
        <f>#REF!</f>
        <v>#REF!</v>
      </c>
      <c r="F380" s="397" t="e">
        <f>#REF!</f>
        <v>#REF!</v>
      </c>
    </row>
    <row r="381" spans="1:6" ht="30">
      <c r="A381" s="396" t="e">
        <f>#REF!</f>
        <v>#REF!</v>
      </c>
      <c r="B381" s="397" t="e">
        <f>#REF!</f>
        <v>#REF!</v>
      </c>
      <c r="C381" s="402" t="e">
        <f>#REF!</f>
        <v>#REF!</v>
      </c>
      <c r="D381" s="397" t="e">
        <f>#REF!</f>
        <v>#REF!</v>
      </c>
      <c r="E381" s="397" t="e">
        <f>#REF!</f>
        <v>#REF!</v>
      </c>
      <c r="F381" s="397" t="e">
        <f>#REF!</f>
        <v>#REF!</v>
      </c>
    </row>
    <row r="382" spans="1:6">
      <c r="A382" s="396" t="e">
        <f>#REF!</f>
        <v>#REF!</v>
      </c>
      <c r="B382" s="397" t="e">
        <f>#REF!</f>
        <v>#REF!</v>
      </c>
      <c r="C382" s="397" t="e">
        <f>#REF!</f>
        <v>#REF!</v>
      </c>
      <c r="D382" s="397" t="e">
        <f>#REF!</f>
        <v>#REF!</v>
      </c>
      <c r="E382" s="397" t="e">
        <f>#REF!</f>
        <v>#REF!</v>
      </c>
      <c r="F382" s="397" t="e">
        <f>#REF!</f>
        <v>#REF!</v>
      </c>
    </row>
    <row r="383" spans="1:6" ht="207" customHeight="1">
      <c r="A383" s="396" t="e">
        <f>#REF!</f>
        <v>#REF!</v>
      </c>
      <c r="B383" s="397" t="e">
        <f>#REF!</f>
        <v>#REF!</v>
      </c>
      <c r="C383" s="399" t="e">
        <f>#REF!</f>
        <v>#REF!</v>
      </c>
      <c r="D383" s="397" t="e">
        <f>#REF!</f>
        <v>#REF!</v>
      </c>
      <c r="E383" s="397" t="e">
        <f>#REF!</f>
        <v>#REF!</v>
      </c>
      <c r="F383" s="397" t="e">
        <f>#REF!</f>
        <v>#REF!</v>
      </c>
    </row>
    <row r="384" spans="1:6">
      <c r="A384" s="396" t="e">
        <f>#REF!</f>
        <v>#REF!</v>
      </c>
      <c r="B384" s="397" t="e">
        <f>#REF!</f>
        <v>#REF!</v>
      </c>
      <c r="C384" s="397" t="e">
        <f>#REF!</f>
        <v>#REF!</v>
      </c>
      <c r="D384" s="397" t="e">
        <f>#REF!</f>
        <v>#REF!</v>
      </c>
      <c r="E384" s="397" t="e">
        <f>#REF!</f>
        <v>#REF!</v>
      </c>
      <c r="F384" s="397" t="e">
        <f>#REF!</f>
        <v>#REF!</v>
      </c>
    </row>
    <row r="385" spans="1:6" ht="30">
      <c r="A385" s="396" t="e">
        <f>#REF!</f>
        <v>#REF!</v>
      </c>
      <c r="B385" s="397" t="e">
        <f>#REF!</f>
        <v>#REF!</v>
      </c>
      <c r="C385" s="399" t="e">
        <f>#REF!</f>
        <v>#REF!</v>
      </c>
      <c r="D385" s="397" t="e">
        <f>#REF!</f>
        <v>#REF!</v>
      </c>
      <c r="E385" s="397" t="e">
        <f>#REF!</f>
        <v>#REF!</v>
      </c>
      <c r="F385" s="397" t="e">
        <f>#REF!</f>
        <v>#REF!</v>
      </c>
    </row>
    <row r="386" spans="1:6" ht="30">
      <c r="A386" s="396" t="e">
        <f>#REF!</f>
        <v>#REF!</v>
      </c>
      <c r="B386" s="397" t="e">
        <f>#REF!</f>
        <v>#REF!</v>
      </c>
      <c r="C386" s="399" t="e">
        <f>#REF!</f>
        <v>#REF!</v>
      </c>
      <c r="D386" s="397" t="e">
        <f>#REF!</f>
        <v>#REF!</v>
      </c>
      <c r="E386" s="397" t="e">
        <f>#REF!</f>
        <v>#REF!</v>
      </c>
      <c r="F386" s="397" t="e">
        <f>#REF!</f>
        <v>#REF!</v>
      </c>
    </row>
    <row r="387" spans="1:6" ht="60">
      <c r="A387" s="396" t="e">
        <f>#REF!</f>
        <v>#REF!</v>
      </c>
      <c r="B387" s="397" t="e">
        <f>#REF!</f>
        <v>#REF!</v>
      </c>
      <c r="C387" s="399" t="e">
        <f>#REF!</f>
        <v>#REF!</v>
      </c>
      <c r="D387" s="397" t="e">
        <f>#REF!</f>
        <v>#REF!</v>
      </c>
      <c r="E387" s="397" t="e">
        <f>#REF!</f>
        <v>#REF!</v>
      </c>
      <c r="F387" s="397" t="e">
        <f>#REF!</f>
        <v>#REF!</v>
      </c>
    </row>
    <row r="388" spans="1:6" ht="14.45" customHeight="1">
      <c r="A388" s="396" t="e">
        <f>#REF!</f>
        <v>#REF!</v>
      </c>
      <c r="B388" s="397" t="e">
        <f>#REF!</f>
        <v>#REF!</v>
      </c>
      <c r="C388" s="397" t="e">
        <f>#REF!</f>
        <v>#REF!</v>
      </c>
      <c r="D388" s="397" t="e">
        <f>#REF!</f>
        <v>#REF!</v>
      </c>
      <c r="E388" s="397" t="e">
        <f>#REF!</f>
        <v>#REF!</v>
      </c>
      <c r="F388" s="397" t="e">
        <f>#REF!</f>
        <v>#REF!</v>
      </c>
    </row>
    <row r="389" spans="1:6">
      <c r="A389" s="396" t="e">
        <f>#REF!</f>
        <v>#REF!</v>
      </c>
      <c r="B389" s="397" t="e">
        <f>#REF!</f>
        <v>#REF!</v>
      </c>
      <c r="C389" s="397" t="e">
        <f>#REF!</f>
        <v>#REF!</v>
      </c>
      <c r="D389" s="397" t="e">
        <f>#REF!</f>
        <v>#REF!</v>
      </c>
      <c r="E389" s="397" t="e">
        <f>#REF!</f>
        <v>#REF!</v>
      </c>
      <c r="F389" s="397" t="e">
        <f>#REF!</f>
        <v>#REF!</v>
      </c>
    </row>
    <row r="390" spans="1:6" ht="14.45" customHeight="1">
      <c r="A390" s="396" t="e">
        <f>#REF!</f>
        <v>#REF!</v>
      </c>
      <c r="B390" s="397" t="e">
        <f>#REF!</f>
        <v>#REF!</v>
      </c>
      <c r="C390" s="397" t="e">
        <f>#REF!</f>
        <v>#REF!</v>
      </c>
      <c r="D390" s="397" t="e">
        <f>#REF!</f>
        <v>#REF!</v>
      </c>
      <c r="E390" s="397" t="e">
        <f>#REF!</f>
        <v>#REF!</v>
      </c>
      <c r="F390" s="398" t="e">
        <f>#REF!</f>
        <v>#REF!</v>
      </c>
    </row>
    <row r="391" spans="1:6">
      <c r="A391" s="396"/>
      <c r="B391" s="397"/>
      <c r="C391" s="397"/>
      <c r="D391" s="397"/>
      <c r="E391" s="397"/>
      <c r="F391" s="398"/>
    </row>
    <row r="392" spans="1:6">
      <c r="A392" s="396" t="e">
        <f>#REF!</f>
        <v>#REF!</v>
      </c>
      <c r="B392" s="397" t="e">
        <f>#REF!</f>
        <v>#REF!</v>
      </c>
      <c r="C392" s="398" t="e">
        <f>#REF!</f>
        <v>#REF!</v>
      </c>
      <c r="D392" s="397" t="e">
        <f>#REF!</f>
        <v>#REF!</v>
      </c>
      <c r="E392" s="397" t="e">
        <f>#REF!</f>
        <v>#REF!</v>
      </c>
      <c r="F392" s="398" t="e">
        <f>#REF!</f>
        <v>#REF!</v>
      </c>
    </row>
    <row r="393" spans="1:6" ht="30">
      <c r="A393" s="396" t="e">
        <f>#REF!</f>
        <v>#REF!</v>
      </c>
      <c r="B393" s="397" t="e">
        <f>#REF!</f>
        <v>#REF!</v>
      </c>
      <c r="C393" s="399" t="e">
        <f>#REF!</f>
        <v>#REF!</v>
      </c>
      <c r="D393" s="397" t="e">
        <f>#REF!</f>
        <v>#REF!</v>
      </c>
      <c r="E393" s="397" t="e">
        <f>#REF!</f>
        <v>#REF!</v>
      </c>
      <c r="F393" s="397" t="e">
        <f>#REF!</f>
        <v>#REF!</v>
      </c>
    </row>
    <row r="394" spans="1:6" ht="30">
      <c r="A394" s="396" t="e">
        <f>#REF!</f>
        <v>#REF!</v>
      </c>
      <c r="B394" s="397" t="e">
        <f>#REF!</f>
        <v>#REF!</v>
      </c>
      <c r="C394" s="399" t="e">
        <f>#REF!</f>
        <v>#REF!</v>
      </c>
      <c r="D394" s="397" t="e">
        <f>#REF!</f>
        <v>#REF!</v>
      </c>
      <c r="E394" s="397" t="e">
        <f>#REF!</f>
        <v>#REF!</v>
      </c>
      <c r="F394" s="397" t="e">
        <f>#REF!</f>
        <v>#REF!</v>
      </c>
    </row>
    <row r="395" spans="1:6">
      <c r="A395" s="396" t="e">
        <f>#REF!</f>
        <v>#REF!</v>
      </c>
      <c r="B395" s="397" t="e">
        <f>#REF!</f>
        <v>#REF!</v>
      </c>
      <c r="C395" s="397" t="e">
        <f>#REF!</f>
        <v>#REF!</v>
      </c>
      <c r="D395" s="397" t="e">
        <f>#REF!</f>
        <v>#REF!</v>
      </c>
      <c r="E395" s="397" t="e">
        <f>#REF!</f>
        <v>#REF!</v>
      </c>
      <c r="F395" s="398" t="e">
        <f>#REF!</f>
        <v>#REF!</v>
      </c>
    </row>
    <row r="396" spans="1:6">
      <c r="A396" s="396">
        <f>[17]Data!M145</f>
        <v>0</v>
      </c>
      <c r="B396" s="397">
        <f>[17]Data!N145</f>
        <v>0</v>
      </c>
      <c r="C396" s="397" t="str">
        <f>[17]Data!O145</f>
        <v/>
      </c>
      <c r="D396" s="397">
        <f>[17]Data!P145</f>
        <v>0</v>
      </c>
      <c r="E396" s="397">
        <f>[17]Data!Q145</f>
        <v>0</v>
      </c>
      <c r="F396" s="397"/>
    </row>
    <row r="397" spans="1:6">
      <c r="A397" s="396"/>
      <c r="B397" s="397"/>
      <c r="C397" s="397"/>
      <c r="D397" s="397"/>
      <c r="E397" s="397"/>
      <c r="F397" s="397"/>
    </row>
    <row r="398" spans="1:6">
      <c r="A398" s="396" t="e">
        <f>#REF!</f>
        <v>#REF!</v>
      </c>
      <c r="B398" s="397" t="e">
        <f>#REF!</f>
        <v>#REF!</v>
      </c>
      <c r="C398" s="398" t="e">
        <f>#REF!</f>
        <v>#REF!</v>
      </c>
      <c r="D398" s="397" t="e">
        <f>#REF!</f>
        <v>#REF!</v>
      </c>
      <c r="E398" s="397" t="e">
        <f>#REF!</f>
        <v>#REF!</v>
      </c>
      <c r="F398" s="397" t="e">
        <f>#REF!</f>
        <v>#REF!</v>
      </c>
    </row>
    <row r="399" spans="1:6" ht="30">
      <c r="A399" s="396" t="e">
        <f>#REF!</f>
        <v>#REF!</v>
      </c>
      <c r="B399" s="397" t="e">
        <f>#REF!</f>
        <v>#REF!</v>
      </c>
      <c r="C399" s="402" t="e">
        <f>#REF!</f>
        <v>#REF!</v>
      </c>
      <c r="D399" s="397" t="e">
        <f>#REF!</f>
        <v>#REF!</v>
      </c>
      <c r="E399" s="397" t="e">
        <f>#REF!</f>
        <v>#REF!</v>
      </c>
      <c r="F399" s="397" t="e">
        <f>#REF!</f>
        <v>#REF!</v>
      </c>
    </row>
    <row r="400" spans="1:6">
      <c r="A400" s="396" t="e">
        <f>#REF!</f>
        <v>#REF!</v>
      </c>
      <c r="B400" s="397" t="e">
        <f>#REF!</f>
        <v>#REF!</v>
      </c>
      <c r="C400" s="397" t="e">
        <f>#REF!</f>
        <v>#REF!</v>
      </c>
      <c r="D400" s="397" t="e">
        <f>#REF!</f>
        <v>#REF!</v>
      </c>
      <c r="E400" s="397" t="e">
        <f>#REF!</f>
        <v>#REF!</v>
      </c>
      <c r="F400" s="397" t="e">
        <f>#REF!</f>
        <v>#REF!</v>
      </c>
    </row>
    <row r="401" spans="1:6">
      <c r="A401" s="396" t="e">
        <f>#REF!</f>
        <v>#REF!</v>
      </c>
      <c r="B401" s="397" t="e">
        <f>#REF!</f>
        <v>#REF!</v>
      </c>
      <c r="C401" s="399" t="e">
        <f>#REF!</f>
        <v>#REF!</v>
      </c>
      <c r="D401" s="397" t="e">
        <f>#REF!</f>
        <v>#REF!</v>
      </c>
      <c r="E401" s="397" t="e">
        <f>#REF!</f>
        <v>#REF!</v>
      </c>
      <c r="F401" s="397" t="e">
        <f>#REF!</f>
        <v>#REF!</v>
      </c>
    </row>
    <row r="402" spans="1:6">
      <c r="A402" s="396" t="e">
        <f>#REF!</f>
        <v>#REF!</v>
      </c>
      <c r="B402" s="397" t="e">
        <f>#REF!</f>
        <v>#REF!</v>
      </c>
      <c r="C402" s="397" t="e">
        <f>#REF!</f>
        <v>#REF!</v>
      </c>
      <c r="D402" s="397" t="e">
        <f>#REF!</f>
        <v>#REF!</v>
      </c>
      <c r="E402" s="397" t="e">
        <f>#REF!</f>
        <v>#REF!</v>
      </c>
      <c r="F402" s="397" t="e">
        <f>#REF!</f>
        <v>#REF!</v>
      </c>
    </row>
    <row r="403" spans="1:6">
      <c r="A403" s="396" t="e">
        <f>#REF!</f>
        <v>#REF!</v>
      </c>
      <c r="B403" s="397" t="e">
        <f>#REF!</f>
        <v>#REF!</v>
      </c>
      <c r="C403" s="397" t="e">
        <f>#REF!</f>
        <v>#REF!</v>
      </c>
      <c r="D403" s="397" t="e">
        <f>#REF!</f>
        <v>#REF!</v>
      </c>
      <c r="E403" s="397" t="e">
        <f>#REF!</f>
        <v>#REF!</v>
      </c>
      <c r="F403" s="397" t="e">
        <f>#REF!</f>
        <v>#REF!</v>
      </c>
    </row>
    <row r="404" spans="1:6" ht="45">
      <c r="A404" s="396" t="e">
        <f>#REF!</f>
        <v>#REF!</v>
      </c>
      <c r="B404" s="397" t="e">
        <f>#REF!</f>
        <v>#REF!</v>
      </c>
      <c r="C404" s="399" t="e">
        <f>#REF!</f>
        <v>#REF!</v>
      </c>
      <c r="D404" s="397" t="e">
        <f>#REF!</f>
        <v>#REF!</v>
      </c>
      <c r="E404" s="397" t="e">
        <f>#REF!</f>
        <v>#REF!</v>
      </c>
      <c r="F404" s="397" t="e">
        <f>#REF!</f>
        <v>#REF!</v>
      </c>
    </row>
    <row r="405" spans="1:6" ht="30">
      <c r="A405" s="396" t="e">
        <f>#REF!</f>
        <v>#REF!</v>
      </c>
      <c r="B405" s="397" t="e">
        <f>#REF!</f>
        <v>#REF!</v>
      </c>
      <c r="C405" s="399" t="e">
        <f>#REF!</f>
        <v>#REF!</v>
      </c>
      <c r="D405" s="397" t="e">
        <f>#REF!</f>
        <v>#REF!</v>
      </c>
      <c r="E405" s="397" t="e">
        <f>#REF!</f>
        <v>#REF!</v>
      </c>
      <c r="F405" s="397" t="e">
        <f>#REF!</f>
        <v>#REF!</v>
      </c>
    </row>
    <row r="406" spans="1:6">
      <c r="A406" s="396" t="e">
        <f>#REF!</f>
        <v>#REF!</v>
      </c>
      <c r="B406" s="397" t="e">
        <f>#REF!</f>
        <v>#REF!</v>
      </c>
      <c r="C406" s="397" t="e">
        <f>#REF!</f>
        <v>#REF!</v>
      </c>
      <c r="D406" s="397" t="e">
        <f>#REF!</f>
        <v>#REF!</v>
      </c>
      <c r="E406" s="397" t="e">
        <f>#REF!</f>
        <v>#REF!</v>
      </c>
      <c r="F406" s="397" t="e">
        <f>#REF!</f>
        <v>#REF!</v>
      </c>
    </row>
    <row r="407" spans="1:6">
      <c r="A407" s="396" t="e">
        <f>#REF!</f>
        <v>#REF!</v>
      </c>
      <c r="B407" s="397" t="e">
        <f>#REF!</f>
        <v>#REF!</v>
      </c>
      <c r="C407" s="397" t="e">
        <f>#REF!</f>
        <v>#REF!</v>
      </c>
      <c r="D407" s="397" t="e">
        <f>#REF!</f>
        <v>#REF!</v>
      </c>
      <c r="E407" s="397" t="e">
        <f>#REF!</f>
        <v>#REF!</v>
      </c>
      <c r="F407" s="397" t="e">
        <f>#REF!</f>
        <v>#REF!</v>
      </c>
    </row>
    <row r="408" spans="1:6">
      <c r="A408" s="396" t="e">
        <f>#REF!</f>
        <v>#REF!</v>
      </c>
      <c r="B408" s="397" t="e">
        <f>#REF!</f>
        <v>#REF!</v>
      </c>
      <c r="C408" s="397" t="e">
        <f>#REF!</f>
        <v>#REF!</v>
      </c>
      <c r="D408" s="397" t="e">
        <f>#REF!</f>
        <v>#REF!</v>
      </c>
      <c r="E408" s="397" t="e">
        <f>#REF!</f>
        <v>#REF!</v>
      </c>
      <c r="F408" s="398" t="e">
        <f>#REF!</f>
        <v>#REF!</v>
      </c>
    </row>
    <row r="410" spans="1:6">
      <c r="A410" s="396" t="e">
        <f>#REF!</f>
        <v>#REF!</v>
      </c>
      <c r="B410" s="397" t="e">
        <f>#REF!</f>
        <v>#REF!</v>
      </c>
      <c r="C410" s="398" t="e">
        <f>#REF!</f>
        <v>#REF!</v>
      </c>
      <c r="D410" s="397" t="e">
        <f>#REF!</f>
        <v>#REF!</v>
      </c>
      <c r="E410" s="397" t="e">
        <f>#REF!</f>
        <v>#REF!</v>
      </c>
      <c r="F410" s="397" t="e">
        <f>#REF!</f>
        <v>#REF!</v>
      </c>
    </row>
    <row r="411" spans="1:6">
      <c r="A411" s="396" t="e">
        <f>#REF!</f>
        <v>#REF!</v>
      </c>
      <c r="B411" s="397" t="e">
        <f>#REF!</f>
        <v>#REF!</v>
      </c>
      <c r="C411" s="397" t="e">
        <f>#REF!</f>
        <v>#REF!</v>
      </c>
      <c r="D411" s="397" t="e">
        <f>#REF!</f>
        <v>#REF!</v>
      </c>
      <c r="E411" s="397" t="e">
        <f>#REF!</f>
        <v>#REF!</v>
      </c>
      <c r="F411" s="397" t="e">
        <f>#REF!</f>
        <v>#REF!</v>
      </c>
    </row>
    <row r="412" spans="1:6" ht="45">
      <c r="A412" s="396" t="e">
        <f>#REF!</f>
        <v>#REF!</v>
      </c>
      <c r="B412" s="397" t="e">
        <f>#REF!</f>
        <v>#REF!</v>
      </c>
      <c r="C412" s="402" t="e">
        <f>#REF!</f>
        <v>#REF!</v>
      </c>
      <c r="D412" s="397" t="e">
        <f>#REF!</f>
        <v>#REF!</v>
      </c>
      <c r="E412" s="397" t="e">
        <f>#REF!</f>
        <v>#REF!</v>
      </c>
      <c r="F412" s="397" t="e">
        <f>#REF!</f>
        <v>#REF!</v>
      </c>
    </row>
    <row r="413" spans="1:6">
      <c r="A413" s="396" t="e">
        <f>#REF!</f>
        <v>#REF!</v>
      </c>
      <c r="B413" s="397" t="e">
        <f>#REF!</f>
        <v>#REF!</v>
      </c>
      <c r="C413" s="397" t="e">
        <f>#REF!</f>
        <v>#REF!</v>
      </c>
      <c r="D413" s="397" t="e">
        <f>#REF!</f>
        <v>#REF!</v>
      </c>
      <c r="E413" s="397" t="e">
        <f>#REF!</f>
        <v>#REF!</v>
      </c>
      <c r="F413" s="397" t="e">
        <f>#REF!</f>
        <v>#REF!</v>
      </c>
    </row>
    <row r="414" spans="1:6" ht="151.15" customHeight="1">
      <c r="A414" s="396" t="e">
        <f>#REF!</f>
        <v>#REF!</v>
      </c>
      <c r="B414" s="397" t="e">
        <f>#REF!</f>
        <v>#REF!</v>
      </c>
      <c r="C414" s="399" t="e">
        <f>#REF!</f>
        <v>#REF!</v>
      </c>
      <c r="D414" s="397" t="e">
        <f>#REF!</f>
        <v>#REF!</v>
      </c>
      <c r="E414" s="397" t="e">
        <f>#REF!</f>
        <v>#REF!</v>
      </c>
      <c r="F414" s="397" t="e">
        <f>#REF!</f>
        <v>#REF!</v>
      </c>
    </row>
    <row r="415" spans="1:6">
      <c r="A415" s="396" t="e">
        <f>#REF!</f>
        <v>#REF!</v>
      </c>
      <c r="B415" s="397" t="e">
        <f>#REF!</f>
        <v>#REF!</v>
      </c>
      <c r="C415" s="397" t="e">
        <f>#REF!</f>
        <v>#REF!</v>
      </c>
      <c r="D415" s="397" t="e">
        <f>#REF!</f>
        <v>#REF!</v>
      </c>
      <c r="E415" s="397" t="e">
        <f>#REF!</f>
        <v>#REF!</v>
      </c>
      <c r="F415" s="397" t="e">
        <f>#REF!</f>
        <v>#REF!</v>
      </c>
    </row>
    <row r="416" spans="1:6" ht="30">
      <c r="A416" s="396" t="e">
        <f>#REF!</f>
        <v>#REF!</v>
      </c>
      <c r="B416" s="397" t="e">
        <f>#REF!</f>
        <v>#REF!</v>
      </c>
      <c r="C416" s="399" t="e">
        <f>#REF!</f>
        <v>#REF!</v>
      </c>
      <c r="D416" s="397" t="e">
        <f>#REF!</f>
        <v>#REF!</v>
      </c>
      <c r="E416" s="397" t="e">
        <f>#REF!</f>
        <v>#REF!</v>
      </c>
      <c r="F416" s="397" t="e">
        <f>#REF!</f>
        <v>#REF!</v>
      </c>
    </row>
    <row r="417" spans="1:6">
      <c r="A417" s="396" t="e">
        <f>#REF!</f>
        <v>#REF!</v>
      </c>
      <c r="B417" s="397" t="e">
        <f>#REF!</f>
        <v>#REF!</v>
      </c>
      <c r="C417" s="397" t="e">
        <f>#REF!</f>
        <v>#REF!</v>
      </c>
      <c r="D417" s="397" t="e">
        <f>#REF!</f>
        <v>#REF!</v>
      </c>
      <c r="E417" s="397" t="e">
        <f>#REF!</f>
        <v>#REF!</v>
      </c>
      <c r="F417" s="397" t="e">
        <f>#REF!</f>
        <v>#REF!</v>
      </c>
    </row>
    <row r="418" spans="1:6">
      <c r="A418" s="396" t="e">
        <f>#REF!</f>
        <v>#REF!</v>
      </c>
      <c r="B418" s="397" t="e">
        <f>#REF!</f>
        <v>#REF!</v>
      </c>
      <c r="C418" s="397" t="e">
        <f>#REF!</f>
        <v>#REF!</v>
      </c>
      <c r="D418" s="397" t="e">
        <f>#REF!</f>
        <v>#REF!</v>
      </c>
      <c r="E418" s="397" t="e">
        <f>#REF!</f>
        <v>#REF!</v>
      </c>
      <c r="F418" s="397" t="e">
        <f>#REF!</f>
        <v>#REF!</v>
      </c>
    </row>
    <row r="419" spans="1:6">
      <c r="A419" s="396" t="e">
        <f>#REF!</f>
        <v>#REF!</v>
      </c>
      <c r="B419" s="397" t="e">
        <f>#REF!</f>
        <v>#REF!</v>
      </c>
      <c r="C419" s="397" t="e">
        <f>#REF!</f>
        <v>#REF!</v>
      </c>
      <c r="D419" s="397" t="e">
        <f>#REF!</f>
        <v>#REF!</v>
      </c>
      <c r="E419" s="397" t="e">
        <f>#REF!</f>
        <v>#REF!</v>
      </c>
      <c r="F419" s="397" t="e">
        <f>#REF!</f>
        <v>#REF!</v>
      </c>
    </row>
    <row r="420" spans="1:6">
      <c r="A420" s="396" t="e">
        <f>#REF!</f>
        <v>#REF!</v>
      </c>
      <c r="B420" s="397" t="e">
        <f>#REF!</f>
        <v>#REF!</v>
      </c>
      <c r="C420" s="397" t="e">
        <f>#REF!</f>
        <v>#REF!</v>
      </c>
      <c r="D420" s="397" t="e">
        <f>#REF!</f>
        <v>#REF!</v>
      </c>
      <c r="E420" s="397" t="e">
        <f>#REF!</f>
        <v>#REF!</v>
      </c>
      <c r="F420" s="397" t="e">
        <f>#REF!</f>
        <v>#REF!</v>
      </c>
    </row>
    <row r="421" spans="1:6" ht="30">
      <c r="A421" s="396" t="e">
        <f>#REF!</f>
        <v>#REF!</v>
      </c>
      <c r="B421" s="397" t="e">
        <f>#REF!</f>
        <v>#REF!</v>
      </c>
      <c r="C421" s="399" t="e">
        <f>#REF!</f>
        <v>#REF!</v>
      </c>
      <c r="D421" s="397" t="e">
        <f>#REF!</f>
        <v>#REF!</v>
      </c>
      <c r="E421" s="397" t="e">
        <f>#REF!</f>
        <v>#REF!</v>
      </c>
      <c r="F421" s="397" t="e">
        <f>#REF!</f>
        <v>#REF!</v>
      </c>
    </row>
    <row r="422" spans="1:6">
      <c r="A422" s="396" t="e">
        <f>#REF!</f>
        <v>#REF!</v>
      </c>
      <c r="B422" s="397" t="e">
        <f>#REF!</f>
        <v>#REF!</v>
      </c>
      <c r="C422" s="397" t="e">
        <f>#REF!</f>
        <v>#REF!</v>
      </c>
      <c r="D422" s="397" t="e">
        <f>#REF!</f>
        <v>#REF!</v>
      </c>
      <c r="E422" s="397" t="e">
        <f>#REF!</f>
        <v>#REF!</v>
      </c>
      <c r="F422" s="397" t="e">
        <f>#REF!</f>
        <v>#REF!</v>
      </c>
    </row>
    <row r="423" spans="1:6">
      <c r="A423" s="396" t="e">
        <f>#REF!</f>
        <v>#REF!</v>
      </c>
      <c r="B423" s="397" t="e">
        <f>#REF!</f>
        <v>#REF!</v>
      </c>
      <c r="C423" s="397" t="e">
        <f>#REF!</f>
        <v>#REF!</v>
      </c>
      <c r="D423" s="397" t="e">
        <f>#REF!</f>
        <v>#REF!</v>
      </c>
      <c r="E423" s="397" t="e">
        <f>#REF!</f>
        <v>#REF!</v>
      </c>
      <c r="F423" s="398" t="e">
        <f>#REF!</f>
        <v>#REF!</v>
      </c>
    </row>
    <row r="425" spans="1:6" ht="30">
      <c r="A425" s="396">
        <f>Data!M2343</f>
        <v>0</v>
      </c>
      <c r="B425" s="397">
        <f>Data!N2343</f>
        <v>0</v>
      </c>
      <c r="C425" s="402" t="str">
        <f>Data!O2343</f>
        <v>Providing Rain Water Harvesting Perculation pit
a) Providing pit</v>
      </c>
      <c r="D425" s="397">
        <f>Data!P2343</f>
        <v>0</v>
      </c>
      <c r="E425" s="397">
        <f>Data!Q2343</f>
        <v>0</v>
      </c>
      <c r="F425" s="397">
        <f>Data!R2343</f>
        <v>0</v>
      </c>
    </row>
    <row r="426" spans="1:6">
      <c r="A426" s="396">
        <f>Data!M2344</f>
        <v>0.47</v>
      </c>
      <c r="B426" s="397" t="str">
        <f>Data!N2344</f>
        <v>Cum</v>
      </c>
      <c r="C426" s="397" t="str">
        <f>Data!O2344</f>
        <v>Earth work excavation</v>
      </c>
      <c r="D426" s="397">
        <f>Data!P2344</f>
        <v>224.1</v>
      </c>
      <c r="E426" s="397" t="str">
        <f>Data!Q2344</f>
        <v>Each</v>
      </c>
      <c r="F426" s="397">
        <f>Data!R2344</f>
        <v>105.33</v>
      </c>
    </row>
    <row r="427" spans="1:6">
      <c r="A427" s="396">
        <f>Data!M2345</f>
        <v>2</v>
      </c>
      <c r="B427" s="397">
        <f>Data!N2345</f>
        <v>0</v>
      </c>
      <c r="C427" s="397">
        <f>Data!O2345</f>
        <v>0</v>
      </c>
      <c r="D427" s="397">
        <f>Data!P2345</f>
        <v>0</v>
      </c>
      <c r="E427" s="397">
        <f>Data!Q2345</f>
        <v>0</v>
      </c>
      <c r="F427" s="397">
        <f>Data!R2345</f>
        <v>0</v>
      </c>
    </row>
    <row r="428" spans="1:6">
      <c r="A428" s="396">
        <f>Data!M2346</f>
        <v>0.24</v>
      </c>
      <c r="B428" s="397" t="str">
        <f>Data!N2346</f>
        <v>Cum</v>
      </c>
      <c r="C428" s="397" t="str">
        <f>Data!O2346</f>
        <v>HBSJ 40mm</v>
      </c>
      <c r="D428" s="397" t="e">
        <f>Data!P2346</f>
        <v>#REF!</v>
      </c>
      <c r="E428" s="397" t="str">
        <f>Data!Q2346</f>
        <v>Each</v>
      </c>
      <c r="F428" s="397" t="e">
        <f>Data!R2346</f>
        <v>#REF!</v>
      </c>
    </row>
    <row r="429" spans="1:6" ht="30">
      <c r="A429" s="396">
        <f>Data!M2347</f>
        <v>0.79</v>
      </c>
      <c r="B429" s="397" t="str">
        <f>Data!N2347</f>
        <v>Sqm</v>
      </c>
      <c r="C429" s="399" t="str">
        <f>Data!O2347</f>
        <v>Precasted slab Standardised Cement comncrete M 20 grade</v>
      </c>
      <c r="D429" s="397" t="e">
        <f>Data!P2347</f>
        <v>#REF!</v>
      </c>
      <c r="E429" s="397" t="str">
        <f>Data!Q2347</f>
        <v>L.S</v>
      </c>
      <c r="F429" s="397" t="e">
        <f>Data!R2347</f>
        <v>#REF!</v>
      </c>
    </row>
    <row r="430" spans="1:6">
      <c r="A430" s="396">
        <f>Data!M2348</f>
        <v>0.24</v>
      </c>
      <c r="B430" s="397" t="str">
        <f>Data!N2348</f>
        <v>Cum</v>
      </c>
      <c r="C430" s="397" t="str">
        <f>Data!O2348</f>
        <v>Filling sand</v>
      </c>
      <c r="D430" s="397" t="e">
        <f>Data!P2348</f>
        <v>#REF!</v>
      </c>
      <c r="E430" s="397">
        <f>Data!Q2348</f>
        <v>0</v>
      </c>
      <c r="F430" s="397" t="e">
        <f>Data!R2348</f>
        <v>#REF!</v>
      </c>
    </row>
    <row r="431" spans="1:6">
      <c r="A431" s="396">
        <f>Data!M2349</f>
        <v>0</v>
      </c>
      <c r="B431" s="397">
        <f>Data!N2349</f>
        <v>0</v>
      </c>
      <c r="C431" s="397" t="str">
        <f>Data!O2349</f>
        <v>Sundries</v>
      </c>
      <c r="D431" s="397">
        <f>Data!P2349</f>
        <v>0</v>
      </c>
      <c r="E431" s="397">
        <f>Data!Q2349</f>
        <v>0</v>
      </c>
      <c r="F431" s="397" t="str">
        <f>Data!R2349</f>
        <v xml:space="preserve"> --------------------</v>
      </c>
    </row>
    <row r="432" spans="1:6">
      <c r="A432" s="396">
        <f>Data!M2350</f>
        <v>0</v>
      </c>
      <c r="B432" s="397">
        <f>Data!N2350</f>
        <v>0</v>
      </c>
      <c r="C432" s="397">
        <f>Data!O2350</f>
        <v>0</v>
      </c>
      <c r="D432" s="397">
        <f>Data!P2350</f>
        <v>0</v>
      </c>
      <c r="E432" s="397">
        <f>Data!Q2350</f>
        <v>0</v>
      </c>
      <c r="F432" s="398" t="e">
        <f>Data!R2350</f>
        <v>#REF!</v>
      </c>
    </row>
    <row r="433" spans="1:6">
      <c r="A433" s="396">
        <f>Data!M2351</f>
        <v>0</v>
      </c>
      <c r="B433" s="397">
        <f>Data!N2351</f>
        <v>0</v>
      </c>
      <c r="C433" s="397">
        <f>Data!O2351</f>
        <v>0</v>
      </c>
      <c r="D433" s="397">
        <f>Data!P2351</f>
        <v>0</v>
      </c>
      <c r="E433" s="397">
        <f>Data!Q2351</f>
        <v>0</v>
      </c>
      <c r="F433" s="397"/>
    </row>
    <row r="434" spans="1:6" hidden="1">
      <c r="A434" s="396">
        <f>Data!M2352</f>
        <v>0</v>
      </c>
      <c r="B434" s="397">
        <f>Data!N2352</f>
        <v>0</v>
      </c>
      <c r="C434" s="397">
        <f>Data!O2352</f>
        <v>0</v>
      </c>
      <c r="D434" s="397">
        <f>Data!P2352</f>
        <v>0</v>
      </c>
      <c r="E434" s="397">
        <f>Data!Q2352</f>
        <v>0</v>
      </c>
      <c r="F434" s="397">
        <f>Data!R2352</f>
        <v>0</v>
      </c>
    </row>
    <row r="435" spans="1:6">
      <c r="A435" s="396">
        <f>Data!M2353</f>
        <v>0</v>
      </c>
      <c r="B435" s="397">
        <f>Data!N2353</f>
        <v>0</v>
      </c>
      <c r="C435" s="398" t="str">
        <f>Data!O2353</f>
        <v>Augering 30 cm dia</v>
      </c>
      <c r="D435" s="397">
        <f>Data!P2353</f>
        <v>0</v>
      </c>
      <c r="E435" s="397">
        <f>Data!Q2353</f>
        <v>0</v>
      </c>
      <c r="F435" s="397">
        <f>Data!R2353</f>
        <v>0</v>
      </c>
    </row>
    <row r="436" spans="1:6">
      <c r="A436" s="396">
        <f>Data!M2354</f>
        <v>1</v>
      </c>
      <c r="B436" s="397" t="str">
        <f>Data!N2354</f>
        <v>Cum</v>
      </c>
      <c r="C436" s="397" t="str">
        <f>Data!O2354</f>
        <v>Labour charges</v>
      </c>
      <c r="D436" s="397">
        <f>Data!P2354</f>
        <v>398.52</v>
      </c>
      <c r="E436" s="397" t="str">
        <f>Data!Q2354</f>
        <v>Each</v>
      </c>
      <c r="F436" s="397">
        <f>Data!R2354</f>
        <v>398.52</v>
      </c>
    </row>
    <row r="437" spans="1:6">
      <c r="A437" s="396">
        <f>Data!M2355</f>
        <v>7.0000000000000007E-2</v>
      </c>
      <c r="B437" s="397" t="str">
        <f>Data!N2355</f>
        <v>Cum</v>
      </c>
      <c r="C437" s="397" t="str">
        <f>Data!O2355</f>
        <v>HBSJ 40mm</v>
      </c>
      <c r="D437" s="397" t="e">
        <f>Data!P2355</f>
        <v>#REF!</v>
      </c>
      <c r="E437" s="397" t="str">
        <f>Data!Q2355</f>
        <v>Each</v>
      </c>
      <c r="F437" s="397" t="e">
        <f>Data!R2355</f>
        <v>#REF!</v>
      </c>
    </row>
    <row r="438" spans="1:6">
      <c r="A438" s="396">
        <f>Data!M2356</f>
        <v>0</v>
      </c>
      <c r="B438" s="397">
        <f>Data!N2356</f>
        <v>0</v>
      </c>
      <c r="C438" s="397">
        <f>Data!O2356</f>
        <v>0</v>
      </c>
      <c r="D438" s="397">
        <f>Data!P2356</f>
        <v>0</v>
      </c>
      <c r="E438" s="397">
        <f>Data!Q2356</f>
        <v>0</v>
      </c>
      <c r="F438" s="397" t="str">
        <f>Data!R2356</f>
        <v xml:space="preserve"> --------------------</v>
      </c>
    </row>
    <row r="439" spans="1:6">
      <c r="A439" s="396">
        <f>Data!M2357</f>
        <v>0</v>
      </c>
      <c r="B439" s="397">
        <f>Data!N2357</f>
        <v>0</v>
      </c>
      <c r="C439" s="397">
        <f>Data!O2357</f>
        <v>0</v>
      </c>
      <c r="D439" s="397">
        <f>Data!P2357</f>
        <v>0</v>
      </c>
      <c r="E439" s="397">
        <f>Data!Q2357</f>
        <v>0</v>
      </c>
      <c r="F439" s="398" t="e">
        <f>Data!R2357</f>
        <v>#REF!</v>
      </c>
    </row>
    <row r="440" spans="1:6">
      <c r="A440" s="396">
        <f>Data!M2358</f>
        <v>0</v>
      </c>
      <c r="B440" s="397">
        <f>Data!N2358</f>
        <v>0</v>
      </c>
      <c r="C440" s="397">
        <f>Data!O2358</f>
        <v>0</v>
      </c>
      <c r="D440" s="397">
        <f>Data!P2358</f>
        <v>0</v>
      </c>
      <c r="E440" s="397">
        <f>Data!Q2358</f>
        <v>0</v>
      </c>
      <c r="F440" s="397" t="str">
        <f>Data!R2358</f>
        <v xml:space="preserve"> --------------------</v>
      </c>
    </row>
    <row r="441" spans="1:6">
      <c r="A441" s="396">
        <f>Data!M2359</f>
        <v>0.25</v>
      </c>
      <c r="B441" s="397" t="str">
        <f>Data!N2359</f>
        <v>No</v>
      </c>
      <c r="C441" s="397" t="str">
        <f>Data!O2359</f>
        <v>MASON II CLASS</v>
      </c>
      <c r="D441" s="397">
        <f>Data!P2359</f>
        <v>932</v>
      </c>
      <c r="E441" s="397">
        <f>Data!Q2359</f>
        <v>0</v>
      </c>
      <c r="F441" s="397">
        <f>Data!R2359</f>
        <v>233</v>
      </c>
    </row>
    <row r="442" spans="1:6">
      <c r="A442" s="396">
        <f>Data!M2360</f>
        <v>1</v>
      </c>
      <c r="B442" s="397" t="str">
        <f>Data!N2360</f>
        <v>No</v>
      </c>
      <c r="C442" s="397" t="str">
        <f>Data!O2360</f>
        <v>MAZDOORI CLASS</v>
      </c>
      <c r="D442" s="397">
        <f>Data!P2360</f>
        <v>651</v>
      </c>
      <c r="E442" s="397">
        <f>Data!Q2360</f>
        <v>0</v>
      </c>
      <c r="F442" s="397">
        <f>Data!R2360</f>
        <v>651</v>
      </c>
    </row>
    <row r="443" spans="1:6">
      <c r="A443" s="396">
        <f>Data!M2361</f>
        <v>1</v>
      </c>
      <c r="B443" s="397" t="str">
        <f>Data!N2361</f>
        <v>No</v>
      </c>
      <c r="C443" s="397" t="str">
        <f>Data!O2361</f>
        <v>Hire charges for O2296TOOLS PLANTS at 10% of labour</v>
      </c>
      <c r="D443" s="397" t="str">
        <f>Data!P2361</f>
        <v>LS</v>
      </c>
      <c r="E443" s="397">
        <f>Data!Q2361</f>
        <v>0</v>
      </c>
      <c r="F443" s="397">
        <f>Data!R2361</f>
        <v>88.4</v>
      </c>
    </row>
    <row r="444" spans="1:6">
      <c r="A444" s="396">
        <f>Data!M2362</f>
        <v>0</v>
      </c>
      <c r="B444" s="397">
        <f>Data!N2362</f>
        <v>0</v>
      </c>
      <c r="C444" s="397">
        <f>Data!O2362</f>
        <v>0</v>
      </c>
      <c r="D444" s="397">
        <f>Data!P2362</f>
        <v>0</v>
      </c>
      <c r="E444" s="397">
        <f>Data!Q2362</f>
        <v>0</v>
      </c>
      <c r="F444" s="397" t="str">
        <f>Data!R2362</f>
        <v xml:space="preserve"> --------------------</v>
      </c>
    </row>
    <row r="445" spans="1:6">
      <c r="A445" s="396">
        <f>Data!M2363</f>
        <v>0</v>
      </c>
      <c r="B445" s="397">
        <f>Data!N2363</f>
        <v>0</v>
      </c>
      <c r="C445" s="397">
        <f>Data!O2363</f>
        <v>0</v>
      </c>
      <c r="D445" s="397">
        <f>Data!P2363</f>
        <v>0</v>
      </c>
      <c r="E445" s="397">
        <f>Data!Q2363</f>
        <v>0</v>
      </c>
      <c r="F445" s="397">
        <f>Data!R2363</f>
        <v>972.4</v>
      </c>
    </row>
    <row r="446" spans="1:6">
      <c r="A446" s="396">
        <f>Data!M2364</f>
        <v>0</v>
      </c>
      <c r="B446" s="397">
        <f>Data!N2364</f>
        <v>0</v>
      </c>
      <c r="C446" s="397">
        <f>Data!O2364</f>
        <v>0</v>
      </c>
      <c r="D446" s="397">
        <f>Data!P2364</f>
        <v>0</v>
      </c>
      <c r="E446" s="397">
        <f>Data!Q2364</f>
        <v>0</v>
      </c>
      <c r="F446" s="397" t="str">
        <f>Data!R2364</f>
        <v xml:space="preserve"> --------------------</v>
      </c>
    </row>
    <row r="447" spans="1:6">
      <c r="A447" s="396">
        <f>Data!M2365</f>
        <v>0</v>
      </c>
      <c r="B447" s="397">
        <f>Data!N2365</f>
        <v>0</v>
      </c>
      <c r="C447" s="397">
        <f>Data!O2365</f>
        <v>0</v>
      </c>
      <c r="D447" s="397">
        <f>Data!P2365</f>
        <v>0</v>
      </c>
      <c r="E447" s="397">
        <f>Data!Q2365</f>
        <v>0</v>
      </c>
      <c r="F447" s="397">
        <f>Data!R2365</f>
        <v>398.52</v>
      </c>
    </row>
    <row r="448" spans="1:6">
      <c r="A448" s="396"/>
      <c r="B448" s="397"/>
      <c r="C448" s="397"/>
      <c r="D448" s="397"/>
      <c r="E448" s="397"/>
      <c r="F448" s="397"/>
    </row>
    <row r="449" spans="1:6">
      <c r="A449" s="396" t="e">
        <f>#REF!</f>
        <v>#REF!</v>
      </c>
      <c r="B449" s="397" t="e">
        <f>#REF!</f>
        <v>#REF!</v>
      </c>
      <c r="C449" s="398" t="e">
        <f>#REF!</f>
        <v>#REF!</v>
      </c>
      <c r="D449" s="397" t="e">
        <f>#REF!</f>
        <v>#REF!</v>
      </c>
      <c r="E449" s="397" t="e">
        <f>#REF!</f>
        <v>#REF!</v>
      </c>
      <c r="F449" s="397" t="e">
        <f>#REF!</f>
        <v>#REF!</v>
      </c>
    </row>
    <row r="450" spans="1:6">
      <c r="A450" s="396" t="e">
        <f>#REF!</f>
        <v>#REF!</v>
      </c>
      <c r="B450" s="397" t="e">
        <f>#REF!</f>
        <v>#REF!</v>
      </c>
      <c r="C450" s="397" t="e">
        <f>#REF!</f>
        <v>#REF!</v>
      </c>
      <c r="D450" s="397" t="e">
        <f>#REF!</f>
        <v>#REF!</v>
      </c>
      <c r="E450" s="397" t="e">
        <f>#REF!</f>
        <v>#REF!</v>
      </c>
      <c r="F450" s="397" t="e">
        <f>#REF!</f>
        <v>#REF!</v>
      </c>
    </row>
    <row r="451" spans="1:6" ht="90">
      <c r="A451" s="396" t="e">
        <f>#REF!</f>
        <v>#REF!</v>
      </c>
      <c r="B451" s="397" t="e">
        <f>#REF!</f>
        <v>#REF!</v>
      </c>
      <c r="C451" s="402" t="e">
        <f>#REF!</f>
        <v>#REF!</v>
      </c>
      <c r="D451" s="397" t="e">
        <f>#REF!</f>
        <v>#REF!</v>
      </c>
      <c r="E451" s="397" t="e">
        <f>#REF!</f>
        <v>#REF!</v>
      </c>
      <c r="F451" s="397" t="e">
        <f>#REF!</f>
        <v>#REF!</v>
      </c>
    </row>
    <row r="452" spans="1:6" ht="30">
      <c r="A452" s="396" t="e">
        <f>#REF!</f>
        <v>#REF!</v>
      </c>
      <c r="B452" s="397" t="e">
        <f>#REF!</f>
        <v>#REF!</v>
      </c>
      <c r="C452" s="399" t="e">
        <f>#REF!</f>
        <v>#REF!</v>
      </c>
      <c r="D452" s="397" t="e">
        <f>#REF!</f>
        <v>#REF!</v>
      </c>
      <c r="E452" s="397" t="e">
        <f>#REF!</f>
        <v>#REF!</v>
      </c>
      <c r="F452" s="397" t="e">
        <f>#REF!</f>
        <v>#REF!</v>
      </c>
    </row>
    <row r="453" spans="1:6" ht="45">
      <c r="A453" s="396" t="e">
        <f>#REF!</f>
        <v>#REF!</v>
      </c>
      <c r="B453" s="397" t="e">
        <f>#REF!</f>
        <v>#REF!</v>
      </c>
      <c r="C453" s="399" t="e">
        <f>#REF!</f>
        <v>#REF!</v>
      </c>
      <c r="D453" s="397" t="e">
        <f>#REF!</f>
        <v>#REF!</v>
      </c>
      <c r="E453" s="397" t="e">
        <f>#REF!</f>
        <v>#REF!</v>
      </c>
      <c r="F453" s="397" t="e">
        <f>#REF!</f>
        <v>#REF!</v>
      </c>
    </row>
    <row r="454" spans="1:6" ht="30">
      <c r="A454" s="396" t="e">
        <f>#REF!</f>
        <v>#REF!</v>
      </c>
      <c r="B454" s="397" t="e">
        <f>#REF!</f>
        <v>#REF!</v>
      </c>
      <c r="C454" s="399" t="e">
        <f>#REF!</f>
        <v>#REF!</v>
      </c>
      <c r="D454" s="397" t="e">
        <f>#REF!</f>
        <v>#REF!</v>
      </c>
      <c r="E454" s="397" t="e">
        <f>#REF!</f>
        <v>#REF!</v>
      </c>
      <c r="F454" s="397" t="e">
        <f>#REF!</f>
        <v>#REF!</v>
      </c>
    </row>
    <row r="455" spans="1:6">
      <c r="A455" s="396" t="e">
        <f>#REF!</f>
        <v>#REF!</v>
      </c>
      <c r="B455" s="397" t="e">
        <f>#REF!</f>
        <v>#REF!</v>
      </c>
      <c r="C455" s="397" t="e">
        <f>#REF!</f>
        <v>#REF!</v>
      </c>
      <c r="D455" s="397" t="e">
        <f>#REF!</f>
        <v>#REF!</v>
      </c>
      <c r="E455" s="397" t="e">
        <f>#REF!</f>
        <v>#REF!</v>
      </c>
      <c r="F455" s="397" t="e">
        <f>#REF!</f>
        <v>#REF!</v>
      </c>
    </row>
    <row r="456" spans="1:6">
      <c r="A456" s="396" t="e">
        <f>#REF!</f>
        <v>#REF!</v>
      </c>
      <c r="B456" s="397" t="e">
        <f>#REF!</f>
        <v>#REF!</v>
      </c>
      <c r="C456" s="397" t="e">
        <f>#REF!</f>
        <v>#REF!</v>
      </c>
      <c r="D456" s="397" t="e">
        <f>#REF!</f>
        <v>#REF!</v>
      </c>
      <c r="E456" s="397" t="e">
        <f>#REF!</f>
        <v>#REF!</v>
      </c>
      <c r="F456" s="398" t="e">
        <f>#REF!</f>
        <v>#REF!</v>
      </c>
    </row>
    <row r="458" spans="1:6">
      <c r="A458" s="396" t="e">
        <f>#REF!</f>
        <v>#REF!</v>
      </c>
      <c r="B458" s="397" t="e">
        <f>#REF!</f>
        <v>#REF!</v>
      </c>
      <c r="C458" s="398" t="e">
        <f>#REF!</f>
        <v>#REF!</v>
      </c>
      <c r="D458" s="397" t="e">
        <f>#REF!</f>
        <v>#REF!</v>
      </c>
      <c r="E458" s="397" t="e">
        <f>#REF!</f>
        <v>#REF!</v>
      </c>
      <c r="F458" s="397" t="e">
        <f>#REF!</f>
        <v>#REF!</v>
      </c>
    </row>
    <row r="459" spans="1:6">
      <c r="A459" s="396" t="e">
        <f>#REF!</f>
        <v>#REF!</v>
      </c>
      <c r="B459" s="397" t="e">
        <f>#REF!</f>
        <v>#REF!</v>
      </c>
      <c r="C459" s="398" t="e">
        <f>#REF!</f>
        <v>#REF!</v>
      </c>
      <c r="D459" s="397" t="e">
        <f>#REF!</f>
        <v>#REF!</v>
      </c>
      <c r="E459" s="397" t="e">
        <f>#REF!</f>
        <v>#REF!</v>
      </c>
      <c r="F459" s="397" t="e">
        <f>#REF!</f>
        <v>#REF!</v>
      </c>
    </row>
    <row r="460" spans="1:6" ht="30">
      <c r="A460" s="396" t="e">
        <f>#REF!</f>
        <v>#REF!</v>
      </c>
      <c r="B460" s="397" t="e">
        <f>#REF!</f>
        <v>#REF!</v>
      </c>
      <c r="C460" s="402" t="e">
        <f>#REF!</f>
        <v>#REF!</v>
      </c>
      <c r="D460" s="397" t="e">
        <f>#REF!</f>
        <v>#REF!</v>
      </c>
      <c r="E460" s="397" t="e">
        <f>#REF!</f>
        <v>#REF!</v>
      </c>
      <c r="F460" s="397" t="e">
        <f>#REF!</f>
        <v>#REF!</v>
      </c>
    </row>
    <row r="461" spans="1:6">
      <c r="A461" s="396" t="e">
        <f>#REF!</f>
        <v>#REF!</v>
      </c>
      <c r="B461" s="397" t="e">
        <f>#REF!</f>
        <v>#REF!</v>
      </c>
      <c r="C461" s="397" t="e">
        <f>#REF!</f>
        <v>#REF!</v>
      </c>
      <c r="D461" s="397" t="e">
        <f>#REF!</f>
        <v>#REF!</v>
      </c>
      <c r="E461" s="397" t="e">
        <f>#REF!</f>
        <v>#REF!</v>
      </c>
      <c r="F461" s="397" t="e">
        <f>#REF!</f>
        <v>#REF!</v>
      </c>
    </row>
    <row r="462" spans="1:6">
      <c r="A462" s="396" t="e">
        <f>#REF!</f>
        <v>#REF!</v>
      </c>
      <c r="B462" s="397" t="e">
        <f>#REF!</f>
        <v>#REF!</v>
      </c>
      <c r="C462" s="399" t="e">
        <f>#REF!</f>
        <v>#REF!</v>
      </c>
      <c r="D462" s="397" t="e">
        <f>#REF!</f>
        <v>#REF!</v>
      </c>
      <c r="E462" s="397" t="e">
        <f>#REF!</f>
        <v>#REF!</v>
      </c>
      <c r="F462" s="397" t="e">
        <f>#REF!</f>
        <v>#REF!</v>
      </c>
    </row>
    <row r="463" spans="1:6">
      <c r="A463" s="396" t="e">
        <f>#REF!</f>
        <v>#REF!</v>
      </c>
      <c r="B463" s="397" t="e">
        <f>#REF!</f>
        <v>#REF!</v>
      </c>
      <c r="C463" s="397" t="e">
        <f>#REF!</f>
        <v>#REF!</v>
      </c>
      <c r="D463" s="397" t="e">
        <f>#REF!</f>
        <v>#REF!</v>
      </c>
      <c r="E463" s="397" t="e">
        <f>#REF!</f>
        <v>#REF!</v>
      </c>
      <c r="F463" s="397" t="e">
        <f>#REF!</f>
        <v>#REF!</v>
      </c>
    </row>
    <row r="464" spans="1:6">
      <c r="A464" s="396" t="e">
        <f>#REF!</f>
        <v>#REF!</v>
      </c>
      <c r="B464" s="397" t="e">
        <f>#REF!</f>
        <v>#REF!</v>
      </c>
      <c r="C464" s="397" t="e">
        <f>#REF!</f>
        <v>#REF!</v>
      </c>
      <c r="D464" s="397" t="e">
        <f>#REF!</f>
        <v>#REF!</v>
      </c>
      <c r="E464" s="397" t="e">
        <f>#REF!</f>
        <v>#REF!</v>
      </c>
      <c r="F464" s="397" t="e">
        <f>#REF!</f>
        <v>#REF!</v>
      </c>
    </row>
    <row r="465" spans="1:6">
      <c r="A465" s="396" t="e">
        <f>#REF!</f>
        <v>#REF!</v>
      </c>
      <c r="B465" s="397" t="e">
        <f>#REF!</f>
        <v>#REF!</v>
      </c>
      <c r="C465" s="397" t="e">
        <f>#REF!</f>
        <v>#REF!</v>
      </c>
      <c r="D465" s="397" t="e">
        <f>#REF!</f>
        <v>#REF!</v>
      </c>
      <c r="E465" s="397" t="e">
        <f>#REF!</f>
        <v>#REF!</v>
      </c>
      <c r="F465" s="397" t="e">
        <f>#REF!</f>
        <v>#REF!</v>
      </c>
    </row>
    <row r="466" spans="1:6">
      <c r="A466" s="396" t="e">
        <f>#REF!</f>
        <v>#REF!</v>
      </c>
      <c r="B466" s="397" t="e">
        <f>#REF!</f>
        <v>#REF!</v>
      </c>
      <c r="C466" s="397" t="e">
        <f>#REF!</f>
        <v>#REF!</v>
      </c>
      <c r="D466" s="397" t="e">
        <f>#REF!</f>
        <v>#REF!</v>
      </c>
      <c r="E466" s="397" t="e">
        <f>#REF!</f>
        <v>#REF!</v>
      </c>
      <c r="F466" s="397" t="e">
        <f>#REF!</f>
        <v>#REF!</v>
      </c>
    </row>
    <row r="467" spans="1:6">
      <c r="A467" s="396" t="e">
        <f>#REF!</f>
        <v>#REF!</v>
      </c>
      <c r="B467" s="397" t="e">
        <f>#REF!</f>
        <v>#REF!</v>
      </c>
      <c r="C467" s="397" t="e">
        <f>#REF!</f>
        <v>#REF!</v>
      </c>
      <c r="D467" s="397" t="e">
        <f>#REF!</f>
        <v>#REF!</v>
      </c>
      <c r="E467" s="397" t="e">
        <f>#REF!</f>
        <v>#REF!</v>
      </c>
      <c r="F467" s="397" t="e">
        <f>#REF!</f>
        <v>#REF!</v>
      </c>
    </row>
    <row r="468" spans="1:6">
      <c r="A468" s="396" t="e">
        <f>#REF!</f>
        <v>#REF!</v>
      </c>
      <c r="B468" s="397" t="e">
        <f>#REF!</f>
        <v>#REF!</v>
      </c>
      <c r="C468" s="397" t="e">
        <f>#REF!</f>
        <v>#REF!</v>
      </c>
      <c r="D468" s="397" t="e">
        <f>#REF!</f>
        <v>#REF!</v>
      </c>
      <c r="E468" s="397" t="e">
        <f>#REF!</f>
        <v>#REF!</v>
      </c>
      <c r="F468" s="397" t="e">
        <f>#REF!</f>
        <v>#REF!</v>
      </c>
    </row>
    <row r="469" spans="1:6">
      <c r="A469" s="396" t="e">
        <f>#REF!</f>
        <v>#REF!</v>
      </c>
      <c r="B469" s="397" t="e">
        <f>#REF!</f>
        <v>#REF!</v>
      </c>
      <c r="C469" s="397" t="e">
        <f>#REF!</f>
        <v>#REF!</v>
      </c>
      <c r="D469" s="397" t="e">
        <f>#REF!</f>
        <v>#REF!</v>
      </c>
      <c r="E469" s="397" t="e">
        <f>#REF!</f>
        <v>#REF!</v>
      </c>
      <c r="F469" s="398" t="e">
        <f>#REF!</f>
        <v>#REF!</v>
      </c>
    </row>
    <row r="470" spans="1:6">
      <c r="A470" s="396" t="e">
        <f>#REF!</f>
        <v>#REF!</v>
      </c>
      <c r="B470" s="397" t="e">
        <f>#REF!</f>
        <v>#REF!</v>
      </c>
      <c r="C470" s="397" t="e">
        <f>#REF!</f>
        <v>#REF!</v>
      </c>
      <c r="D470" s="397" t="e">
        <f>#REF!</f>
        <v>#REF!</v>
      </c>
      <c r="E470" s="397" t="e">
        <f>#REF!</f>
        <v>#REF!</v>
      </c>
      <c r="F470" s="397" t="e">
        <f>#REF!</f>
        <v>#REF!</v>
      </c>
    </row>
    <row r="471" spans="1:6">
      <c r="A471" s="396" t="e">
        <f>#REF!</f>
        <v>#REF!</v>
      </c>
      <c r="B471" s="397" t="e">
        <f>#REF!</f>
        <v>#REF!</v>
      </c>
      <c r="C471" s="397" t="e">
        <f>#REF!</f>
        <v>#REF!</v>
      </c>
      <c r="D471" s="397" t="e">
        <f>#REF!</f>
        <v>#REF!</v>
      </c>
      <c r="E471" s="397" t="e">
        <f>#REF!</f>
        <v>#REF!</v>
      </c>
      <c r="F471" s="397" t="e">
        <f>#REF!</f>
        <v>#REF!</v>
      </c>
    </row>
    <row r="472" spans="1:6">
      <c r="A472" s="396" t="e">
        <f>#REF!</f>
        <v>#REF!</v>
      </c>
      <c r="B472" s="397" t="e">
        <f>#REF!</f>
        <v>#REF!</v>
      </c>
      <c r="C472" s="397" t="e">
        <f>#REF!</f>
        <v>#REF!</v>
      </c>
      <c r="D472" s="397" t="e">
        <f>#REF!</f>
        <v>#REF!</v>
      </c>
      <c r="E472" s="397" t="e">
        <f>#REF!</f>
        <v>#REF!</v>
      </c>
      <c r="F472" s="397" t="e">
        <f>#REF!</f>
        <v>#REF!</v>
      </c>
    </row>
    <row r="473" spans="1:6">
      <c r="A473" s="396" t="e">
        <f>#REF!</f>
        <v>#REF!</v>
      </c>
      <c r="B473" s="397" t="e">
        <f>#REF!</f>
        <v>#REF!</v>
      </c>
      <c r="C473" s="397" t="e">
        <f>#REF!</f>
        <v>#REF!</v>
      </c>
      <c r="D473" s="397" t="e">
        <f>#REF!</f>
        <v>#REF!</v>
      </c>
      <c r="E473" s="397" t="e">
        <f>#REF!</f>
        <v>#REF!</v>
      </c>
      <c r="F473" s="397" t="e">
        <f>#REF!</f>
        <v>#REF!</v>
      </c>
    </row>
    <row r="474" spans="1:6">
      <c r="A474" s="396" t="e">
        <f>#REF!</f>
        <v>#REF!</v>
      </c>
      <c r="B474" s="397" t="e">
        <f>#REF!</f>
        <v>#REF!</v>
      </c>
      <c r="C474" s="397" t="e">
        <f>#REF!</f>
        <v>#REF!</v>
      </c>
      <c r="D474" s="397" t="e">
        <f>#REF!</f>
        <v>#REF!</v>
      </c>
      <c r="E474" s="397" t="e">
        <f>#REF!</f>
        <v>#REF!</v>
      </c>
      <c r="F474" s="397" t="e">
        <f>#REF!</f>
        <v>#REF!</v>
      </c>
    </row>
    <row r="475" spans="1:6">
      <c r="A475" s="396" t="e">
        <f>#REF!</f>
        <v>#REF!</v>
      </c>
      <c r="B475" s="397" t="e">
        <f>#REF!</f>
        <v>#REF!</v>
      </c>
      <c r="C475" s="397" t="e">
        <f>#REF!</f>
        <v>#REF!</v>
      </c>
      <c r="D475" s="397" t="e">
        <f>#REF!</f>
        <v>#REF!</v>
      </c>
      <c r="E475" s="397" t="e">
        <f>#REF!</f>
        <v>#REF!</v>
      </c>
      <c r="F475" s="397" t="e">
        <f>#REF!</f>
        <v>#REF!</v>
      </c>
    </row>
    <row r="476" spans="1:6">
      <c r="A476" s="396" t="e">
        <f>#REF!</f>
        <v>#REF!</v>
      </c>
      <c r="B476" s="397" t="e">
        <f>#REF!</f>
        <v>#REF!</v>
      </c>
      <c r="C476" s="397" t="e">
        <f>#REF!</f>
        <v>#REF!</v>
      </c>
      <c r="D476" s="397" t="e">
        <f>#REF!</f>
        <v>#REF!</v>
      </c>
      <c r="E476" s="397" t="e">
        <f>#REF!</f>
        <v>#REF!</v>
      </c>
      <c r="F476" s="397" t="e">
        <f>#REF!</f>
        <v>#REF!</v>
      </c>
    </row>
    <row r="477" spans="1:6">
      <c r="A477" s="396" t="e">
        <f>#REF!</f>
        <v>#REF!</v>
      </c>
      <c r="B477" s="397" t="e">
        <f>#REF!</f>
        <v>#REF!</v>
      </c>
      <c r="C477" s="397" t="e">
        <f>#REF!</f>
        <v>#REF!</v>
      </c>
      <c r="D477" s="397" t="e">
        <f>#REF!</f>
        <v>#REF!</v>
      </c>
      <c r="E477" s="397" t="e">
        <f>#REF!</f>
        <v>#REF!</v>
      </c>
      <c r="F477" s="397" t="e">
        <f>#REF!</f>
        <v>#REF!</v>
      </c>
    </row>
    <row r="479" spans="1:6">
      <c r="A479" s="396" t="e">
        <f>#REF!</f>
        <v>#REF!</v>
      </c>
      <c r="B479" s="397" t="e">
        <f>#REF!</f>
        <v>#REF!</v>
      </c>
      <c r="C479" s="398" t="e">
        <f>#REF!</f>
        <v>#REF!</v>
      </c>
      <c r="D479" s="397" t="e">
        <f>#REF!</f>
        <v>#REF!</v>
      </c>
      <c r="E479" s="397" t="e">
        <f>#REF!</f>
        <v>#REF!</v>
      </c>
      <c r="F479" s="397" t="e">
        <f>#REF!</f>
        <v>#REF!</v>
      </c>
    </row>
    <row r="480" spans="1:6">
      <c r="A480" s="396" t="e">
        <f>#REF!</f>
        <v>#REF!</v>
      </c>
      <c r="B480" s="397" t="e">
        <f>#REF!</f>
        <v>#REF!</v>
      </c>
      <c r="C480" s="398" t="e">
        <f>#REF!</f>
        <v>#REF!</v>
      </c>
      <c r="D480" s="397" t="e">
        <f>#REF!</f>
        <v>#REF!</v>
      </c>
      <c r="E480" s="397" t="e">
        <f>#REF!</f>
        <v>#REF!</v>
      </c>
      <c r="F480" s="397" t="e">
        <f>#REF!</f>
        <v>#REF!</v>
      </c>
    </row>
    <row r="481" spans="1:6">
      <c r="A481" s="396" t="e">
        <f>#REF!</f>
        <v>#REF!</v>
      </c>
      <c r="B481" s="397" t="e">
        <f>#REF!</f>
        <v>#REF!</v>
      </c>
      <c r="C481" s="397" t="e">
        <f>#REF!</f>
        <v>#REF!</v>
      </c>
      <c r="D481" s="397" t="e">
        <f>#REF!</f>
        <v>#REF!</v>
      </c>
      <c r="E481" s="397" t="e">
        <f>#REF!</f>
        <v>#REF!</v>
      </c>
      <c r="F481" s="397" t="e">
        <f>#REF!</f>
        <v>#REF!</v>
      </c>
    </row>
    <row r="482" spans="1:6" ht="90">
      <c r="A482" s="396" t="e">
        <f>#REF!</f>
        <v>#REF!</v>
      </c>
      <c r="B482" s="397" t="e">
        <f>#REF!</f>
        <v>#REF!</v>
      </c>
      <c r="C482" s="399" t="e">
        <f>#REF!</f>
        <v>#REF!</v>
      </c>
      <c r="D482" s="397" t="e">
        <f>#REF!</f>
        <v>#REF!</v>
      </c>
      <c r="E482" s="397" t="e">
        <f>#REF!</f>
        <v>#REF!</v>
      </c>
      <c r="F482" s="397" t="e">
        <f>#REF!</f>
        <v>#REF!</v>
      </c>
    </row>
    <row r="483" spans="1:6">
      <c r="A483" s="396" t="e">
        <f>#REF!</f>
        <v>#REF!</v>
      </c>
      <c r="B483" s="397" t="e">
        <f>#REF!</f>
        <v>#REF!</v>
      </c>
      <c r="C483" s="397" t="e">
        <f>#REF!</f>
        <v>#REF!</v>
      </c>
      <c r="D483" s="397" t="e">
        <f>#REF!</f>
        <v>#REF!</v>
      </c>
      <c r="E483" s="397" t="e">
        <f>#REF!</f>
        <v>#REF!</v>
      </c>
      <c r="F483" s="397" t="e">
        <f>#REF!</f>
        <v>#REF!</v>
      </c>
    </row>
    <row r="484" spans="1:6">
      <c r="A484" s="396" t="e">
        <f>#REF!</f>
        <v>#REF!</v>
      </c>
      <c r="B484" s="397" t="e">
        <f>#REF!</f>
        <v>#REF!</v>
      </c>
      <c r="C484" s="397" t="e">
        <f>#REF!</f>
        <v>#REF!</v>
      </c>
      <c r="D484" s="397" t="e">
        <f>#REF!</f>
        <v>#REF!</v>
      </c>
      <c r="E484" s="397" t="e">
        <f>#REF!</f>
        <v>#REF!</v>
      </c>
      <c r="F484" s="397" t="e">
        <f>#REF!</f>
        <v>#REF!</v>
      </c>
    </row>
    <row r="485" spans="1:6">
      <c r="A485" s="396" t="e">
        <f>#REF!</f>
        <v>#REF!</v>
      </c>
      <c r="B485" s="397" t="e">
        <f>#REF!</f>
        <v>#REF!</v>
      </c>
      <c r="C485" s="397" t="e">
        <f>#REF!</f>
        <v>#REF!</v>
      </c>
      <c r="D485" s="397" t="e">
        <f>#REF!</f>
        <v>#REF!</v>
      </c>
      <c r="E485" s="397" t="e">
        <f>#REF!</f>
        <v>#REF!</v>
      </c>
      <c r="F485" s="397" t="e">
        <f>#REF!</f>
        <v>#REF!</v>
      </c>
    </row>
    <row r="486" spans="1:6">
      <c r="A486" s="396" t="e">
        <f>#REF!</f>
        <v>#REF!</v>
      </c>
      <c r="B486" s="397" t="e">
        <f>#REF!</f>
        <v>#REF!</v>
      </c>
      <c r="C486" s="397" t="e">
        <f>#REF!</f>
        <v>#REF!</v>
      </c>
      <c r="D486" s="397" t="e">
        <f>#REF!</f>
        <v>#REF!</v>
      </c>
      <c r="E486" s="397" t="e">
        <f>#REF!</f>
        <v>#REF!</v>
      </c>
      <c r="F486" s="397" t="e">
        <f>#REF!</f>
        <v>#REF!</v>
      </c>
    </row>
    <row r="487" spans="1:6">
      <c r="A487" s="396" t="e">
        <f>#REF!</f>
        <v>#REF!</v>
      </c>
      <c r="B487" s="397" t="e">
        <f>#REF!</f>
        <v>#REF!</v>
      </c>
      <c r="C487" s="397" t="e">
        <f>#REF!</f>
        <v>#REF!</v>
      </c>
      <c r="D487" s="397" t="e">
        <f>#REF!</f>
        <v>#REF!</v>
      </c>
      <c r="E487" s="397" t="e">
        <f>#REF!</f>
        <v>#REF!</v>
      </c>
      <c r="F487" s="398" t="e">
        <f>#REF!</f>
        <v>#REF!</v>
      </c>
    </row>
    <row r="489" spans="1:6">
      <c r="A489" s="396" t="e">
        <f>#REF!</f>
        <v>#REF!</v>
      </c>
      <c r="B489" s="397" t="e">
        <f>#REF!</f>
        <v>#REF!</v>
      </c>
      <c r="C489" s="398" t="e">
        <f>#REF!</f>
        <v>#REF!</v>
      </c>
      <c r="D489" s="397" t="e">
        <f>#REF!</f>
        <v>#REF!</v>
      </c>
      <c r="E489" s="397" t="e">
        <f>#REF!</f>
        <v>#REF!</v>
      </c>
      <c r="F489" s="397" t="e">
        <f>#REF!</f>
        <v>#REF!</v>
      </c>
    </row>
    <row r="490" spans="1:6">
      <c r="A490" s="396" t="e">
        <f>#REF!</f>
        <v>#REF!</v>
      </c>
      <c r="B490" s="397" t="e">
        <f>#REF!</f>
        <v>#REF!</v>
      </c>
      <c r="C490" s="398" t="e">
        <f>#REF!</f>
        <v>#REF!</v>
      </c>
      <c r="D490" s="397" t="e">
        <f>#REF!</f>
        <v>#REF!</v>
      </c>
      <c r="E490" s="397" t="e">
        <f>#REF!</f>
        <v>#REF!</v>
      </c>
      <c r="F490" s="397" t="e">
        <f>#REF!</f>
        <v>#REF!</v>
      </c>
    </row>
    <row r="491" spans="1:6">
      <c r="A491" s="396" t="e">
        <f>#REF!</f>
        <v>#REF!</v>
      </c>
      <c r="B491" s="397" t="e">
        <f>#REF!</f>
        <v>#REF!</v>
      </c>
      <c r="C491" s="398" t="e">
        <f>#REF!</f>
        <v>#REF!</v>
      </c>
      <c r="D491" s="397" t="e">
        <f>#REF!</f>
        <v>#REF!</v>
      </c>
      <c r="E491" s="397" t="e">
        <f>#REF!</f>
        <v>#REF!</v>
      </c>
      <c r="F491" s="397" t="e">
        <f>#REF!</f>
        <v>#REF!</v>
      </c>
    </row>
    <row r="492" spans="1:6">
      <c r="A492" s="396" t="e">
        <f>#REF!</f>
        <v>#REF!</v>
      </c>
      <c r="B492" s="397" t="e">
        <f>#REF!</f>
        <v>#REF!</v>
      </c>
      <c r="C492" s="397" t="e">
        <f>#REF!</f>
        <v>#REF!</v>
      </c>
      <c r="D492" s="397" t="e">
        <f>#REF!</f>
        <v>#REF!</v>
      </c>
      <c r="E492" s="397" t="e">
        <f>#REF!</f>
        <v>#REF!</v>
      </c>
      <c r="F492" s="397" t="e">
        <f>#REF!</f>
        <v>#REF!</v>
      </c>
    </row>
    <row r="493" spans="1:6">
      <c r="A493" s="396" t="e">
        <f>#REF!</f>
        <v>#REF!</v>
      </c>
      <c r="B493" s="397" t="e">
        <f>#REF!</f>
        <v>#REF!</v>
      </c>
      <c r="C493" s="397" t="e">
        <f>#REF!</f>
        <v>#REF!</v>
      </c>
      <c r="D493" s="397" t="e">
        <f>#REF!</f>
        <v>#REF!</v>
      </c>
      <c r="E493" s="397" t="e">
        <f>#REF!</f>
        <v>#REF!</v>
      </c>
      <c r="F493" s="397" t="e">
        <f>#REF!</f>
        <v>#REF!</v>
      </c>
    </row>
    <row r="494" spans="1:6" ht="30">
      <c r="A494" s="396" t="e">
        <f>#REF!</f>
        <v>#REF!</v>
      </c>
      <c r="B494" s="397" t="e">
        <f>#REF!</f>
        <v>#REF!</v>
      </c>
      <c r="C494" s="399" t="e">
        <f>#REF!</f>
        <v>#REF!</v>
      </c>
      <c r="D494" s="397" t="e">
        <f>#REF!</f>
        <v>#REF!</v>
      </c>
      <c r="E494" s="397" t="e">
        <f>#REF!</f>
        <v>#REF!</v>
      </c>
      <c r="F494" s="397" t="e">
        <f>#REF!</f>
        <v>#REF!</v>
      </c>
    </row>
    <row r="495" spans="1:6">
      <c r="A495" s="396" t="e">
        <f>#REF!</f>
        <v>#REF!</v>
      </c>
      <c r="B495" s="397" t="e">
        <f>#REF!</f>
        <v>#REF!</v>
      </c>
      <c r="C495" s="397" t="e">
        <f>#REF!</f>
        <v>#REF!</v>
      </c>
      <c r="D495" s="397" t="e">
        <f>#REF!</f>
        <v>#REF!</v>
      </c>
      <c r="E495" s="397" t="e">
        <f>#REF!</f>
        <v>#REF!</v>
      </c>
      <c r="F495" s="397" t="e">
        <f>#REF!</f>
        <v>#REF!</v>
      </c>
    </row>
    <row r="496" spans="1:6">
      <c r="A496" s="396" t="e">
        <f>#REF!</f>
        <v>#REF!</v>
      </c>
      <c r="B496" s="397" t="e">
        <f>#REF!</f>
        <v>#REF!</v>
      </c>
      <c r="C496" s="397" t="e">
        <f>#REF!</f>
        <v>#REF!</v>
      </c>
      <c r="D496" s="397" t="e">
        <f>#REF!</f>
        <v>#REF!</v>
      </c>
      <c r="E496" s="397" t="e">
        <f>#REF!</f>
        <v>#REF!</v>
      </c>
      <c r="F496" s="397" t="e">
        <f>#REF!</f>
        <v>#REF!</v>
      </c>
    </row>
    <row r="497" spans="1:6">
      <c r="A497" s="396" t="e">
        <f>#REF!</f>
        <v>#REF!</v>
      </c>
      <c r="B497" s="397" t="e">
        <f>#REF!</f>
        <v>#REF!</v>
      </c>
      <c r="C497" s="397" t="e">
        <f>#REF!</f>
        <v>#REF!</v>
      </c>
      <c r="D497" s="397" t="e">
        <f>#REF!</f>
        <v>#REF!</v>
      </c>
      <c r="E497" s="397" t="e">
        <f>#REF!</f>
        <v>#REF!</v>
      </c>
      <c r="F497" s="398" t="e">
        <f>#REF!</f>
        <v>#REF!</v>
      </c>
    </row>
    <row r="499" spans="1:6">
      <c r="A499" s="396" t="e">
        <f>#REF!</f>
        <v>#REF!</v>
      </c>
      <c r="B499" s="397" t="e">
        <f>#REF!</f>
        <v>#REF!</v>
      </c>
      <c r="C499" s="398" t="e">
        <f>#REF!</f>
        <v>#REF!</v>
      </c>
      <c r="D499" s="397" t="e">
        <f>#REF!</f>
        <v>#REF!</v>
      </c>
      <c r="E499" s="397" t="e">
        <f>#REF!</f>
        <v>#REF!</v>
      </c>
      <c r="F499" s="397" t="e">
        <f>#REF!</f>
        <v>#REF!</v>
      </c>
    </row>
    <row r="500" spans="1:6">
      <c r="A500" s="396" t="e">
        <f>#REF!</f>
        <v>#REF!</v>
      </c>
      <c r="B500" s="397" t="e">
        <f>#REF!</f>
        <v>#REF!</v>
      </c>
      <c r="C500" s="398" t="e">
        <f>#REF!</f>
        <v>#REF!</v>
      </c>
      <c r="D500" s="397" t="e">
        <f>#REF!</f>
        <v>#REF!</v>
      </c>
      <c r="E500" s="397" t="e">
        <f>#REF!</f>
        <v>#REF!</v>
      </c>
      <c r="F500" s="397" t="e">
        <f>#REF!</f>
        <v>#REF!</v>
      </c>
    </row>
    <row r="501" spans="1:6">
      <c r="A501" s="396" t="e">
        <f>#REF!</f>
        <v>#REF!</v>
      </c>
      <c r="B501" s="397" t="e">
        <f>#REF!</f>
        <v>#REF!</v>
      </c>
      <c r="C501" s="397" t="e">
        <f>#REF!</f>
        <v>#REF!</v>
      </c>
      <c r="D501" s="397" t="e">
        <f>#REF!</f>
        <v>#REF!</v>
      </c>
      <c r="E501" s="397" t="e">
        <f>#REF!</f>
        <v>#REF!</v>
      </c>
      <c r="F501" s="397" t="e">
        <f>#REF!</f>
        <v>#REF!</v>
      </c>
    </row>
    <row r="502" spans="1:6" ht="60">
      <c r="A502" s="396" t="e">
        <f>#REF!</f>
        <v>#REF!</v>
      </c>
      <c r="B502" s="397" t="e">
        <f>#REF!</f>
        <v>#REF!</v>
      </c>
      <c r="C502" s="399" t="e">
        <f>#REF!</f>
        <v>#REF!</v>
      </c>
      <c r="D502" s="397" t="e">
        <f>#REF!</f>
        <v>#REF!</v>
      </c>
      <c r="E502" s="397" t="e">
        <f>#REF!</f>
        <v>#REF!</v>
      </c>
      <c r="F502" s="397" t="e">
        <f>#REF!</f>
        <v>#REF!</v>
      </c>
    </row>
    <row r="503" spans="1:6">
      <c r="A503" s="396" t="e">
        <f>#REF!</f>
        <v>#REF!</v>
      </c>
      <c r="B503" s="397" t="e">
        <f>#REF!</f>
        <v>#REF!</v>
      </c>
      <c r="C503" s="397" t="e">
        <f>#REF!</f>
        <v>#REF!</v>
      </c>
      <c r="D503" s="397" t="e">
        <f>#REF!</f>
        <v>#REF!</v>
      </c>
      <c r="E503" s="397" t="e">
        <f>#REF!</f>
        <v>#REF!</v>
      </c>
      <c r="F503" s="397" t="e">
        <f>#REF!</f>
        <v>#REF!</v>
      </c>
    </row>
    <row r="504" spans="1:6">
      <c r="A504" s="396" t="e">
        <f>#REF!</f>
        <v>#REF!</v>
      </c>
      <c r="B504" s="397" t="e">
        <f>#REF!</f>
        <v>#REF!</v>
      </c>
      <c r="C504" s="397" t="e">
        <f>#REF!</f>
        <v>#REF!</v>
      </c>
      <c r="D504" s="397" t="e">
        <f>#REF!</f>
        <v>#REF!</v>
      </c>
      <c r="E504" s="397" t="e">
        <f>#REF!</f>
        <v>#REF!</v>
      </c>
      <c r="F504" s="397" t="e">
        <f>#REF!</f>
        <v>#REF!</v>
      </c>
    </row>
    <row r="505" spans="1:6">
      <c r="A505" s="396" t="e">
        <f>#REF!</f>
        <v>#REF!</v>
      </c>
      <c r="B505" s="397" t="e">
        <f>#REF!</f>
        <v>#REF!</v>
      </c>
      <c r="C505" s="397" t="e">
        <f>#REF!</f>
        <v>#REF!</v>
      </c>
      <c r="D505" s="397" t="e">
        <f>#REF!</f>
        <v>#REF!</v>
      </c>
      <c r="E505" s="397" t="e">
        <f>#REF!</f>
        <v>#REF!</v>
      </c>
      <c r="F505" s="398" t="e">
        <f>#REF!</f>
        <v>#REF!</v>
      </c>
    </row>
    <row r="506" spans="1:6">
      <c r="A506" s="396">
        <f>[17]Elec.Data!F3548</f>
        <v>0</v>
      </c>
      <c r="B506" s="397">
        <f>[17]Elec.Data!G3548</f>
        <v>0</v>
      </c>
      <c r="C506" s="397">
        <f>[17]Elec.Data!H3548</f>
        <v>0</v>
      </c>
      <c r="D506" s="397">
        <f>[17]Elec.Data!I3548</f>
        <v>0</v>
      </c>
      <c r="E506" s="397">
        <f>[17]Elec.Data!J3548</f>
        <v>0</v>
      </c>
      <c r="F506" s="397">
        <f>[17]Elec.Data!K3548</f>
        <v>0</v>
      </c>
    </row>
    <row r="507" spans="1:6">
      <c r="A507" s="400" t="str">
        <f>Data!M1315</f>
        <v>40.</v>
      </c>
      <c r="B507" s="398" t="str">
        <f>Data!N1315</f>
        <v>*</v>
      </c>
      <c r="C507" s="1247" t="str">
        <f>Data!O1315</f>
        <v>PAINTING TWO COATS OVER NEW             (as per CER-112/2007-08)</v>
      </c>
      <c r="D507" s="1247"/>
      <c r="E507" s="1247"/>
      <c r="F507" s="397">
        <f>Data!R1315</f>
        <v>0</v>
      </c>
    </row>
    <row r="508" spans="1:6">
      <c r="A508" s="400">
        <f>Data!M1316</f>
        <v>0</v>
      </c>
      <c r="B508" s="398">
        <f>Data!N1316</f>
        <v>0</v>
      </c>
      <c r="C508" s="398" t="str">
        <f>Data!O1316</f>
        <v xml:space="preserve">PLASTERED SURFACE WITH </v>
      </c>
      <c r="D508" s="397">
        <f>Data!P1316</f>
        <v>0</v>
      </c>
      <c r="E508" s="397">
        <f>Data!Q1316</f>
        <v>0</v>
      </c>
      <c r="F508" s="397">
        <f>Data!R1316</f>
        <v>0</v>
      </c>
    </row>
    <row r="509" spans="1:6">
      <c r="A509" s="400">
        <f>Data!M1317</f>
        <v>0</v>
      </c>
      <c r="B509" s="398">
        <f>Data!N1317</f>
        <v>0</v>
      </c>
      <c r="C509" s="398" t="str">
        <f>Data!O1317</f>
        <v>Plastic Emulsion PAINT</v>
      </c>
      <c r="D509" s="397">
        <f>Data!P1317</f>
        <v>0</v>
      </c>
      <c r="E509" s="397">
        <f>Data!Q1317</f>
        <v>0</v>
      </c>
      <c r="F509" s="397">
        <f>Data!R1317</f>
        <v>0</v>
      </c>
    </row>
    <row r="510" spans="1:6">
      <c r="A510" s="396">
        <f>Data!M1318</f>
        <v>0</v>
      </c>
      <c r="B510" s="397">
        <f>Data!N1318</f>
        <v>0</v>
      </c>
      <c r="C510" s="397"/>
      <c r="D510" s="397">
        <f>Data!P1318</f>
        <v>0</v>
      </c>
      <c r="E510" s="397">
        <f>Data!Q1318</f>
        <v>0</v>
      </c>
      <c r="F510" s="397">
        <f>Data!R1318</f>
        <v>0</v>
      </c>
    </row>
    <row r="511" spans="1:6" ht="30">
      <c r="A511" s="396">
        <f>Data!M1319</f>
        <v>1.4</v>
      </c>
      <c r="B511" s="397" t="str">
        <f>Data!N1319</f>
        <v>LIT</v>
      </c>
      <c r="C511" s="399" t="str">
        <f>Data!O1319</f>
        <v>Plastic Emulsion PAINT  (LMR item 113) p-45 143( First qty</v>
      </c>
      <c r="D511" s="397">
        <f>Data!P1319</f>
        <v>295.60000000000002</v>
      </c>
      <c r="E511" s="397" t="str">
        <f>Data!Q1319</f>
        <v>LIT</v>
      </c>
      <c r="F511" s="397">
        <f>Data!R1319</f>
        <v>413.84</v>
      </c>
    </row>
    <row r="512" spans="1:6">
      <c r="A512" s="396">
        <f>Data!M1320</f>
        <v>0.98</v>
      </c>
      <c r="B512" s="397" t="str">
        <f>Data!N1320</f>
        <v>LIT</v>
      </c>
      <c r="C512" s="397" t="str">
        <f>Data!O1320</f>
        <v>Primer     (LMR item 142) p45</v>
      </c>
      <c r="D512" s="397">
        <f>Data!P1320</f>
        <v>147.5</v>
      </c>
      <c r="E512" s="397" t="str">
        <f>Data!Q1320</f>
        <v>LIT</v>
      </c>
      <c r="F512" s="397">
        <f>Data!R1320</f>
        <v>144.55000000000001</v>
      </c>
    </row>
    <row r="513" spans="1:6">
      <c r="A513" s="396">
        <f>Data!M1321</f>
        <v>2.2000000000000002</v>
      </c>
      <c r="B513" s="397" t="str">
        <f>Data!N1321</f>
        <v>NO</v>
      </c>
      <c r="C513" s="397" t="str">
        <f>Data!O1321</f>
        <v xml:space="preserve">PAINTER I </v>
      </c>
      <c r="D513" s="397">
        <f>Data!P1321</f>
        <v>797</v>
      </c>
      <c r="E513" s="397" t="str">
        <f>Data!Q1321</f>
        <v>NO</v>
      </c>
      <c r="F513" s="397">
        <f>Data!R1321</f>
        <v>1753.4</v>
      </c>
    </row>
    <row r="514" spans="1:6">
      <c r="A514" s="396">
        <f>Data!M1322</f>
        <v>0</v>
      </c>
      <c r="B514" s="397" t="str">
        <f>Data!N1322</f>
        <v>L.S</v>
      </c>
      <c r="C514" s="397" t="str">
        <f>Data!O1322</f>
        <v>SUNDRIES FOR BRUSHES,ETC</v>
      </c>
      <c r="D514" s="397" t="str">
        <f>Data!P1322</f>
        <v xml:space="preserve"> </v>
      </c>
      <c r="E514" s="397" t="str">
        <f>Data!Q1322</f>
        <v>L.S</v>
      </c>
      <c r="F514" s="397">
        <f>Data!R1322</f>
        <v>2.5499999999999998</v>
      </c>
    </row>
    <row r="515" spans="1:6">
      <c r="A515" s="396">
        <f>Data!M1323</f>
        <v>0</v>
      </c>
      <c r="B515" s="397">
        <f>Data!N1323</f>
        <v>0</v>
      </c>
      <c r="C515" s="397">
        <f>Data!O1323</f>
        <v>0</v>
      </c>
      <c r="D515" s="397">
        <f>Data!P1323</f>
        <v>0</v>
      </c>
      <c r="E515" s="397">
        <f>Data!Q1323</f>
        <v>0</v>
      </c>
      <c r="F515" s="397">
        <f>Data!R1323</f>
        <v>0</v>
      </c>
    </row>
    <row r="516" spans="1:6">
      <c r="A516" s="396">
        <f>Data!M1324</f>
        <v>0</v>
      </c>
      <c r="B516" s="397">
        <f>Data!N1324</f>
        <v>0</v>
      </c>
      <c r="C516" s="397" t="str">
        <f>Data!O1324</f>
        <v>TOTAL FOR 10 SQM</v>
      </c>
      <c r="D516" s="397">
        <f>Data!P1324</f>
        <v>0</v>
      </c>
      <c r="E516" s="397">
        <f>Data!Q1324</f>
        <v>0</v>
      </c>
      <c r="F516" s="397">
        <f>Data!R1324</f>
        <v>2314.34</v>
      </c>
    </row>
    <row r="517" spans="1:6">
      <c r="A517" s="396">
        <f>Data!M1325</f>
        <v>0</v>
      </c>
      <c r="B517" s="397">
        <f>Data!N1325</f>
        <v>0</v>
      </c>
      <c r="C517" s="397">
        <f>Data!O1325</f>
        <v>0</v>
      </c>
      <c r="D517" s="397">
        <f>Data!P1325</f>
        <v>0</v>
      </c>
      <c r="E517" s="397">
        <f>Data!Q1325</f>
        <v>0</v>
      </c>
      <c r="F517" s="397"/>
    </row>
    <row r="518" spans="1:6">
      <c r="A518" s="396">
        <f>Data!M1326</f>
        <v>0</v>
      </c>
      <c r="B518" s="397">
        <f>Data!N1326</f>
        <v>0</v>
      </c>
      <c r="C518" s="397" t="str">
        <f>Data!O1326</f>
        <v>RATE PER SQM</v>
      </c>
      <c r="D518" s="397">
        <f>Data!P1326</f>
        <v>0</v>
      </c>
      <c r="E518" s="397">
        <f>Data!Q1326</f>
        <v>0</v>
      </c>
      <c r="F518" s="398">
        <f>Data!R1326</f>
        <v>231.43</v>
      </c>
    </row>
    <row r="520" spans="1:6">
      <c r="A520" s="396">
        <f>Data!M3118</f>
        <v>0</v>
      </c>
      <c r="B520" s="397">
        <f>Data!N3118</f>
        <v>0</v>
      </c>
      <c r="C520" s="398" t="str">
        <f>Data!O3118</f>
        <v>Providing tee with end cap</v>
      </c>
      <c r="D520" s="397">
        <f>Data!P3118</f>
        <v>0</v>
      </c>
      <c r="E520" s="397">
        <f>Data!Q3118</f>
        <v>0</v>
      </c>
      <c r="F520" s="397">
        <f>Data!R3118</f>
        <v>0</v>
      </c>
    </row>
    <row r="521" spans="1:6">
      <c r="A521" s="396">
        <f>Data!M3119</f>
        <v>1</v>
      </c>
      <c r="B521" s="397">
        <f>Data!N3119</f>
        <v>0</v>
      </c>
      <c r="C521" s="397" t="str">
        <f>Data!O3119</f>
        <v>PVC Tee 32mm dia (p-100 D-d)</v>
      </c>
      <c r="D521" s="397">
        <f>Data!P3119</f>
        <v>17.2</v>
      </c>
      <c r="E521" s="397" t="str">
        <f>Data!Q3119</f>
        <v>Each</v>
      </c>
      <c r="F521" s="397">
        <f>Data!R3119</f>
        <v>17.2</v>
      </c>
    </row>
    <row r="522" spans="1:6">
      <c r="A522" s="396">
        <f>Data!M3120</f>
        <v>1</v>
      </c>
      <c r="B522" s="397">
        <f>Data!N3120</f>
        <v>0</v>
      </c>
      <c r="C522" s="397" t="str">
        <f>Data!O3120</f>
        <v>PVC end cap 32mm dia (p-100 E-d)</v>
      </c>
      <c r="D522" s="397">
        <f>Data!P3120</f>
        <v>8.5</v>
      </c>
      <c r="E522" s="397" t="str">
        <f>Data!Q3120</f>
        <v>Each</v>
      </c>
      <c r="F522" s="397">
        <f>Data!R3120</f>
        <v>8.5</v>
      </c>
    </row>
    <row r="523" spans="1:6">
      <c r="A523" s="396">
        <f>Data!M3121</f>
        <v>0.13</v>
      </c>
      <c r="B523" s="397">
        <f>Data!N3121</f>
        <v>0</v>
      </c>
      <c r="C523" s="397" t="str">
        <f>Data!O3121</f>
        <v>Plumber - I</v>
      </c>
      <c r="D523" s="397">
        <f>Data!P3121</f>
        <v>866</v>
      </c>
      <c r="E523" s="397" t="str">
        <f>Data!Q3121</f>
        <v>Each</v>
      </c>
      <c r="F523" s="397">
        <f>Data!R3121</f>
        <v>108.25</v>
      </c>
    </row>
    <row r="524" spans="1:6">
      <c r="A524" s="396">
        <f>Data!M3122</f>
        <v>0</v>
      </c>
      <c r="B524" s="397">
        <f>Data!N3122</f>
        <v>0</v>
      </c>
      <c r="C524" s="397" t="str">
        <f>Data!O3122</f>
        <v>Sundries</v>
      </c>
      <c r="D524" s="397">
        <f>Data!P3122</f>
        <v>0</v>
      </c>
      <c r="E524" s="397">
        <f>Data!Q3122</f>
        <v>0</v>
      </c>
      <c r="F524" s="397">
        <f>Data!R3122</f>
        <v>4.37</v>
      </c>
    </row>
    <row r="525" spans="1:6">
      <c r="A525" s="396">
        <f>Data!M3123</f>
        <v>0</v>
      </c>
      <c r="B525" s="397">
        <f>Data!N3123</f>
        <v>0</v>
      </c>
      <c r="C525" s="397" t="str">
        <f>Data!O3123</f>
        <v>Sundries</v>
      </c>
      <c r="D525" s="397">
        <f>Data!P3123</f>
        <v>0</v>
      </c>
      <c r="E525" s="397">
        <f>Data!Q3123</f>
        <v>0</v>
      </c>
      <c r="F525" s="397">
        <f>Data!R3123</f>
        <v>138.32</v>
      </c>
    </row>
    <row r="526" spans="1:6">
      <c r="A526" s="396">
        <f>Data!M3124</f>
        <v>0</v>
      </c>
      <c r="B526" s="397">
        <f>Data!N3124</f>
        <v>0</v>
      </c>
      <c r="C526" s="397">
        <f>Data!O3124</f>
        <v>0</v>
      </c>
      <c r="D526" s="397">
        <f>Data!P3124</f>
        <v>0</v>
      </c>
      <c r="E526" s="397">
        <f>Data!Q3124</f>
        <v>0</v>
      </c>
      <c r="F526" s="398">
        <f>Data!R3124</f>
        <v>51.32</v>
      </c>
    </row>
    <row r="528" spans="1:6">
      <c r="A528" s="396">
        <f>Data!M2386</f>
        <v>0</v>
      </c>
      <c r="B528" s="397">
        <f>Data!N2386</f>
        <v>0</v>
      </c>
      <c r="C528" s="398" t="str">
        <f>Data!O2386</f>
        <v>Providing wooden MELAMEN DOOR POLISH</v>
      </c>
      <c r="D528" s="398"/>
      <c r="E528" s="398"/>
      <c r="F528" s="397">
        <f>Data!R2386</f>
        <v>0</v>
      </c>
    </row>
    <row r="529" spans="1:6">
      <c r="A529" s="396">
        <f>Data!M2387</f>
        <v>0</v>
      </c>
      <c r="B529" s="397">
        <f>Data!N2387</f>
        <v>0</v>
      </c>
      <c r="C529" s="397" t="str">
        <f>Data!O2387</f>
        <v>For New Wood</v>
      </c>
      <c r="D529" s="397">
        <f>Data!P2387</f>
        <v>0</v>
      </c>
      <c r="E529" s="397">
        <f>Data!Q2387</f>
        <v>0</v>
      </c>
      <c r="F529" s="397">
        <f>Data!R2387</f>
        <v>0</v>
      </c>
    </row>
    <row r="530" spans="1:6">
      <c r="A530" s="396">
        <f>Data!M2388</f>
        <v>0</v>
      </c>
      <c r="B530" s="397">
        <f>Data!N2388</f>
        <v>0</v>
      </c>
      <c r="C530" s="397" t="str">
        <f>Data!O2388</f>
        <v>Contain a size 1.2x2.1 m</v>
      </c>
      <c r="D530" s="397">
        <f>Data!P2388</f>
        <v>0</v>
      </c>
      <c r="E530" s="397">
        <f>Data!Q2388</f>
        <v>0</v>
      </c>
      <c r="F530" s="397">
        <f>Data!R2388</f>
        <v>0</v>
      </c>
    </row>
    <row r="531" spans="1:6">
      <c r="A531" s="396">
        <f>Data!M2389</f>
        <v>0</v>
      </c>
      <c r="B531" s="397">
        <f>Data!N2389</f>
        <v>0</v>
      </c>
      <c r="C531" s="397" t="str">
        <f>Data!O2389</f>
        <v>Area of Polishing 1x1x2.25x1.2x2.1+5.67m2</v>
      </c>
      <c r="D531" s="397">
        <f>Data!P2389</f>
        <v>0</v>
      </c>
      <c r="E531" s="397">
        <f>Data!Q2389</f>
        <v>0</v>
      </c>
      <c r="F531" s="397">
        <f>Data!R2389</f>
        <v>0</v>
      </c>
    </row>
    <row r="532" spans="1:6">
      <c r="A532" s="396">
        <f>Data!M2390</f>
        <v>0</v>
      </c>
      <c r="B532" s="397">
        <f>Data!N2390</f>
        <v>0</v>
      </c>
      <c r="C532" s="397"/>
      <c r="D532" s="397" t="str">
        <f>Data!P2390</f>
        <v>-</v>
      </c>
      <c r="E532" s="397">
        <f>Data!Q2390</f>
        <v>0</v>
      </c>
      <c r="F532" s="397">
        <f>Data!R2390</f>
        <v>0</v>
      </c>
    </row>
    <row r="533" spans="1:6">
      <c r="A533" s="396">
        <f>Data!M2391</f>
        <v>8</v>
      </c>
      <c r="B533" s="397" t="str">
        <f>Data!N2391</f>
        <v>NOS</v>
      </c>
      <c r="C533" s="397" t="str">
        <f>Data!O2391</f>
        <v xml:space="preserve">Sand paper No 50 (Qtn) </v>
      </c>
      <c r="D533" s="397">
        <f>Data!P2391</f>
        <v>4.0999999999999996</v>
      </c>
      <c r="E533" s="397" t="str">
        <f>Data!Q2391</f>
        <v>Each</v>
      </c>
      <c r="F533" s="397">
        <f>Data!R2391</f>
        <v>32.799999999999997</v>
      </c>
    </row>
    <row r="534" spans="1:6">
      <c r="A534" s="396">
        <f>Data!M2392</f>
        <v>8</v>
      </c>
      <c r="B534" s="397" t="str">
        <f>Data!N2392</f>
        <v>NOS</v>
      </c>
      <c r="C534" s="397" t="str">
        <f>Data!O2392</f>
        <v>Sand paper No 80</v>
      </c>
      <c r="D534" s="397">
        <f>Data!P2392</f>
        <v>3.69</v>
      </c>
      <c r="E534" s="397" t="str">
        <f>Data!Q2392</f>
        <v>Each</v>
      </c>
      <c r="F534" s="397">
        <f>Data!R2392</f>
        <v>29.52</v>
      </c>
    </row>
    <row r="535" spans="1:6">
      <c r="A535" s="396">
        <f>Data!M2393</f>
        <v>8</v>
      </c>
      <c r="B535" s="397" t="str">
        <f>Data!N2393</f>
        <v>NOS</v>
      </c>
      <c r="C535" s="397" t="str">
        <f>Data!O2393</f>
        <v>Sand paper No 100</v>
      </c>
      <c r="D535" s="397">
        <f>Data!P2393</f>
        <v>4.0999999999999996</v>
      </c>
      <c r="E535" s="397" t="str">
        <f>Data!Q2393</f>
        <v>Each</v>
      </c>
      <c r="F535" s="397">
        <f>Data!R2393</f>
        <v>32.799999999999997</v>
      </c>
    </row>
    <row r="536" spans="1:6">
      <c r="A536" s="396">
        <f>Data!M2394</f>
        <v>0.75</v>
      </c>
      <c r="B536" s="397" t="str">
        <f>Data!N2394</f>
        <v>Kg</v>
      </c>
      <c r="C536" s="397" t="str">
        <f>Data!O2394</f>
        <v>Wooden filter</v>
      </c>
      <c r="D536" s="397">
        <f>Data!P2394</f>
        <v>176.4</v>
      </c>
      <c r="E536" s="397" t="str">
        <f>Data!Q2394</f>
        <v>Each</v>
      </c>
      <c r="F536" s="397">
        <f>Data!R2394</f>
        <v>132.30000000000001</v>
      </c>
    </row>
    <row r="537" spans="1:6">
      <c r="A537" s="396">
        <f>Data!M2395</f>
        <v>2.25</v>
      </c>
      <c r="B537" s="397" t="str">
        <f>Data!N2395</f>
        <v>liter</v>
      </c>
      <c r="C537" s="397" t="str">
        <f>Data!O2395</f>
        <v>sand seal thinner</v>
      </c>
      <c r="D537" s="397">
        <f>Data!P2395</f>
        <v>140.41</v>
      </c>
      <c r="E537" s="397" t="str">
        <f>Data!Q2395</f>
        <v>liter</v>
      </c>
      <c r="F537" s="397">
        <f>Data!R2395</f>
        <v>315.92</v>
      </c>
    </row>
    <row r="538" spans="1:6">
      <c r="A538" s="396">
        <f>Data!M2396</f>
        <v>4.5</v>
      </c>
      <c r="B538" s="397" t="str">
        <f>Data!N2396</f>
        <v>liter</v>
      </c>
      <c r="C538" s="397" t="str">
        <f>Data!O2396</f>
        <v>Thinner</v>
      </c>
      <c r="D538" s="397">
        <f>Data!P2396</f>
        <v>65</v>
      </c>
      <c r="E538" s="397" t="str">
        <f>Data!Q2396</f>
        <v>liter</v>
      </c>
      <c r="F538" s="397">
        <f>Data!R2396</f>
        <v>292.5</v>
      </c>
    </row>
    <row r="539" spans="1:6">
      <c r="A539" s="396">
        <f>Data!M2397</f>
        <v>6</v>
      </c>
      <c r="B539" s="397" t="str">
        <f>Data!N2397</f>
        <v>NOS</v>
      </c>
      <c r="C539" s="397" t="str">
        <f>Data!O2397</f>
        <v>Water Emery No 250</v>
      </c>
      <c r="D539" s="397">
        <f>Data!P2397</f>
        <v>8</v>
      </c>
      <c r="E539" s="397" t="str">
        <f>Data!Q2397</f>
        <v>Each</v>
      </c>
      <c r="F539" s="397">
        <f>Data!R2397</f>
        <v>48</v>
      </c>
    </row>
    <row r="540" spans="1:6">
      <c r="A540" s="396">
        <f>Data!M2398</f>
        <v>6</v>
      </c>
      <c r="B540" s="397" t="str">
        <f>Data!N2398</f>
        <v>NOS</v>
      </c>
      <c r="C540" s="397" t="str">
        <f>Data!O2398</f>
        <v>Water Emery No 320</v>
      </c>
      <c r="D540" s="397">
        <f>Data!P2398</f>
        <v>8.61</v>
      </c>
      <c r="E540" s="397" t="str">
        <f>Data!Q2398</f>
        <v>Each</v>
      </c>
      <c r="F540" s="397">
        <f>Data!R2398</f>
        <v>51.66</v>
      </c>
    </row>
    <row r="541" spans="1:6">
      <c r="A541" s="396">
        <f>Data!M2399</f>
        <v>4</v>
      </c>
      <c r="B541" s="397" t="str">
        <f>Data!N2399</f>
        <v>NOS</v>
      </c>
      <c r="C541" s="397" t="str">
        <f>Data!O2399</f>
        <v>Water Emery No 400</v>
      </c>
      <c r="D541" s="397">
        <f>Data!P2399</f>
        <v>8.61</v>
      </c>
      <c r="E541" s="397" t="str">
        <f>Data!Q2399</f>
        <v>Each</v>
      </c>
      <c r="F541" s="397">
        <f>Data!R2399</f>
        <v>34.44</v>
      </c>
    </row>
    <row r="542" spans="1:6">
      <c r="A542" s="396">
        <f>Data!M2400</f>
        <v>300</v>
      </c>
      <c r="B542" s="397" t="str">
        <f>Data!N2400</f>
        <v>gm</v>
      </c>
      <c r="C542" s="397" t="str">
        <f>Data!O2400</f>
        <v>Teak Powder</v>
      </c>
      <c r="D542" s="397">
        <f>Data!P2400</f>
        <v>30</v>
      </c>
      <c r="E542" s="397" t="str">
        <f>Data!Q2400</f>
        <v>100gm</v>
      </c>
      <c r="F542" s="397">
        <f>Data!R2400</f>
        <v>90</v>
      </c>
    </row>
    <row r="543" spans="1:6">
      <c r="A543" s="396">
        <f>Data!M2401</f>
        <v>300</v>
      </c>
      <c r="B543" s="397" t="str">
        <f>Data!N2401</f>
        <v>gm</v>
      </c>
      <c r="C543" s="397" t="str">
        <f>Data!O2401</f>
        <v>Red Powder</v>
      </c>
      <c r="D543" s="397">
        <f>Data!P2401</f>
        <v>44.99</v>
      </c>
      <c r="E543" s="397" t="str">
        <f>Data!Q2401</f>
        <v>500gm</v>
      </c>
      <c r="F543" s="397">
        <f>Data!R2401</f>
        <v>26.99</v>
      </c>
    </row>
    <row r="544" spans="1:6">
      <c r="A544" s="396">
        <f>Data!M2402</f>
        <v>1.5</v>
      </c>
      <c r="B544" s="397" t="str">
        <f>Data!N2402</f>
        <v>Kg</v>
      </c>
      <c r="C544" s="397" t="str">
        <f>Data!O2402</f>
        <v xml:space="preserve"> Fresh Chalk Powder</v>
      </c>
      <c r="D544" s="397">
        <f>Data!P2402</f>
        <v>20.95</v>
      </c>
      <c r="E544" s="397" t="str">
        <f>Data!Q2402</f>
        <v>Kg</v>
      </c>
      <c r="F544" s="397">
        <f>Data!R2402</f>
        <v>31.43</v>
      </c>
    </row>
    <row r="545" spans="1:6">
      <c r="A545" s="396">
        <f>Data!M2403</f>
        <v>2.25</v>
      </c>
      <c r="B545" s="397" t="str">
        <f>Data!N2403</f>
        <v>liter</v>
      </c>
      <c r="C545" s="397" t="str">
        <f>Data!O2403</f>
        <v xml:space="preserve">MELAMEN matt Qtn </v>
      </c>
      <c r="D545" s="397">
        <f>Data!P2403</f>
        <v>212.41</v>
      </c>
      <c r="E545" s="397" t="str">
        <f>Data!Q2403</f>
        <v>liter</v>
      </c>
      <c r="F545" s="397">
        <f>Data!R2403</f>
        <v>477.92</v>
      </c>
    </row>
    <row r="546" spans="1:6">
      <c r="A546" s="396">
        <f>Data!M2404</f>
        <v>0.75</v>
      </c>
      <c r="B546" s="397" t="str">
        <f>Data!N2404</f>
        <v>liter</v>
      </c>
      <c r="C546" s="397" t="str">
        <f>Data!O2404</f>
        <v>MELAMEN  Glozy</v>
      </c>
      <c r="D546" s="397">
        <f>Data!P2404</f>
        <v>205.21</v>
      </c>
      <c r="E546" s="397" t="str">
        <f>Data!Q2404</f>
        <v>liter</v>
      </c>
      <c r="F546" s="397">
        <f>Data!R2404</f>
        <v>153.91</v>
      </c>
    </row>
    <row r="547" spans="1:6">
      <c r="A547" s="396">
        <f>Data!M2405</f>
        <v>2.25</v>
      </c>
      <c r="B547" s="397" t="str">
        <f>Data!N2405</f>
        <v>liter</v>
      </c>
      <c r="C547" s="397" t="str">
        <f>Data!O2405</f>
        <v>Thinner 106</v>
      </c>
      <c r="D547" s="397">
        <f>Data!P2405</f>
        <v>185.21</v>
      </c>
      <c r="E547" s="397" t="str">
        <f>Data!Q2405</f>
        <v>liter</v>
      </c>
      <c r="F547" s="397">
        <f>Data!R2405</f>
        <v>416.72</v>
      </c>
    </row>
    <row r="548" spans="1:6">
      <c r="A548" s="396">
        <f>Data!M2406</f>
        <v>500</v>
      </c>
      <c r="B548" s="397" t="str">
        <f>Data!N2406</f>
        <v>gm</v>
      </c>
      <c r="C548" s="397" t="str">
        <f>Data!O2406</f>
        <v>Banian waste</v>
      </c>
      <c r="D548" s="397">
        <f>Data!P2406</f>
        <v>52.25</v>
      </c>
      <c r="E548" s="397" t="str">
        <f>Data!Q2406</f>
        <v>Kg</v>
      </c>
      <c r="F548" s="397">
        <f>Data!R2406</f>
        <v>26.13</v>
      </c>
    </row>
    <row r="549" spans="1:6">
      <c r="A549" s="396">
        <f>Data!M2407</f>
        <v>1</v>
      </c>
      <c r="B549" s="397" t="str">
        <f>Data!N2407</f>
        <v>NOS</v>
      </c>
      <c r="C549" s="397" t="str">
        <f>Data!O2407</f>
        <v>3" Brush</v>
      </c>
      <c r="D549" s="397">
        <f>Data!P2407</f>
        <v>131.21</v>
      </c>
      <c r="E549" s="397" t="str">
        <f>Data!Q2407</f>
        <v>1No</v>
      </c>
      <c r="F549" s="397">
        <f>Data!R2407</f>
        <v>131.21</v>
      </c>
    </row>
    <row r="550" spans="1:6">
      <c r="A550" s="396">
        <f>Data!M2408</f>
        <v>1</v>
      </c>
      <c r="B550" s="397" t="str">
        <f>Data!N2408</f>
        <v>NOS</v>
      </c>
      <c r="C550" s="397" t="str">
        <f>Data!O2408</f>
        <v>2" Flat Brush</v>
      </c>
      <c r="D550" s="397">
        <f>Data!P2408</f>
        <v>12.3</v>
      </c>
      <c r="E550" s="397" t="str">
        <f>Data!Q2408</f>
        <v>1No</v>
      </c>
      <c r="F550" s="397">
        <f>Data!R2408</f>
        <v>12.3</v>
      </c>
    </row>
    <row r="551" spans="1:6">
      <c r="A551" s="396">
        <f>Data!M2409</f>
        <v>4</v>
      </c>
      <c r="B551" s="397" t="str">
        <f>Data!N2409</f>
        <v>NOS</v>
      </c>
      <c r="C551" s="397" t="str">
        <f>Data!O2409</f>
        <v>PAINTER- I Class</v>
      </c>
      <c r="D551" s="397">
        <f>Data!P2409</f>
        <v>797</v>
      </c>
      <c r="E551" s="397" t="str">
        <f>Data!Q2409</f>
        <v>Each</v>
      </c>
      <c r="F551" s="397">
        <f>Data!R2409</f>
        <v>3188</v>
      </c>
    </row>
    <row r="552" spans="1:6">
      <c r="A552" s="396">
        <f>Data!M2410</f>
        <v>2</v>
      </c>
      <c r="B552" s="397" t="str">
        <f>Data!N2410</f>
        <v>NOS</v>
      </c>
      <c r="C552" s="397" t="str">
        <f>Data!O2410</f>
        <v>PAINTER - II  Class</v>
      </c>
      <c r="D552" s="397">
        <f>Data!P2410</f>
        <v>772</v>
      </c>
      <c r="E552" s="397" t="str">
        <f>Data!Q2410</f>
        <v>Each</v>
      </c>
      <c r="F552" s="397">
        <f>Data!R2410</f>
        <v>1544</v>
      </c>
    </row>
    <row r="553" spans="1:6">
      <c r="A553" s="396">
        <f>Data!M2411</f>
        <v>2</v>
      </c>
      <c r="B553" s="397" t="str">
        <f>Data!N2411</f>
        <v>NOS</v>
      </c>
      <c r="C553" s="397" t="str">
        <f>Data!O2411</f>
        <v>Mazdoor - II  Class</v>
      </c>
      <c r="D553" s="397">
        <f>Data!P2411</f>
        <v>534</v>
      </c>
      <c r="E553" s="397" t="str">
        <f>Data!Q2411</f>
        <v>Each</v>
      </c>
      <c r="F553" s="397">
        <f>Data!R2411</f>
        <v>1068</v>
      </c>
    </row>
    <row r="554" spans="1:6">
      <c r="A554" s="396">
        <f>Data!M2412</f>
        <v>0</v>
      </c>
      <c r="B554" s="397">
        <f>Data!N2412</f>
        <v>0</v>
      </c>
      <c r="C554" s="397" t="str">
        <f>Data!O2412</f>
        <v xml:space="preserve">Bladder &amp; Tools </v>
      </c>
      <c r="D554" s="397">
        <f>Data!P2412</f>
        <v>0</v>
      </c>
      <c r="E554" s="397">
        <f>Data!Q2412</f>
        <v>0</v>
      </c>
      <c r="F554" s="397">
        <f>Data!R2412</f>
        <v>20</v>
      </c>
    </row>
    <row r="555" spans="1:6">
      <c r="A555" s="396">
        <f>Data!M2413</f>
        <v>0</v>
      </c>
      <c r="B555" s="397">
        <f>Data!N2413</f>
        <v>0</v>
      </c>
      <c r="C555" s="397">
        <f>Data!O2413</f>
        <v>0</v>
      </c>
      <c r="D555" s="397">
        <f>Data!P2413</f>
        <v>0</v>
      </c>
      <c r="E555" s="397">
        <f>Data!Q2413</f>
        <v>0</v>
      </c>
      <c r="F555" s="397" t="str">
        <f>Data!R2413</f>
        <v>----------------------</v>
      </c>
    </row>
    <row r="556" spans="1:6">
      <c r="A556" s="396">
        <f>Data!M2414</f>
        <v>0</v>
      </c>
      <c r="B556" s="397">
        <f>Data!N2414</f>
        <v>0</v>
      </c>
      <c r="C556" s="397" t="str">
        <f>Data!O2414</f>
        <v>TOTAL FOR 5.67 SQM</v>
      </c>
      <c r="D556" s="397">
        <f>Data!P2414</f>
        <v>0</v>
      </c>
      <c r="E556" s="397">
        <f>Data!Q2414</f>
        <v>0</v>
      </c>
      <c r="F556" s="397">
        <f>Data!R2414</f>
        <v>8156.55</v>
      </c>
    </row>
    <row r="557" spans="1:6">
      <c r="A557" s="396">
        <f>Data!M2415</f>
        <v>0</v>
      </c>
      <c r="B557" s="397">
        <f>Data!N2415</f>
        <v>0</v>
      </c>
      <c r="C557" s="397">
        <f>Data!O2415</f>
        <v>0</v>
      </c>
      <c r="D557" s="397">
        <f>Data!P2415</f>
        <v>0</v>
      </c>
      <c r="E557" s="397">
        <f>Data!Q2415</f>
        <v>0</v>
      </c>
      <c r="F557" s="397"/>
    </row>
    <row r="558" spans="1:6">
      <c r="A558" s="396">
        <f>Data!M2416</f>
        <v>0</v>
      </c>
      <c r="B558" s="397">
        <f>Data!N2416</f>
        <v>0</v>
      </c>
      <c r="C558" s="397" t="str">
        <f>Data!O2416</f>
        <v>Rate for 1 Sqm</v>
      </c>
      <c r="D558" s="397">
        <f>Data!P2416</f>
        <v>0</v>
      </c>
      <c r="E558" s="397">
        <f>Data!Q2416</f>
        <v>0</v>
      </c>
      <c r="F558" s="398">
        <f>Data!R2416</f>
        <v>1438.54</v>
      </c>
    </row>
    <row r="560" spans="1:6">
      <c r="A560" s="396">
        <f>Data!M1254</f>
        <v>0</v>
      </c>
      <c r="B560" s="397">
        <f>Data!N1254</f>
        <v>0</v>
      </c>
      <c r="C560" s="398" t="str">
        <f>Data!O1254</f>
        <v>Vertified tile flooring IVORY</v>
      </c>
      <c r="D560" s="397">
        <f>Data!P1254</f>
        <v>0</v>
      </c>
      <c r="E560" s="397" t="str">
        <f>Data!Q1254</f>
        <v>d448</v>
      </c>
      <c r="F560" s="397">
        <f>Data!R1254</f>
        <v>0</v>
      </c>
    </row>
    <row r="561" spans="1:6">
      <c r="A561" s="396">
        <f>Data!M1255</f>
        <v>0</v>
      </c>
      <c r="B561" s="397">
        <f>Data!N1255</f>
        <v>0</v>
      </c>
      <c r="C561" s="397">
        <f>Data!O1255</f>
        <v>0</v>
      </c>
      <c r="D561" s="397">
        <f>Data!P1255</f>
        <v>0</v>
      </c>
      <c r="E561" s="397">
        <f>Data!Q1255</f>
        <v>0</v>
      </c>
      <c r="F561" s="397">
        <f>Data!R1255</f>
        <v>0</v>
      </c>
    </row>
    <row r="562" spans="1:6">
      <c r="A562" s="396">
        <f>Data!M1256</f>
        <v>0</v>
      </c>
      <c r="B562" s="397">
        <f>Data!N1256</f>
        <v>0</v>
      </c>
      <c r="C562" s="397">
        <f>Data!O1256</f>
        <v>0</v>
      </c>
      <c r="D562" s="397">
        <f>Data!P1256</f>
        <v>0</v>
      </c>
      <c r="E562" s="397">
        <f>Data!Q1256</f>
        <v>0</v>
      </c>
      <c r="F562" s="397">
        <f>Data!R1256</f>
        <v>0</v>
      </c>
    </row>
    <row r="563" spans="1:6">
      <c r="A563" s="396">
        <f>Data!M1257</f>
        <v>10</v>
      </c>
      <c r="B563" s="397" t="str">
        <f>Data!N1257</f>
        <v>SQM</v>
      </c>
      <c r="C563" s="397" t="str">
        <f>Data!O1257</f>
        <v>COST OF Vertified TILES  qtn</v>
      </c>
      <c r="D563" s="397">
        <f>Data!P1257</f>
        <v>421.3</v>
      </c>
      <c r="E563" s="397" t="str">
        <f>Data!Q1257</f>
        <v>SQM</v>
      </c>
      <c r="F563" s="397">
        <f>Data!R1257</f>
        <v>4213</v>
      </c>
    </row>
    <row r="564" spans="1:6">
      <c r="A564" s="396">
        <f>Data!M1258</f>
        <v>0.21</v>
      </c>
      <c r="B564" s="397" t="str">
        <f>Data!N1258</f>
        <v>CUM</v>
      </c>
      <c r="C564" s="397" t="str">
        <f>Data!O1258</f>
        <v>C.M(1:3)</v>
      </c>
      <c r="D564" s="397" t="e">
        <f>Data!P1258</f>
        <v>#REF!</v>
      </c>
      <c r="E564" s="397" t="str">
        <f>Data!Q1258</f>
        <v>CUM</v>
      </c>
      <c r="F564" s="397" t="e">
        <f>Data!R1258</f>
        <v>#REF!</v>
      </c>
    </row>
    <row r="565" spans="1:6">
      <c r="A565" s="396">
        <f>Data!M1259</f>
        <v>1.1000000000000001</v>
      </c>
      <c r="B565" s="397" t="str">
        <f>Data!N1259</f>
        <v>NO</v>
      </c>
      <c r="C565" s="397" t="str">
        <f>Data!O1259</f>
        <v>MASON I</v>
      </c>
      <c r="D565" s="397">
        <f>Data!P1259</f>
        <v>999</v>
      </c>
      <c r="E565" s="397" t="str">
        <f>Data!Q1259</f>
        <v>NO</v>
      </c>
      <c r="F565" s="397">
        <f>Data!R1259</f>
        <v>1098.9000000000001</v>
      </c>
    </row>
    <row r="566" spans="1:6">
      <c r="A566" s="396">
        <f>Data!M1260</f>
        <v>1.1000000000000001</v>
      </c>
      <c r="B566" s="397" t="str">
        <f>Data!N1260</f>
        <v>NO</v>
      </c>
      <c r="C566" s="397" t="str">
        <f>Data!O1260</f>
        <v>MASON II</v>
      </c>
      <c r="D566" s="397">
        <f>Data!P1260</f>
        <v>932</v>
      </c>
      <c r="E566" s="397" t="str">
        <f>Data!Q1260</f>
        <v>NO</v>
      </c>
      <c r="F566" s="397">
        <f>Data!R1260</f>
        <v>1025.2</v>
      </c>
    </row>
    <row r="567" spans="1:6">
      <c r="A567" s="396">
        <f>Data!M1261</f>
        <v>2.2000000000000002</v>
      </c>
      <c r="B567" s="397" t="str">
        <f>Data!N1261</f>
        <v>NO</v>
      </c>
      <c r="C567" s="397" t="str">
        <f>Data!O1261</f>
        <v>MAZDOOR I</v>
      </c>
      <c r="D567" s="397">
        <f>Data!P1261</f>
        <v>651</v>
      </c>
      <c r="E567" s="397" t="str">
        <f>Data!Q1261</f>
        <v>NO</v>
      </c>
      <c r="F567" s="397">
        <f>Data!R1261</f>
        <v>1432.2</v>
      </c>
    </row>
    <row r="568" spans="1:6">
      <c r="A568" s="396">
        <f>Data!M1262</f>
        <v>2.2000000000000002</v>
      </c>
      <c r="B568" s="397" t="str">
        <f>Data!N1262</f>
        <v>NO</v>
      </c>
      <c r="C568" s="397" t="str">
        <f>Data!O1262</f>
        <v>MAZDOOR II</v>
      </c>
      <c r="D568" s="397">
        <f>Data!P1262</f>
        <v>534</v>
      </c>
      <c r="E568" s="397" t="str">
        <f>Data!Q1262</f>
        <v>NO</v>
      </c>
      <c r="F568" s="397">
        <f>Data!R1262</f>
        <v>1174.8</v>
      </c>
    </row>
    <row r="569" spans="1:6">
      <c r="A569" s="396">
        <f>Data!M1263</f>
        <v>20</v>
      </c>
      <c r="B569" s="397" t="str">
        <f>Data!N1263</f>
        <v>Kg</v>
      </c>
      <c r="C569" s="397" t="str">
        <f>Data!O1263</f>
        <v>CEMENT</v>
      </c>
      <c r="D569" s="397" t="e">
        <f>Data!P1263</f>
        <v>#REF!</v>
      </c>
      <c r="E569" s="397" t="str">
        <f>Data!Q1263</f>
        <v>M.T</v>
      </c>
      <c r="F569" s="397" t="e">
        <f>Data!R1263</f>
        <v>#REF!</v>
      </c>
    </row>
    <row r="570" spans="1:6">
      <c r="A570" s="396">
        <f>Data!M1264</f>
        <v>2</v>
      </c>
      <c r="B570" s="397" t="str">
        <f>Data!N1264</f>
        <v>Kg</v>
      </c>
      <c r="C570" s="397" t="str">
        <f>Data!O1264</f>
        <v>Grout joint filler</v>
      </c>
      <c r="D570" s="397">
        <f>Data!P1264</f>
        <v>36.1</v>
      </c>
      <c r="E570" s="397" t="str">
        <f>Data!Q1264</f>
        <v>Kg</v>
      </c>
      <c r="F570" s="397">
        <f>Data!R1264</f>
        <v>72.2</v>
      </c>
    </row>
    <row r="571" spans="1:6">
      <c r="A571" s="396">
        <f>Data!M1265</f>
        <v>1.6</v>
      </c>
      <c r="B571" s="397" t="str">
        <f>Data!N1265</f>
        <v>NO</v>
      </c>
      <c r="C571" s="397" t="str">
        <f>Data!O1265</f>
        <v>MASON II</v>
      </c>
      <c r="D571" s="397">
        <f>Data!P1265</f>
        <v>932</v>
      </c>
      <c r="E571" s="397" t="str">
        <f>Data!Q1265</f>
        <v>NO</v>
      </c>
      <c r="F571" s="397">
        <f>Data!R1265</f>
        <v>1491.2</v>
      </c>
    </row>
    <row r="572" spans="1:6">
      <c r="A572" s="396">
        <f>Data!M1266</f>
        <v>0.5</v>
      </c>
      <c r="B572" s="397" t="str">
        <f>Data!N1266</f>
        <v>NO</v>
      </c>
      <c r="C572" s="397" t="str">
        <f>Data!O1266</f>
        <v>MAZDOOR I</v>
      </c>
      <c r="D572" s="397">
        <f>Data!P1266</f>
        <v>651</v>
      </c>
      <c r="E572" s="397" t="str">
        <f>Data!Q1266</f>
        <v>NO</v>
      </c>
      <c r="F572" s="397">
        <f>Data!R1266</f>
        <v>325.5</v>
      </c>
    </row>
    <row r="573" spans="1:6">
      <c r="A573" s="396">
        <f>Data!M1267</f>
        <v>1.1000000000000001</v>
      </c>
      <c r="B573" s="397" t="str">
        <f>Data!N1267</f>
        <v>NO</v>
      </c>
      <c r="C573" s="397" t="str">
        <f>Data!O1267</f>
        <v>MAZDOOR II</v>
      </c>
      <c r="D573" s="397">
        <f>Data!P1267</f>
        <v>534</v>
      </c>
      <c r="E573" s="397" t="str">
        <f>Data!Q1267</f>
        <v>NO</v>
      </c>
      <c r="F573" s="397">
        <f>Data!R1267</f>
        <v>587.4</v>
      </c>
    </row>
    <row r="574" spans="1:6">
      <c r="A574" s="396">
        <f>Data!M1268</f>
        <v>0</v>
      </c>
      <c r="B574" s="397" t="str">
        <f>Data!N1268</f>
        <v>L.S</v>
      </c>
      <c r="C574" s="397" t="str">
        <f>Data!O1268</f>
        <v>SUNDRIES</v>
      </c>
      <c r="D574" s="397">
        <f>Data!P1268</f>
        <v>0</v>
      </c>
      <c r="E574" s="397" t="str">
        <f>Data!Q1268</f>
        <v>L.S</v>
      </c>
      <c r="F574" s="397">
        <f>Data!R1268</f>
        <v>0</v>
      </c>
    </row>
    <row r="575" spans="1:6">
      <c r="A575" s="396">
        <f>Data!M1269</f>
        <v>465</v>
      </c>
      <c r="B575" s="397">
        <f>Data!N1269</f>
        <v>0</v>
      </c>
      <c r="C575" s="397">
        <f>Data!O1269</f>
        <v>0</v>
      </c>
      <c r="D575" s="397">
        <f>Data!P1269</f>
        <v>0</v>
      </c>
      <c r="E575" s="397">
        <f>Data!Q1269</f>
        <v>0</v>
      </c>
      <c r="F575" s="397">
        <f>Data!R1269</f>
        <v>0</v>
      </c>
    </row>
    <row r="576" spans="1:6">
      <c r="A576" s="396">
        <f>Data!M1270</f>
        <v>0</v>
      </c>
      <c r="B576" s="397">
        <f>Data!N1270</f>
        <v>0</v>
      </c>
      <c r="C576" s="397" t="str">
        <f>Data!O1270</f>
        <v>TOTAL FOR 10 SQM</v>
      </c>
      <c r="D576" s="397">
        <f>Data!P1270</f>
        <v>0</v>
      </c>
      <c r="E576" s="397">
        <f>Data!Q1270</f>
        <v>0</v>
      </c>
      <c r="F576" s="397" t="e">
        <f>Data!R1270</f>
        <v>#REF!</v>
      </c>
    </row>
    <row r="577" spans="1:6">
      <c r="A577" s="396">
        <f>Data!M1271</f>
        <v>0</v>
      </c>
      <c r="B577" s="397">
        <f>Data!N1271</f>
        <v>0</v>
      </c>
      <c r="C577" s="397">
        <f>Data!O1271</f>
        <v>0</v>
      </c>
      <c r="D577" s="397">
        <f>Data!P1271</f>
        <v>0</v>
      </c>
      <c r="E577" s="397">
        <f>Data!Q1271</f>
        <v>0</v>
      </c>
      <c r="F577" s="397" t="str">
        <f>Data!R1271</f>
        <v>-</v>
      </c>
    </row>
    <row r="578" spans="1:6">
      <c r="A578" s="396">
        <f>Data!M1272</f>
        <v>0</v>
      </c>
      <c r="B578" s="397">
        <f>Data!N1272</f>
        <v>0</v>
      </c>
      <c r="C578" s="397" t="str">
        <f>Data!O1272</f>
        <v>RATE PER SQM</v>
      </c>
      <c r="D578" s="397">
        <f>Data!P1272</f>
        <v>0</v>
      </c>
      <c r="E578" s="397">
        <f>Data!Q1272</f>
        <v>0</v>
      </c>
      <c r="F578" s="398" t="e">
        <f>Data!R1272</f>
        <v>#REF!</v>
      </c>
    </row>
    <row r="579" spans="1:6" s="406" customFormat="1">
      <c r="A579" s="405"/>
      <c r="F579" s="407"/>
    </row>
    <row r="580" spans="1:6" ht="30">
      <c r="A580" s="396">
        <f>Data!M1212</f>
        <v>0</v>
      </c>
      <c r="B580" s="397">
        <f>Data!N1212</f>
        <v>0</v>
      </c>
      <c r="C580" s="402" t="str">
        <f>Data!O1212</f>
        <v>Eurocon tile/ Designer tile flooring (as per CER-112/2007-08)</v>
      </c>
      <c r="D580" s="397">
        <f>Data!P1212</f>
        <v>0</v>
      </c>
      <c r="E580" s="397">
        <f>Data!Q1212</f>
        <v>0</v>
      </c>
      <c r="F580" s="397">
        <f>Data!R1212</f>
        <v>0</v>
      </c>
    </row>
    <row r="581" spans="1:6">
      <c r="A581" s="396">
        <f>Data!M1213</f>
        <v>0</v>
      </c>
      <c r="B581" s="397">
        <f>Data!N1213</f>
        <v>0</v>
      </c>
      <c r="C581" s="397">
        <f>Data!O1213</f>
        <v>0</v>
      </c>
      <c r="D581" s="397">
        <f>Data!P1213</f>
        <v>0</v>
      </c>
      <c r="E581" s="397">
        <f>Data!Q1213</f>
        <v>0</v>
      </c>
      <c r="F581" s="397">
        <f>Data!R1213</f>
        <v>0</v>
      </c>
    </row>
    <row r="582" spans="1:6">
      <c r="A582" s="396">
        <f>Data!M1214</f>
        <v>0</v>
      </c>
      <c r="B582" s="397">
        <f>Data!N1214</f>
        <v>0</v>
      </c>
      <c r="C582" s="397">
        <f>Data!O1214</f>
        <v>0</v>
      </c>
      <c r="D582" s="397">
        <f>Data!P1214</f>
        <v>0</v>
      </c>
      <c r="E582" s="397">
        <f>Data!Q1214</f>
        <v>0</v>
      </c>
      <c r="F582" s="397">
        <f>Data!R1214</f>
        <v>0</v>
      </c>
    </row>
    <row r="583" spans="1:6">
      <c r="A583" s="396">
        <f>Data!M1215</f>
        <v>10</v>
      </c>
      <c r="B583" s="397" t="str">
        <f>Data!N1215</f>
        <v>SQM</v>
      </c>
      <c r="C583" s="397" t="str">
        <f>Data!O1215</f>
        <v>COST OF Eurocon TILES (pwd -p 35/17</v>
      </c>
      <c r="D583" s="397">
        <f>Data!P1215</f>
        <v>653</v>
      </c>
      <c r="E583" s="397" t="str">
        <f>Data!Q1215</f>
        <v>SQM</v>
      </c>
      <c r="F583" s="397">
        <f>Data!R1215</f>
        <v>6530</v>
      </c>
    </row>
    <row r="584" spans="1:6">
      <c r="A584" s="396">
        <f>Data!M1216</f>
        <v>0.21</v>
      </c>
      <c r="B584" s="397" t="str">
        <f>Data!N1216</f>
        <v>CUM</v>
      </c>
      <c r="C584" s="397" t="str">
        <f>Data!O1216</f>
        <v>C.M(1:3)</v>
      </c>
      <c r="D584" s="397" t="e">
        <f>Data!P1216</f>
        <v>#REF!</v>
      </c>
      <c r="E584" s="397" t="str">
        <f>Data!Q1216</f>
        <v>CUM</v>
      </c>
      <c r="F584" s="397" t="e">
        <f>Data!R1216</f>
        <v>#REF!</v>
      </c>
    </row>
    <row r="585" spans="1:6">
      <c r="A585" s="396">
        <f>Data!M1217</f>
        <v>1.1000000000000001</v>
      </c>
      <c r="B585" s="397" t="str">
        <f>Data!N1217</f>
        <v>NO</v>
      </c>
      <c r="C585" s="397" t="str">
        <f>Data!O1217</f>
        <v>MASON I</v>
      </c>
      <c r="D585" s="397">
        <f>Data!P1217</f>
        <v>999</v>
      </c>
      <c r="E585" s="397" t="str">
        <f>Data!Q1217</f>
        <v>NO</v>
      </c>
      <c r="F585" s="397">
        <f>Data!R1217</f>
        <v>1098.9000000000001</v>
      </c>
    </row>
    <row r="586" spans="1:6">
      <c r="A586" s="396">
        <f>Data!M1218</f>
        <v>1.1000000000000001</v>
      </c>
      <c r="B586" s="397" t="str">
        <f>Data!N1218</f>
        <v>NO</v>
      </c>
      <c r="C586" s="397" t="str">
        <f>Data!O1218</f>
        <v>MASON II</v>
      </c>
      <c r="D586" s="397">
        <f>Data!P1218</f>
        <v>932</v>
      </c>
      <c r="E586" s="397" t="str">
        <f>Data!Q1218</f>
        <v>NO</v>
      </c>
      <c r="F586" s="397">
        <f>Data!R1218</f>
        <v>1025.2</v>
      </c>
    </row>
    <row r="587" spans="1:6">
      <c r="A587" s="396">
        <f>Data!M1219</f>
        <v>2.2000000000000002</v>
      </c>
      <c r="B587" s="397" t="str">
        <f>Data!N1219</f>
        <v>NO</v>
      </c>
      <c r="C587" s="397" t="str">
        <f>Data!O1219</f>
        <v>MAZDOOR I</v>
      </c>
      <c r="D587" s="397">
        <f>Data!P1219</f>
        <v>651</v>
      </c>
      <c r="E587" s="397" t="str">
        <f>Data!Q1219</f>
        <v>NO</v>
      </c>
      <c r="F587" s="397">
        <f>Data!R1219</f>
        <v>1432.2</v>
      </c>
    </row>
    <row r="588" spans="1:6">
      <c r="A588" s="396">
        <f>Data!M1220</f>
        <v>2.2000000000000002</v>
      </c>
      <c r="B588" s="397" t="str">
        <f>Data!N1220</f>
        <v>NO</v>
      </c>
      <c r="C588" s="397" t="str">
        <f>Data!O1220</f>
        <v>MAZDOOR II</v>
      </c>
      <c r="D588" s="397">
        <f>Data!P1220</f>
        <v>534</v>
      </c>
      <c r="E588" s="397" t="str">
        <f>Data!Q1220</f>
        <v>NO</v>
      </c>
      <c r="F588" s="397">
        <f>Data!R1220</f>
        <v>1174.8</v>
      </c>
    </row>
    <row r="589" spans="1:6">
      <c r="A589" s="396">
        <f>Data!M1221</f>
        <v>20</v>
      </c>
      <c r="B589" s="397" t="str">
        <f>Data!N1221</f>
        <v>Kg</v>
      </c>
      <c r="C589" s="397" t="str">
        <f>Data!O1221</f>
        <v>CEMENT</v>
      </c>
      <c r="D589" s="397" t="e">
        <f>Data!P1221</f>
        <v>#REF!</v>
      </c>
      <c r="E589" s="397" t="str">
        <f>Data!Q1221</f>
        <v>M.T</v>
      </c>
      <c r="F589" s="397" t="e">
        <f>Data!R1221</f>
        <v>#REF!</v>
      </c>
    </row>
    <row r="590" spans="1:6">
      <c r="A590" s="396">
        <f>Data!M1222</f>
        <v>2</v>
      </c>
      <c r="B590" s="397" t="str">
        <f>Data!N1222</f>
        <v>Kg</v>
      </c>
      <c r="C590" s="397" t="str">
        <f>Data!O1222</f>
        <v>white/colour cement</v>
      </c>
      <c r="D590" s="397">
        <f>Data!P1222</f>
        <v>24.93</v>
      </c>
      <c r="E590" s="397" t="str">
        <f>Data!Q1222</f>
        <v>Kg</v>
      </c>
      <c r="F590" s="397">
        <f>Data!R1222</f>
        <v>49.86</v>
      </c>
    </row>
    <row r="591" spans="1:6">
      <c r="A591" s="396">
        <f>Data!M1223</f>
        <v>1.6</v>
      </c>
      <c r="B591" s="397" t="str">
        <f>Data!N1223</f>
        <v>NO</v>
      </c>
      <c r="C591" s="397" t="str">
        <f>Data!O1223</f>
        <v>MASON II</v>
      </c>
      <c r="D591" s="397">
        <f>Data!P1223</f>
        <v>932</v>
      </c>
      <c r="E591" s="397" t="str">
        <f>Data!Q1223</f>
        <v>NO</v>
      </c>
      <c r="F591" s="397">
        <f>Data!R1223</f>
        <v>1491.2</v>
      </c>
    </row>
    <row r="592" spans="1:6">
      <c r="A592" s="396">
        <f>Data!M1224</f>
        <v>0.5</v>
      </c>
      <c r="B592" s="397" t="str">
        <f>Data!N1224</f>
        <v>NO</v>
      </c>
      <c r="C592" s="397" t="str">
        <f>Data!O1224</f>
        <v>MAZDOOR I</v>
      </c>
      <c r="D592" s="397">
        <f>Data!P1224</f>
        <v>651</v>
      </c>
      <c r="E592" s="397" t="str">
        <f>Data!Q1224</f>
        <v>NO</v>
      </c>
      <c r="F592" s="397">
        <f>Data!R1224</f>
        <v>325.5</v>
      </c>
    </row>
    <row r="593" spans="1:6">
      <c r="A593" s="396">
        <f>Data!M1225</f>
        <v>1.1000000000000001</v>
      </c>
      <c r="B593" s="397" t="str">
        <f>Data!N1225</f>
        <v>NO</v>
      </c>
      <c r="C593" s="397" t="str">
        <f>Data!O1225</f>
        <v>MAZDOOR II</v>
      </c>
      <c r="D593" s="397">
        <f>Data!P1225</f>
        <v>534</v>
      </c>
      <c r="E593" s="397" t="str">
        <f>Data!Q1225</f>
        <v>NO</v>
      </c>
      <c r="F593" s="397">
        <f>Data!R1225</f>
        <v>587.4</v>
      </c>
    </row>
    <row r="594" spans="1:6">
      <c r="A594" s="396">
        <f>Data!M1226</f>
        <v>0</v>
      </c>
      <c r="B594" s="397" t="str">
        <f>Data!N1226</f>
        <v>L.S</v>
      </c>
      <c r="C594" s="397" t="str">
        <f>Data!O1226</f>
        <v>SUNDRIES</v>
      </c>
      <c r="D594" s="397">
        <f>Data!P1226</f>
        <v>0</v>
      </c>
      <c r="E594" s="397" t="str">
        <f>Data!Q1226</f>
        <v>L.S</v>
      </c>
      <c r="F594" s="397">
        <f>Data!R1226</f>
        <v>4.5999999999999996</v>
      </c>
    </row>
    <row r="595" spans="1:6">
      <c r="A595" s="396">
        <f>Data!M1227</f>
        <v>0</v>
      </c>
      <c r="B595" s="397">
        <f>Data!N1227</f>
        <v>0</v>
      </c>
      <c r="C595" s="397">
        <f>Data!O1227</f>
        <v>0</v>
      </c>
      <c r="D595" s="397">
        <f>Data!P1227</f>
        <v>0</v>
      </c>
      <c r="E595" s="397">
        <f>Data!Q1227</f>
        <v>0</v>
      </c>
      <c r="F595" s="397" t="str">
        <f>Data!R1227</f>
        <v>-</v>
      </c>
    </row>
    <row r="596" spans="1:6">
      <c r="A596" s="396">
        <f>Data!M1228</f>
        <v>0</v>
      </c>
      <c r="B596" s="397">
        <f>Data!N1228</f>
        <v>0</v>
      </c>
      <c r="C596" s="397" t="str">
        <f>Data!O1228</f>
        <v>TOTAL FOR 10 SQM</v>
      </c>
      <c r="D596" s="397">
        <f>Data!P1228</f>
        <v>0</v>
      </c>
      <c r="E596" s="397">
        <f>Data!Q1228</f>
        <v>0</v>
      </c>
      <c r="F596" s="397" t="e">
        <f>Data!R1228</f>
        <v>#REF!</v>
      </c>
    </row>
    <row r="597" spans="1:6">
      <c r="A597" s="396">
        <f>Data!M1229</f>
        <v>0</v>
      </c>
      <c r="B597" s="397">
        <f>Data!N1229</f>
        <v>0</v>
      </c>
      <c r="C597" s="397">
        <f>Data!O1229</f>
        <v>0</v>
      </c>
      <c r="D597" s="397">
        <f>Data!P1229</f>
        <v>0</v>
      </c>
      <c r="E597" s="397">
        <f>Data!Q1229</f>
        <v>0</v>
      </c>
      <c r="F597" s="397" t="str">
        <f>Data!R1229</f>
        <v>-</v>
      </c>
    </row>
    <row r="598" spans="1:6">
      <c r="A598" s="396">
        <f>Data!M1230</f>
        <v>0</v>
      </c>
      <c r="B598" s="397">
        <f>Data!N1230</f>
        <v>0</v>
      </c>
      <c r="C598" s="397" t="str">
        <f>Data!O1230</f>
        <v>RATE PER SQM</v>
      </c>
      <c r="D598" s="397">
        <f>Data!P1230</f>
        <v>0</v>
      </c>
      <c r="E598" s="397">
        <f>Data!Q1230</f>
        <v>0</v>
      </c>
      <c r="F598" s="398" t="e">
        <f>Data!R1230</f>
        <v>#REF!</v>
      </c>
    </row>
    <row r="599" spans="1:6">
      <c r="A599" s="396"/>
      <c r="B599" s="397"/>
      <c r="C599" s="397"/>
      <c r="D599" s="397"/>
      <c r="E599" s="397"/>
      <c r="F599" s="398"/>
    </row>
    <row r="600" spans="1:6">
      <c r="A600" s="396">
        <f>Data!S1330</f>
        <v>0</v>
      </c>
      <c r="B600" s="398" t="str">
        <f>Data!T1330</f>
        <v>Providing cooling tiles over terrace floor</v>
      </c>
      <c r="C600" s="398"/>
      <c r="D600" s="398"/>
      <c r="E600" s="398"/>
      <c r="F600" s="397">
        <f>Data!X1330</f>
        <v>0</v>
      </c>
    </row>
    <row r="601" spans="1:6">
      <c r="A601" s="396">
        <f>Data!S1331</f>
        <v>10</v>
      </c>
      <c r="B601" s="397" t="str">
        <f>Data!T1331</f>
        <v>SQM</v>
      </c>
      <c r="C601" s="399" t="str">
        <f>Data!U1331</f>
        <v>COST OF CERAMIC FLOOR TILES p-34 it-7 a</v>
      </c>
      <c r="D601" s="397">
        <f>Data!V1331</f>
        <v>506</v>
      </c>
      <c r="E601" s="397" t="str">
        <f>Data!W1331</f>
        <v>SQM</v>
      </c>
      <c r="F601" s="397">
        <f>Data!X1331</f>
        <v>5060</v>
      </c>
    </row>
    <row r="602" spans="1:6">
      <c r="A602" s="396">
        <f>Data!S1332</f>
        <v>0.21</v>
      </c>
      <c r="B602" s="397" t="str">
        <f>Data!T1332</f>
        <v>CUM</v>
      </c>
      <c r="C602" s="397" t="str">
        <f>Data!U1332</f>
        <v>C.M(1:3)</v>
      </c>
      <c r="D602" s="397" t="e">
        <f>Data!V1332</f>
        <v>#REF!</v>
      </c>
      <c r="E602" s="397" t="str">
        <f>Data!W1332</f>
        <v>CUM</v>
      </c>
      <c r="F602" s="397" t="e">
        <f>Data!X1332</f>
        <v>#REF!</v>
      </c>
    </row>
    <row r="603" spans="1:6">
      <c r="A603" s="396">
        <f>Data!S1333</f>
        <v>10</v>
      </c>
      <c r="B603" s="397">
        <f>Data!T1333</f>
        <v>0</v>
      </c>
      <c r="C603" s="397" t="str">
        <f>Data!U1333</f>
        <v>Pointing with CM 1:3</v>
      </c>
      <c r="D603" s="397" t="e">
        <f>Data!V1333</f>
        <v>#REF!</v>
      </c>
      <c r="E603" s="397">
        <f>Data!W1333</f>
        <v>0</v>
      </c>
      <c r="F603" s="397" t="e">
        <f>Data!X1333</f>
        <v>#REF!</v>
      </c>
    </row>
    <row r="604" spans="1:6">
      <c r="A604" s="396">
        <f>Data!S1334</f>
        <v>1.1000000000000001</v>
      </c>
      <c r="B604" s="397" t="str">
        <f>Data!T1334</f>
        <v>NO</v>
      </c>
      <c r="C604" s="397" t="str">
        <f>Data!U1334</f>
        <v>MASON I</v>
      </c>
      <c r="D604" s="397">
        <f>Data!V1334</f>
        <v>999</v>
      </c>
      <c r="E604" s="397" t="str">
        <f>Data!W1334</f>
        <v>NO</v>
      </c>
      <c r="F604" s="397">
        <f>Data!X1334</f>
        <v>1098.9000000000001</v>
      </c>
    </row>
    <row r="605" spans="1:6">
      <c r="A605" s="396">
        <f>Data!S1335</f>
        <v>2.1</v>
      </c>
      <c r="B605" s="397" t="str">
        <f>Data!T1335</f>
        <v>NO</v>
      </c>
      <c r="C605" s="397" t="str">
        <f>Data!U1335</f>
        <v>MASON II</v>
      </c>
      <c r="D605" s="397">
        <f>Data!V1335</f>
        <v>932</v>
      </c>
      <c r="E605" s="397" t="str">
        <f>Data!W1335</f>
        <v>NO</v>
      </c>
      <c r="F605" s="397">
        <f>Data!X1335</f>
        <v>1957.2</v>
      </c>
    </row>
    <row r="606" spans="1:6">
      <c r="A606" s="396">
        <f>Data!S1336</f>
        <v>2.2000000000000002</v>
      </c>
      <c r="B606" s="397" t="str">
        <f>Data!T1336</f>
        <v>NO</v>
      </c>
      <c r="C606" s="397" t="str">
        <f>Data!U1336</f>
        <v>MAZDOOR I</v>
      </c>
      <c r="D606" s="397">
        <f>Data!V1336</f>
        <v>651</v>
      </c>
      <c r="E606" s="397" t="str">
        <f>Data!W1336</f>
        <v>NO</v>
      </c>
      <c r="F606" s="397">
        <f>Data!X1336</f>
        <v>1432.2</v>
      </c>
    </row>
    <row r="607" spans="1:6">
      <c r="A607" s="396">
        <f>Data!S1337</f>
        <v>1.1000000000000001</v>
      </c>
      <c r="B607" s="397" t="str">
        <f>Data!T1337</f>
        <v>NO</v>
      </c>
      <c r="C607" s="397" t="str">
        <f>Data!U1337</f>
        <v>MAZDOOR II</v>
      </c>
      <c r="D607" s="397">
        <f>Data!V1337</f>
        <v>534</v>
      </c>
      <c r="E607" s="397" t="str">
        <f>Data!W1337</f>
        <v>NO</v>
      </c>
      <c r="F607" s="397">
        <f>Data!X1337</f>
        <v>587.4</v>
      </c>
    </row>
    <row r="608" spans="1:6">
      <c r="A608" s="396">
        <f>Data!S1338</f>
        <v>6.5</v>
      </c>
      <c r="B608" s="397" t="str">
        <f>Data!T1338</f>
        <v>Kg</v>
      </c>
      <c r="C608" s="397" t="str">
        <f>Data!U1338</f>
        <v>ABC plus powder</v>
      </c>
      <c r="D608" s="397">
        <f>Data!V1338</f>
        <v>17.18</v>
      </c>
      <c r="E608" s="397" t="str">
        <f>Data!W1338</f>
        <v>M.T</v>
      </c>
      <c r="F608" s="397">
        <f>Data!X1338</f>
        <v>111.67</v>
      </c>
    </row>
    <row r="609" spans="1:6">
      <c r="A609" s="396">
        <f>Data!S1339</f>
        <v>3</v>
      </c>
      <c r="B609" s="397" t="str">
        <f>Data!T1339</f>
        <v>Kg</v>
      </c>
      <c r="C609" s="397" t="str">
        <f>Data!U1339</f>
        <v>Colour cement p-36</v>
      </c>
      <c r="D609" s="397">
        <f>Data!V1339</f>
        <v>27.25</v>
      </c>
      <c r="E609" s="397" t="str">
        <f>Data!W1339</f>
        <v>Kg</v>
      </c>
      <c r="F609" s="397">
        <f>Data!X1339</f>
        <v>81.75</v>
      </c>
    </row>
    <row r="610" spans="1:6">
      <c r="A610" s="396">
        <f>Data!S1340</f>
        <v>2.15</v>
      </c>
      <c r="B610" s="397" t="str">
        <f>Data!T1340</f>
        <v>NO</v>
      </c>
      <c r="C610" s="397" t="str">
        <f>Data!U1340</f>
        <v>ABC Grout</v>
      </c>
      <c r="D610" s="397">
        <f>Data!V1340</f>
        <v>45.8</v>
      </c>
      <c r="E610" s="397" t="str">
        <f>Data!W1340</f>
        <v>NO</v>
      </c>
      <c r="F610" s="397">
        <f>Data!X1340</f>
        <v>98.47</v>
      </c>
    </row>
    <row r="611" spans="1:6">
      <c r="A611" s="396">
        <f>Data!S1341</f>
        <v>0.4</v>
      </c>
      <c r="B611" s="397" t="str">
        <f>Data!T1341</f>
        <v>NO</v>
      </c>
      <c r="C611" s="397" t="str">
        <f>Data!U1341</f>
        <v>Base concrete 1:2:4 (6-10mm thick metal)</v>
      </c>
      <c r="D611" s="397" t="e">
        <f>Data!V1341</f>
        <v>#REF!</v>
      </c>
      <c r="E611" s="397" t="str">
        <f>Data!W1341</f>
        <v>NO</v>
      </c>
      <c r="F611" s="397" t="e">
        <f>Data!X1341</f>
        <v>#REF!</v>
      </c>
    </row>
    <row r="612" spans="1:6">
      <c r="A612" s="396">
        <f>Data!S1342</f>
        <v>0</v>
      </c>
      <c r="B612" s="397">
        <f>Data!T1342</f>
        <v>0</v>
      </c>
      <c r="C612" s="397">
        <f>Data!U1342</f>
        <v>0</v>
      </c>
      <c r="D612" s="397">
        <f>Data!V1342</f>
        <v>0</v>
      </c>
      <c r="E612" s="397" t="str">
        <f>Data!W1342</f>
        <v>NO</v>
      </c>
      <c r="F612" s="397">
        <f>Data!X1342</f>
        <v>0</v>
      </c>
    </row>
    <row r="613" spans="1:6">
      <c r="A613" s="396">
        <f>Data!S1343</f>
        <v>0</v>
      </c>
      <c r="B613" s="397" t="str">
        <f>Data!T1343</f>
        <v>L.S</v>
      </c>
      <c r="C613" s="397" t="str">
        <f>Data!U1343</f>
        <v>SUNDRIES</v>
      </c>
      <c r="D613" s="397">
        <f>Data!V1343</f>
        <v>0</v>
      </c>
      <c r="E613" s="397" t="str">
        <f>Data!W1343</f>
        <v>L.S</v>
      </c>
      <c r="F613" s="397">
        <f>Data!X1343</f>
        <v>0.8</v>
      </c>
    </row>
    <row r="614" spans="1:6">
      <c r="A614" s="396">
        <f>Data!S1344</f>
        <v>0</v>
      </c>
      <c r="B614" s="397">
        <f>Data!T1344</f>
        <v>0</v>
      </c>
      <c r="C614" s="397">
        <f>Data!U1344</f>
        <v>0</v>
      </c>
      <c r="D614" s="397">
        <f>Data!V1344</f>
        <v>0</v>
      </c>
      <c r="E614" s="397">
        <f>Data!W1344</f>
        <v>0</v>
      </c>
      <c r="F614" s="397"/>
    </row>
    <row r="615" spans="1:6">
      <c r="A615" s="396">
        <f>Data!S1345</f>
        <v>0</v>
      </c>
      <c r="B615" s="397">
        <f>Data!T1345</f>
        <v>0</v>
      </c>
      <c r="C615" s="397" t="str">
        <f>Data!U1345</f>
        <v>TOTAL FOR 10 SQM</v>
      </c>
      <c r="D615" s="397">
        <f>Data!V1345</f>
        <v>0</v>
      </c>
      <c r="E615" s="397">
        <f>Data!W1345</f>
        <v>0</v>
      </c>
      <c r="F615" s="397" t="e">
        <f>Data!X1345</f>
        <v>#REF!</v>
      </c>
    </row>
    <row r="616" spans="1:6">
      <c r="A616" s="396">
        <f>Data!S1346</f>
        <v>0</v>
      </c>
      <c r="B616" s="397">
        <f>Data!T1346</f>
        <v>0</v>
      </c>
      <c r="C616" s="397">
        <f>Data!U1346</f>
        <v>0</v>
      </c>
      <c r="D616" s="397">
        <f>Data!V1346</f>
        <v>0</v>
      </c>
      <c r="E616" s="397">
        <f>Data!W1346</f>
        <v>0</v>
      </c>
      <c r="F616" s="397"/>
    </row>
    <row r="617" spans="1:6">
      <c r="A617" s="396">
        <f>Data!S1347</f>
        <v>0</v>
      </c>
      <c r="B617" s="397">
        <f>Data!T1347</f>
        <v>0</v>
      </c>
      <c r="C617" s="397" t="str">
        <f>Data!U1347</f>
        <v>RATE PER SQM</v>
      </c>
      <c r="D617" s="397">
        <f>Data!V1347</f>
        <v>0</v>
      </c>
      <c r="E617" s="397">
        <f>Data!W1347</f>
        <v>0</v>
      </c>
      <c r="F617" s="398" t="e">
        <f>Data!X1347</f>
        <v>#REF!</v>
      </c>
    </row>
    <row r="618" spans="1:6">
      <c r="A618" s="396">
        <f>[17]Data!S1348</f>
        <v>0</v>
      </c>
      <c r="B618" s="397">
        <f>[17]Data!T1348</f>
        <v>0</v>
      </c>
      <c r="C618" s="397">
        <f>[17]Data!U1348</f>
        <v>0</v>
      </c>
      <c r="D618" s="397">
        <f>[17]Data!V1348</f>
        <v>0</v>
      </c>
      <c r="E618" s="397">
        <f>[17]Data!W1348</f>
        <v>0</v>
      </c>
      <c r="F618" s="397"/>
    </row>
    <row r="619" spans="1:6">
      <c r="A619" s="400" t="str">
        <f>Data!M1963</f>
        <v>56.1.</v>
      </c>
      <c r="B619" s="398" t="str">
        <f>Data!N1963</f>
        <v>*</v>
      </c>
      <c r="C619" s="398" t="str">
        <f>Data!O1963</f>
        <v>SUPPLYING AND FIXING OF I.W.C</v>
      </c>
      <c r="D619" s="397">
        <f>Data!P1963</f>
        <v>0</v>
      </c>
      <c r="E619" s="397">
        <f>Data!Q1963</f>
        <v>0</v>
      </c>
      <c r="F619" s="397">
        <f>Data!R1963</f>
        <v>0</v>
      </c>
    </row>
    <row r="620" spans="1:6">
      <c r="A620" s="400">
        <f>Data!M1964</f>
        <v>0</v>
      </c>
      <c r="B620" s="398">
        <f>Data!N1964</f>
        <v>0</v>
      </c>
      <c r="C620" s="398" t="str">
        <f>Data!O1964</f>
        <v>20"WITH TOP LEFT ROUGH TO RECEIVE</v>
      </c>
      <c r="D620" s="397">
        <f>Data!P1964</f>
        <v>0</v>
      </c>
      <c r="E620" s="397">
        <f>Data!Q1964</f>
        <v>0</v>
      </c>
      <c r="F620" s="397">
        <f>Data!R1964</f>
        <v>0</v>
      </c>
    </row>
    <row r="621" spans="1:6">
      <c r="A621" s="400">
        <f>Data!M1965</f>
        <v>0</v>
      </c>
      <c r="B621" s="398">
        <f>Data!N1965</f>
        <v>0</v>
      </c>
      <c r="C621" s="398" t="str">
        <f>Data!O1965</f>
        <v xml:space="preserve">FLOOR FINISH </v>
      </c>
      <c r="D621" s="397">
        <f>Data!P1965</f>
        <v>0</v>
      </c>
      <c r="E621" s="397">
        <f>Data!Q1965</f>
        <v>0</v>
      </c>
      <c r="F621" s="397">
        <f>Data!R1965</f>
        <v>0</v>
      </c>
    </row>
    <row r="622" spans="1:6">
      <c r="A622" s="400">
        <f>Data!M1966</f>
        <v>0</v>
      </c>
      <c r="B622" s="398">
        <f>Data!N1966</f>
        <v>0</v>
      </c>
      <c r="C622" s="398" t="str">
        <f>Data!O1966</f>
        <v xml:space="preserve"> IN G.FLOOR.</v>
      </c>
      <c r="D622" s="397">
        <f>Data!P1966</f>
        <v>0</v>
      </c>
      <c r="E622" s="397">
        <f>Data!Q1966</f>
        <v>0</v>
      </c>
      <c r="F622" s="397">
        <f>Data!R1966</f>
        <v>0</v>
      </c>
    </row>
    <row r="623" spans="1:6">
      <c r="A623" s="396">
        <f>Data!M1967</f>
        <v>0</v>
      </c>
      <c r="B623" s="397">
        <f>Data!N1967</f>
        <v>0</v>
      </c>
      <c r="C623" s="397"/>
      <c r="D623" s="397">
        <f>Data!P1967</f>
        <v>0</v>
      </c>
      <c r="E623" s="397">
        <f>Data!Q1967</f>
        <v>0</v>
      </c>
      <c r="F623" s="397">
        <f>Data!R1967</f>
        <v>0</v>
      </c>
    </row>
    <row r="624" spans="1:6">
      <c r="A624" s="396">
        <f>Data!M1968</f>
        <v>1</v>
      </c>
      <c r="B624" s="397" t="str">
        <f>Data!N1968</f>
        <v>NO.</v>
      </c>
      <c r="C624" s="397" t="str">
        <f>Data!O1968</f>
        <v xml:space="preserve"> I.W.C 20"SIZE(Orissa pan)</v>
      </c>
      <c r="D624" s="397">
        <f>Data!P1968</f>
        <v>1201</v>
      </c>
      <c r="E624" s="397" t="str">
        <f>Data!Q1968</f>
        <v>NO.</v>
      </c>
      <c r="F624" s="397">
        <f>Data!R1968</f>
        <v>1201</v>
      </c>
    </row>
    <row r="625" spans="1:6">
      <c r="A625" s="396">
        <f>Data!M1969</f>
        <v>0.65</v>
      </c>
      <c r="B625" s="397" t="str">
        <f>Data!N1969</f>
        <v>CUM</v>
      </c>
      <c r="C625" s="397" t="str">
        <f>Data!O1969</f>
        <v xml:space="preserve">E.W EXCAVATION </v>
      </c>
      <c r="D625" s="397">
        <f>Data!P1969</f>
        <v>224.1</v>
      </c>
      <c r="E625" s="397" t="str">
        <f>Data!Q1969</f>
        <v>CUM</v>
      </c>
      <c r="F625" s="397">
        <f>Data!R1969</f>
        <v>145.66999999999999</v>
      </c>
    </row>
    <row r="626" spans="1:6">
      <c r="A626" s="396">
        <f>Data!M1970</f>
        <v>0.56999999999999995</v>
      </c>
      <c r="B626" s="397" t="str">
        <f>Data!N1970</f>
        <v>CUM</v>
      </c>
      <c r="C626" s="397" t="str">
        <f>Data!O1970</f>
        <v>REFILLING</v>
      </c>
      <c r="D626" s="397">
        <f>Data!P1970</f>
        <v>38.950000000000003</v>
      </c>
      <c r="E626" s="397" t="str">
        <f>Data!Q1970</f>
        <v>CUM</v>
      </c>
      <c r="F626" s="397">
        <f>Data!R1970</f>
        <v>22.2</v>
      </c>
    </row>
    <row r="627" spans="1:6" ht="30">
      <c r="A627" s="396">
        <f>Data!M1971</f>
        <v>0.08</v>
      </c>
      <c r="B627" s="397" t="str">
        <f>Data!N1971</f>
        <v>CUM</v>
      </c>
      <c r="C627" s="399" t="str">
        <f>Data!O1971</f>
        <v>BRICK JELLY CONCRETE USING 40mm(1:8:16)</v>
      </c>
      <c r="D627" s="397" t="e">
        <f>Data!P1971</f>
        <v>#REF!</v>
      </c>
      <c r="E627" s="397" t="str">
        <f>Data!Q1971</f>
        <v>CUM</v>
      </c>
      <c r="F627" s="397" t="e">
        <f>Data!R1971</f>
        <v>#REF!</v>
      </c>
    </row>
    <row r="628" spans="1:6">
      <c r="A628" s="396">
        <f>Data!M1972</f>
        <v>1</v>
      </c>
      <c r="B628" s="397" t="str">
        <f>Data!N1972</f>
        <v>NO.</v>
      </c>
      <c r="C628" s="397" t="str">
        <f>Data!O1972</f>
        <v>PLUMBER I</v>
      </c>
      <c r="D628" s="397">
        <f>Data!P1972</f>
        <v>866</v>
      </c>
      <c r="E628" s="397" t="str">
        <f>Data!Q1972</f>
        <v>NO.</v>
      </c>
      <c r="F628" s="397">
        <f>Data!R1972</f>
        <v>866</v>
      </c>
    </row>
    <row r="629" spans="1:6">
      <c r="A629" s="396">
        <f>Data!M1973</f>
        <v>0.5</v>
      </c>
      <c r="B629" s="397" t="str">
        <f>Data!N1973</f>
        <v>NO.</v>
      </c>
      <c r="C629" s="397" t="str">
        <f>Data!O1973</f>
        <v>MASON II</v>
      </c>
      <c r="D629" s="397">
        <f>Data!P1973</f>
        <v>932</v>
      </c>
      <c r="E629" s="397" t="str">
        <f>Data!Q1973</f>
        <v>NO.</v>
      </c>
      <c r="F629" s="397">
        <f>Data!R1973</f>
        <v>466</v>
      </c>
    </row>
    <row r="630" spans="1:6">
      <c r="A630" s="396">
        <f>Data!M1974</f>
        <v>0.5</v>
      </c>
      <c r="B630" s="397" t="str">
        <f>Data!N1974</f>
        <v>NO.</v>
      </c>
      <c r="C630" s="397" t="str">
        <f>Data!O1974</f>
        <v>MAZDOOR I</v>
      </c>
      <c r="D630" s="397">
        <f>Data!P1974</f>
        <v>651</v>
      </c>
      <c r="E630" s="397" t="str">
        <f>Data!Q1974</f>
        <v>NO.</v>
      </c>
      <c r="F630" s="397">
        <f>Data!R1974</f>
        <v>325.5</v>
      </c>
    </row>
    <row r="631" spans="1:6">
      <c r="A631" s="396">
        <f>Data!M1975</f>
        <v>0</v>
      </c>
      <c r="B631" s="397">
        <f>Data!N1975</f>
        <v>0</v>
      </c>
      <c r="C631" s="397" t="str">
        <f>Data!O1975</f>
        <v>Deduct rate for "P" &amp; "S" trap</v>
      </c>
      <c r="D631" s="397" t="str">
        <f>Data!P1975</f>
        <v/>
      </c>
      <c r="E631" s="397">
        <f>Data!Q1975</f>
        <v>0</v>
      </c>
      <c r="F631" s="404">
        <f>Data!R1975</f>
        <v>-164</v>
      </c>
    </row>
    <row r="632" spans="1:6">
      <c r="A632" s="396">
        <f>Data!M1976</f>
        <v>0</v>
      </c>
      <c r="B632" s="397">
        <f>Data!N1976</f>
        <v>0</v>
      </c>
      <c r="C632" s="397" t="str">
        <f>Data!O1976</f>
        <v xml:space="preserve">Add rate for PVC SWR "P" &amp; "S" trap </v>
      </c>
      <c r="D632" s="397">
        <f>Data!P1976</f>
        <v>0</v>
      </c>
      <c r="E632" s="397">
        <f>Data!Q1976</f>
        <v>0</v>
      </c>
      <c r="F632" s="397">
        <f>Data!R1976</f>
        <v>134.1</v>
      </c>
    </row>
    <row r="633" spans="1:6">
      <c r="A633" s="396">
        <f>Data!M1977</f>
        <v>0</v>
      </c>
      <c r="B633" s="397" t="str">
        <f>Data!N1977</f>
        <v>LS</v>
      </c>
      <c r="C633" s="397" t="str">
        <f>Data!O1977</f>
        <v>Sundries</v>
      </c>
      <c r="D633" s="397">
        <f>Data!P1977</f>
        <v>0</v>
      </c>
      <c r="E633" s="397">
        <f>Data!Q1977</f>
        <v>0</v>
      </c>
      <c r="F633" s="397">
        <f>Data!R1977</f>
        <v>0.32</v>
      </c>
    </row>
    <row r="634" spans="1:6">
      <c r="A634" s="396">
        <f>Data!M1978</f>
        <v>0</v>
      </c>
      <c r="B634" s="397">
        <f>Data!N1978</f>
        <v>0</v>
      </c>
      <c r="C634" s="397" t="str">
        <f>Data!O1978</f>
        <v>TOTAL FOR ONE NUMBER</v>
      </c>
      <c r="D634" s="397">
        <f>Data!P1978</f>
        <v>0</v>
      </c>
      <c r="E634" s="397">
        <f>Data!Q1978</f>
        <v>0</v>
      </c>
      <c r="F634" s="398" t="e">
        <f>Data!R1978</f>
        <v>#REF!</v>
      </c>
    </row>
    <row r="635" spans="1:6">
      <c r="A635" s="396">
        <f>[17]Data!M1979</f>
        <v>0</v>
      </c>
      <c r="B635" s="397">
        <f>[17]Data!N1979</f>
        <v>0</v>
      </c>
      <c r="C635" s="397">
        <f>[17]Data!O1979</f>
        <v>0</v>
      </c>
      <c r="D635" s="397">
        <f>[17]Data!P1979</f>
        <v>0</v>
      </c>
      <c r="E635" s="397">
        <f>[17]Data!Q1979</f>
        <v>0</v>
      </c>
      <c r="F635" s="397">
        <f>[17]Data!R1979</f>
        <v>0</v>
      </c>
    </row>
    <row r="636" spans="1:6">
      <c r="A636" s="400" t="str">
        <f>Data!M1981</f>
        <v>56.2.</v>
      </c>
      <c r="B636" s="398" t="str">
        <f>Data!N1981</f>
        <v>*</v>
      </c>
      <c r="C636" s="398" t="str">
        <f>Data!O1981</f>
        <v>SUPPLYING AND FIXING OF I.W.C</v>
      </c>
      <c r="D636" s="397">
        <f>Data!P1981</f>
        <v>0</v>
      </c>
      <c r="E636" s="397">
        <f>Data!Q1981</f>
        <v>0</v>
      </c>
      <c r="F636" s="397">
        <f>Data!R1981</f>
        <v>0</v>
      </c>
    </row>
    <row r="637" spans="1:6">
      <c r="A637" s="400">
        <f>Data!M1982</f>
        <v>0</v>
      </c>
      <c r="B637" s="398">
        <f>Data!N1982</f>
        <v>0</v>
      </c>
      <c r="C637" s="398" t="str">
        <f>Data!O1982</f>
        <v>20"WITH TOP LEFT ROUGH TO RECEIVE</v>
      </c>
      <c r="D637" s="397">
        <f>Data!P1982</f>
        <v>0</v>
      </c>
      <c r="E637" s="397">
        <f>Data!Q1982</f>
        <v>0</v>
      </c>
      <c r="F637" s="397">
        <f>Data!R1982</f>
        <v>0</v>
      </c>
    </row>
    <row r="638" spans="1:6">
      <c r="A638" s="400">
        <f>Data!M1983</f>
        <v>0</v>
      </c>
      <c r="B638" s="398">
        <f>Data!N1983</f>
        <v>0</v>
      </c>
      <c r="C638" s="398" t="str">
        <f>Data!O1983</f>
        <v xml:space="preserve">FLOOR FINISH </v>
      </c>
      <c r="D638" s="397">
        <f>Data!P1983</f>
        <v>0</v>
      </c>
      <c r="E638" s="397">
        <f>Data!Q1983</f>
        <v>0</v>
      </c>
      <c r="F638" s="397">
        <f>Data!R1983</f>
        <v>0</v>
      </c>
    </row>
    <row r="639" spans="1:6">
      <c r="A639" s="400">
        <f>Data!M1984</f>
        <v>0</v>
      </c>
      <c r="B639" s="398">
        <f>Data!N1984</f>
        <v>0</v>
      </c>
      <c r="C639" s="398" t="str">
        <f>Data!O1984</f>
        <v xml:space="preserve"> IN OTHER THAN G.FLOOR.</v>
      </c>
      <c r="D639" s="397">
        <f>Data!P1984</f>
        <v>0</v>
      </c>
      <c r="E639" s="397">
        <f>Data!Q1984</f>
        <v>0</v>
      </c>
      <c r="F639" s="397">
        <f>Data!R1984</f>
        <v>0</v>
      </c>
    </row>
    <row r="640" spans="1:6">
      <c r="A640" s="396">
        <f>Data!M1985</f>
        <v>0</v>
      </c>
      <c r="B640" s="397">
        <f>Data!N1985</f>
        <v>0</v>
      </c>
      <c r="C640" s="397"/>
      <c r="D640" s="397">
        <f>Data!P1985</f>
        <v>0</v>
      </c>
      <c r="E640" s="397">
        <f>Data!Q1985</f>
        <v>0</v>
      </c>
      <c r="F640" s="397">
        <f>Data!R1985</f>
        <v>0</v>
      </c>
    </row>
    <row r="641" spans="1:6">
      <c r="A641" s="396">
        <f>Data!M1986</f>
        <v>1</v>
      </c>
      <c r="B641" s="397" t="str">
        <f>Data!N1986</f>
        <v>NO.</v>
      </c>
      <c r="C641" s="397" t="str">
        <f>Data!O1986</f>
        <v xml:space="preserve"> I.W.C 20"SIZE(Orissa pan)</v>
      </c>
      <c r="D641" s="397">
        <f>Data!P1986</f>
        <v>1201</v>
      </c>
      <c r="E641" s="397" t="str">
        <f>Data!Q1986</f>
        <v>NO.</v>
      </c>
      <c r="F641" s="397">
        <f>Data!R1986</f>
        <v>1201</v>
      </c>
    </row>
    <row r="642" spans="1:6">
      <c r="A642" s="396">
        <f>Data!M1987</f>
        <v>0.41</v>
      </c>
      <c r="B642" s="397" t="str">
        <f>Data!N1987</f>
        <v>CUM</v>
      </c>
      <c r="C642" s="397" t="str">
        <f>Data!O1987</f>
        <v>WEATHERING COURSE</v>
      </c>
      <c r="D642" s="397" t="e">
        <f>Data!P1987</f>
        <v>#REF!</v>
      </c>
      <c r="E642" s="397" t="str">
        <f>Data!Q1987</f>
        <v>CUM</v>
      </c>
      <c r="F642" s="397" t="e">
        <f>Data!R1987</f>
        <v>#REF!</v>
      </c>
    </row>
    <row r="643" spans="1:6">
      <c r="A643" s="396">
        <f>Data!M1988</f>
        <v>0</v>
      </c>
      <c r="B643" s="397">
        <f>Data!N1988</f>
        <v>0</v>
      </c>
      <c r="C643" s="397" t="str">
        <f>Data!O1988</f>
        <v>USING20mmBRICK JELLY</v>
      </c>
      <c r="D643" s="397" t="str">
        <f>Data!P1988</f>
        <v/>
      </c>
      <c r="E643" s="397">
        <f>Data!Q1988</f>
        <v>0</v>
      </c>
      <c r="F643" s="397" t="str">
        <f>Data!R1988</f>
        <v xml:space="preserve"> </v>
      </c>
    </row>
    <row r="644" spans="1:6">
      <c r="A644" s="396">
        <f>Data!M1989</f>
        <v>1.89</v>
      </c>
      <c r="B644" s="397" t="str">
        <f>Data!N1989</f>
        <v>SQM</v>
      </c>
      <c r="C644" s="397" t="str">
        <f>Data!O1989</f>
        <v>PLASTERING IN C.M(1:3)</v>
      </c>
      <c r="D644" s="397" t="e">
        <f>Data!P1989</f>
        <v>#REF!</v>
      </c>
      <c r="E644" s="397" t="str">
        <f>Data!Q1989</f>
        <v>SQM</v>
      </c>
      <c r="F644" s="397" t="e">
        <f>Data!R1989</f>
        <v>#REF!</v>
      </c>
    </row>
    <row r="645" spans="1:6">
      <c r="A645" s="396">
        <f>Data!M1990</f>
        <v>0</v>
      </c>
      <c r="B645" s="397">
        <f>Data!N1990</f>
        <v>0</v>
      </c>
      <c r="C645" s="397" t="str">
        <f>Data!O1990</f>
        <v>12mMT.K MIXED WITH W.P.C.</v>
      </c>
      <c r="D645" s="397" t="str">
        <f>Data!P1990</f>
        <v/>
      </c>
      <c r="E645" s="397">
        <f>Data!Q1990</f>
        <v>0</v>
      </c>
      <c r="F645" s="397" t="str">
        <f>Data!R1990</f>
        <v xml:space="preserve"> </v>
      </c>
    </row>
    <row r="646" spans="1:6">
      <c r="A646" s="396">
        <f>Data!M1991</f>
        <v>0.08</v>
      </c>
      <c r="B646" s="397" t="str">
        <f>Data!N1991</f>
        <v>CUM</v>
      </c>
      <c r="C646" s="397" t="str">
        <f>Data!O1991</f>
        <v>BRICK JELLY CONCRETE (1:8:16)</v>
      </c>
      <c r="D646" s="397" t="e">
        <f>Data!P1991</f>
        <v>#REF!</v>
      </c>
      <c r="E646" s="397" t="str">
        <f>Data!Q1991</f>
        <v>CUM</v>
      </c>
      <c r="F646" s="397" t="e">
        <f>Data!R1991</f>
        <v>#REF!</v>
      </c>
    </row>
    <row r="647" spans="1:6">
      <c r="A647" s="396">
        <f>Data!M1992</f>
        <v>0</v>
      </c>
      <c r="B647" s="397">
        <f>Data!N1992</f>
        <v>0</v>
      </c>
      <c r="C647" s="397" t="str">
        <f>Data!O1992</f>
        <v>USING 40 mm BRICK JELLY</v>
      </c>
      <c r="D647" s="397">
        <f>Data!P1992</f>
        <v>0</v>
      </c>
      <c r="E647" s="397">
        <f>Data!Q1992</f>
        <v>0</v>
      </c>
      <c r="F647" s="397">
        <f>Data!R1992</f>
        <v>0</v>
      </c>
    </row>
    <row r="648" spans="1:6">
      <c r="A648" s="396">
        <f>Data!M1993</f>
        <v>1</v>
      </c>
      <c r="B648" s="397" t="str">
        <f>Data!N1993</f>
        <v>NO</v>
      </c>
      <c r="C648" s="397" t="str">
        <f>Data!O1993</f>
        <v>PLUMBER I</v>
      </c>
      <c r="D648" s="397">
        <f>Data!P1993</f>
        <v>866</v>
      </c>
      <c r="E648" s="397" t="str">
        <f>Data!Q1993</f>
        <v>NO</v>
      </c>
      <c r="F648" s="397">
        <f>Data!R1993</f>
        <v>866</v>
      </c>
    </row>
    <row r="649" spans="1:6">
      <c r="A649" s="396">
        <f>Data!M1994</f>
        <v>0.5</v>
      </c>
      <c r="B649" s="397" t="str">
        <f>Data!N1994</f>
        <v>NO.</v>
      </c>
      <c r="C649" s="397" t="str">
        <f>Data!O1994</f>
        <v>MASON II</v>
      </c>
      <c r="D649" s="397">
        <f>Data!P1994</f>
        <v>932</v>
      </c>
      <c r="E649" s="397" t="str">
        <f>Data!Q1994</f>
        <v>NO.</v>
      </c>
      <c r="F649" s="397">
        <f>Data!R1994</f>
        <v>466</v>
      </c>
    </row>
    <row r="650" spans="1:6">
      <c r="A650" s="396">
        <f>Data!M1995</f>
        <v>0.5</v>
      </c>
      <c r="B650" s="397" t="str">
        <f>Data!N1995</f>
        <v>NO.</v>
      </c>
      <c r="C650" s="397" t="str">
        <f>Data!O1995</f>
        <v>MAZDOOR I</v>
      </c>
      <c r="D650" s="397">
        <f>Data!P1995</f>
        <v>651</v>
      </c>
      <c r="E650" s="397" t="str">
        <f>Data!Q1995</f>
        <v>NO.</v>
      </c>
      <c r="F650" s="397">
        <f>Data!R1995</f>
        <v>325.5</v>
      </c>
    </row>
    <row r="651" spans="1:6">
      <c r="A651" s="396">
        <f>Data!M1996</f>
        <v>0</v>
      </c>
      <c r="B651" s="397">
        <f>Data!N1996</f>
        <v>0</v>
      </c>
      <c r="C651" s="397" t="str">
        <f>Data!O1996</f>
        <v>Deduct rate for "P" &amp; "S" trap</v>
      </c>
      <c r="D651" s="397" t="str">
        <f>Data!P1996</f>
        <v/>
      </c>
      <c r="E651" s="397">
        <f>Data!Q1996</f>
        <v>0</v>
      </c>
      <c r="F651" s="404">
        <f>Data!R1996</f>
        <v>-164</v>
      </c>
    </row>
    <row r="652" spans="1:6">
      <c r="A652" s="396">
        <f>Data!M1997</f>
        <v>0</v>
      </c>
      <c r="B652" s="397">
        <f>Data!N1997</f>
        <v>0</v>
      </c>
      <c r="C652" s="397" t="str">
        <f>Data!O1997</f>
        <v xml:space="preserve">Add rate for PVC SWR "P" &amp; "S" trap </v>
      </c>
      <c r="D652" s="397">
        <f>Data!P1997</f>
        <v>0</v>
      </c>
      <c r="E652" s="397">
        <f>Data!Q1997</f>
        <v>0</v>
      </c>
      <c r="F652" s="397">
        <f>Data!R1997</f>
        <v>134.1</v>
      </c>
    </row>
    <row r="653" spans="1:6">
      <c r="A653" s="396">
        <f>Data!M1998</f>
        <v>0</v>
      </c>
      <c r="B653" s="397" t="str">
        <f>Data!N1998</f>
        <v>LS</v>
      </c>
      <c r="C653" s="397" t="str">
        <f>Data!O1998</f>
        <v>Sundries</v>
      </c>
      <c r="D653" s="397">
        <f>Data!P1998</f>
        <v>0</v>
      </c>
      <c r="E653" s="397">
        <f>Data!Q1998</f>
        <v>0</v>
      </c>
      <c r="F653" s="397">
        <f>Data!R1998</f>
        <v>0.47</v>
      </c>
    </row>
    <row r="654" spans="1:6">
      <c r="A654" s="396">
        <f>Data!M1999</f>
        <v>0</v>
      </c>
      <c r="B654" s="397">
        <f>Data!N1999</f>
        <v>0</v>
      </c>
      <c r="C654" s="397" t="str">
        <f>Data!O1999</f>
        <v>TOTAL FOR ONE NUMBER</v>
      </c>
      <c r="D654" s="397">
        <f>Data!P1999</f>
        <v>0</v>
      </c>
      <c r="E654" s="397">
        <f>Data!Q1999</f>
        <v>0</v>
      </c>
      <c r="F654" s="398" t="e">
        <f>Data!R1999</f>
        <v>#REF!</v>
      </c>
    </row>
    <row r="655" spans="1:6">
      <c r="A655" s="396">
        <f>[17]Data!M2000</f>
        <v>0</v>
      </c>
      <c r="B655" s="397">
        <f>[17]Data!N2000</f>
        <v>0</v>
      </c>
      <c r="C655" s="397">
        <f>[17]Data!O2000</f>
        <v>0</v>
      </c>
      <c r="D655" s="397">
        <f>[17]Data!P2000</f>
        <v>0</v>
      </c>
      <c r="E655" s="397">
        <f>[17]Data!Q2000</f>
        <v>0</v>
      </c>
      <c r="F655" s="397">
        <f>[17]Data!R2000</f>
        <v>0</v>
      </c>
    </row>
    <row r="656" spans="1:6">
      <c r="A656" s="400">
        <f>Data!M2002</f>
        <v>57</v>
      </c>
      <c r="B656" s="398" t="str">
        <f>Data!N2002</f>
        <v>*</v>
      </c>
      <c r="C656" s="398" t="str">
        <f>Data!O2002</f>
        <v>SUPPLY AND FIXING OF E.W.C.   18" SIZE (WHITE)</v>
      </c>
      <c r="D656" s="398"/>
      <c r="E656" s="398"/>
      <c r="F656" s="397">
        <f>Data!R2002</f>
        <v>0</v>
      </c>
    </row>
    <row r="657" spans="1:6">
      <c r="A657" s="400">
        <f>Data!M2003</f>
        <v>0</v>
      </c>
      <c r="B657" s="398">
        <f>Data!N2003</f>
        <v>0</v>
      </c>
      <c r="C657" s="398" t="str">
        <f>Data!O2003</f>
        <v>WITH DOUBLE FLAPPED PLASTIC SEAT COVER</v>
      </c>
      <c r="D657" s="397">
        <f>Data!P2003</f>
        <v>0</v>
      </c>
      <c r="E657" s="397">
        <f>Data!Q2003</f>
        <v>0</v>
      </c>
      <c r="F657" s="397">
        <f>Data!R2003</f>
        <v>0</v>
      </c>
    </row>
    <row r="658" spans="1:6">
      <c r="A658" s="400">
        <f>Data!M2004</f>
        <v>0</v>
      </c>
      <c r="B658" s="398">
        <f>Data!N2004</f>
        <v>0</v>
      </c>
      <c r="C658" s="398" t="str">
        <f>Data!O2004</f>
        <v>LOW LEVEL FLUSHING CISTERN 10 LIT.</v>
      </c>
      <c r="D658" s="397">
        <f>Data!P2004</f>
        <v>0</v>
      </c>
      <c r="E658" s="397">
        <f>Data!Q2004</f>
        <v>0</v>
      </c>
      <c r="F658" s="397">
        <f>Data!R2004</f>
        <v>0</v>
      </c>
    </row>
    <row r="659" spans="1:6">
      <c r="A659" s="396">
        <f>Data!M2005</f>
        <v>0</v>
      </c>
      <c r="B659" s="397">
        <f>Data!N2005</f>
        <v>0</v>
      </c>
      <c r="C659" s="397"/>
      <c r="D659" s="397">
        <f>Data!P2005</f>
        <v>0</v>
      </c>
      <c r="E659" s="397">
        <f>Data!Q2005</f>
        <v>0</v>
      </c>
      <c r="F659" s="397">
        <f>Data!R2005</f>
        <v>0</v>
      </c>
    </row>
    <row r="660" spans="1:6" ht="90">
      <c r="A660" s="396">
        <f>Data!M2006</f>
        <v>1</v>
      </c>
      <c r="B660" s="397" t="str">
        <f>Data!N2006</f>
        <v>SET</v>
      </c>
      <c r="C660" s="399" t="str">
        <f>Data!O2006</f>
        <v>EUROPEAN WATER CLOSET WITH "P" OR "S" TRAP WITH DOUBLE FLAPPED SEAT AND SEAT COVER WITH BRASS HINGES AND 10LIT CAPACITY PVC L;OW LEVEL FLUSHING TANK WITH ALL INTERNAL FITTINGS</v>
      </c>
      <c r="D660" s="397">
        <f>Data!P2006</f>
        <v>3090</v>
      </c>
      <c r="E660" s="397" t="str">
        <f>Data!Q2006</f>
        <v>SET</v>
      </c>
      <c r="F660" s="397">
        <f>Data!R2006</f>
        <v>3090</v>
      </c>
    </row>
    <row r="661" spans="1:6">
      <c r="A661" s="396">
        <f>Data!M2007</f>
        <v>0</v>
      </c>
      <c r="B661" s="397">
        <f>Data!N2007</f>
        <v>0</v>
      </c>
      <c r="C661" s="397" t="str">
        <f>Data!O2007</f>
        <v>LABOUR FOR FIXING OF EWC</v>
      </c>
      <c r="D661" s="397">
        <f>Data!P2007</f>
        <v>0</v>
      </c>
      <c r="E661" s="397">
        <f>Data!Q2007</f>
        <v>0</v>
      </c>
      <c r="F661" s="397">
        <f>Data!R2007</f>
        <v>0</v>
      </c>
    </row>
    <row r="662" spans="1:6">
      <c r="A662" s="396">
        <f>Data!M2008</f>
        <v>1</v>
      </c>
      <c r="B662" s="397" t="str">
        <f>Data!N2008</f>
        <v>NO.</v>
      </c>
      <c r="C662" s="397" t="str">
        <f>Data!O2008</f>
        <v>MASON I</v>
      </c>
      <c r="D662" s="397">
        <f>Data!P2008</f>
        <v>999</v>
      </c>
      <c r="E662" s="397" t="str">
        <f>Data!Q2008</f>
        <v>NO.</v>
      </c>
      <c r="F662" s="397">
        <f>Data!R2008</f>
        <v>999</v>
      </c>
    </row>
    <row r="663" spans="1:6">
      <c r="A663" s="396">
        <f>Data!M2009</f>
        <v>2</v>
      </c>
      <c r="B663" s="397" t="str">
        <f>Data!N2009</f>
        <v>NO.</v>
      </c>
      <c r="C663" s="397" t="str">
        <f>Data!O2009</f>
        <v>PLUMBER I</v>
      </c>
      <c r="D663" s="397">
        <f>Data!P2009</f>
        <v>866</v>
      </c>
      <c r="E663" s="397" t="str">
        <f>Data!Q2009</f>
        <v>NO.</v>
      </c>
      <c r="F663" s="397">
        <f>Data!R2009</f>
        <v>1732</v>
      </c>
    </row>
    <row r="664" spans="1:6">
      <c r="A664" s="396">
        <f>Data!M2010</f>
        <v>1</v>
      </c>
      <c r="B664" s="397" t="str">
        <f>Data!N2010</f>
        <v>NO.</v>
      </c>
      <c r="C664" s="397" t="str">
        <f>Data!O2010</f>
        <v>MAZDOOR II</v>
      </c>
      <c r="D664" s="397">
        <f>Data!P2010</f>
        <v>534</v>
      </c>
      <c r="E664" s="397" t="str">
        <f>Data!Q2010</f>
        <v>NO.</v>
      </c>
      <c r="F664" s="397">
        <f>Data!R2010</f>
        <v>534</v>
      </c>
    </row>
    <row r="665" spans="1:6">
      <c r="A665" s="396">
        <f>Data!M2011</f>
        <v>0</v>
      </c>
      <c r="B665" s="397">
        <f>Data!N2011</f>
        <v>0</v>
      </c>
      <c r="C665" s="397" t="str">
        <f>Data!O2011</f>
        <v>LABOUR FOR FIXING OF FLUSHING TANK</v>
      </c>
      <c r="D665" s="397">
        <f>Data!P2011</f>
        <v>0</v>
      </c>
      <c r="E665" s="397">
        <f>Data!Q2011</f>
        <v>0</v>
      </c>
      <c r="F665" s="397">
        <f>Data!R2011</f>
        <v>0</v>
      </c>
    </row>
    <row r="666" spans="1:6">
      <c r="A666" s="396">
        <f>Data!M2012</f>
        <v>0.5</v>
      </c>
      <c r="B666" s="397" t="str">
        <f>Data!N2012</f>
        <v>NO.</v>
      </c>
      <c r="C666" s="397" t="str">
        <f>Data!O2012</f>
        <v>PLUMBER I</v>
      </c>
      <c r="D666" s="397">
        <f>Data!P2012</f>
        <v>866</v>
      </c>
      <c r="E666" s="397" t="str">
        <f>Data!Q2012</f>
        <v>NO.</v>
      </c>
      <c r="F666" s="397">
        <f>Data!R2012</f>
        <v>433</v>
      </c>
    </row>
    <row r="667" spans="1:6">
      <c r="A667" s="396">
        <f>Data!M2013</f>
        <v>0.5</v>
      </c>
      <c r="B667" s="397" t="str">
        <f>Data!N2013</f>
        <v>NO.</v>
      </c>
      <c r="C667" s="397" t="str">
        <f>Data!O2013</f>
        <v>MAZDOOR I</v>
      </c>
      <c r="D667" s="397">
        <f>Data!P2013</f>
        <v>651</v>
      </c>
      <c r="E667" s="397" t="str">
        <f>Data!Q2013</f>
        <v>NO.</v>
      </c>
      <c r="F667" s="397">
        <f>Data!R2013</f>
        <v>325.5</v>
      </c>
    </row>
    <row r="668" spans="1:6">
      <c r="A668" s="396">
        <f>Data!M2014</f>
        <v>0</v>
      </c>
      <c r="B668" s="397">
        <f>Data!N2014</f>
        <v>0</v>
      </c>
      <c r="C668" s="397" t="str">
        <f>Data!O2014</f>
        <v>Deduct rate for "P" &amp; "S" trap</v>
      </c>
      <c r="D668" s="397">
        <f>Data!P2014</f>
        <v>0</v>
      </c>
      <c r="E668" s="397">
        <f>Data!Q2014</f>
        <v>0</v>
      </c>
      <c r="F668" s="397">
        <f>Data!R2014</f>
        <v>-164</v>
      </c>
    </row>
    <row r="669" spans="1:6">
      <c r="A669" s="396">
        <f>Data!M2015</f>
        <v>0</v>
      </c>
      <c r="B669" s="397">
        <f>Data!N2015</f>
        <v>0</v>
      </c>
      <c r="C669" s="397" t="str">
        <f>Data!O2015</f>
        <v xml:space="preserve">Add rate for PVC SWR "P" &amp; "S" trap </v>
      </c>
      <c r="D669" s="397">
        <f>Data!P2015</f>
        <v>0</v>
      </c>
      <c r="E669" s="397">
        <f>Data!Q2015</f>
        <v>0</v>
      </c>
      <c r="F669" s="397">
        <f>Data!R2015</f>
        <v>134.1</v>
      </c>
    </row>
    <row r="670" spans="1:6">
      <c r="A670" s="396">
        <f>Data!M2016</f>
        <v>0</v>
      </c>
      <c r="B670" s="397" t="str">
        <f>Data!N2016</f>
        <v>L.S</v>
      </c>
      <c r="C670" s="397" t="str">
        <f>Data!O2016</f>
        <v>SUNDRIES</v>
      </c>
      <c r="D670" s="397">
        <f>Data!P2016</f>
        <v>0</v>
      </c>
      <c r="E670" s="397" t="str">
        <f>Data!Q2016</f>
        <v>L.S</v>
      </c>
      <c r="F670" s="397">
        <f>Data!R2016</f>
        <v>0.7</v>
      </c>
    </row>
    <row r="671" spans="1:6">
      <c r="A671" s="396">
        <f>Data!M2017</f>
        <v>0</v>
      </c>
      <c r="B671" s="397">
        <f>Data!N2017</f>
        <v>0</v>
      </c>
      <c r="C671" s="397" t="str">
        <f>Data!O2017</f>
        <v>TOTAL FOR ONE NUMBER</v>
      </c>
      <c r="D671" s="397">
        <f>Data!P2017</f>
        <v>0</v>
      </c>
      <c r="E671" s="397">
        <f>Data!Q2017</f>
        <v>0</v>
      </c>
      <c r="F671" s="397">
        <f>Data!R2017</f>
        <v>0</v>
      </c>
    </row>
    <row r="672" spans="1:6">
      <c r="A672" s="396">
        <f>Data!M2018</f>
        <v>0</v>
      </c>
      <c r="B672" s="397">
        <f>Data!N2018</f>
        <v>0</v>
      </c>
      <c r="C672" s="397">
        <f>Data!O2018</f>
        <v>0</v>
      </c>
      <c r="D672" s="397">
        <f>Data!P2018</f>
        <v>0</v>
      </c>
      <c r="E672" s="397">
        <f>Data!Q2018</f>
        <v>0</v>
      </c>
      <c r="F672" s="398">
        <f>Data!R2018</f>
        <v>7084.3</v>
      </c>
    </row>
    <row r="673" spans="1:6">
      <c r="B673" s="397">
        <f>[17]Data!N2019</f>
        <v>0</v>
      </c>
      <c r="C673" s="397">
        <f>[17]Data!O2019</f>
        <v>0</v>
      </c>
      <c r="D673" s="397">
        <f>[17]Data!P2019</f>
        <v>0</v>
      </c>
      <c r="E673" s="397">
        <f>[17]Data!Q2019</f>
        <v>0</v>
      </c>
      <c r="F673" s="397">
        <f>[17]Data!R2019</f>
        <v>0</v>
      </c>
    </row>
    <row r="674" spans="1:6">
      <c r="A674" s="396">
        <f>Data!AC3102</f>
        <v>0</v>
      </c>
      <c r="B674" s="397">
        <f>Data!AD3102</f>
        <v>0</v>
      </c>
      <c r="C674" s="398" t="str">
        <f>Data!AE3102</f>
        <v>15mm dia half turn CP tap</v>
      </c>
      <c r="D674" s="397">
        <f>Data!AF3102</f>
        <v>0</v>
      </c>
      <c r="E674" s="397">
        <f>Data!AG3102</f>
        <v>0</v>
      </c>
      <c r="F674" s="397">
        <f>Data!AH3102</f>
        <v>0</v>
      </c>
    </row>
    <row r="675" spans="1:6">
      <c r="A675" s="396">
        <f>Data!AC3103</f>
        <v>0</v>
      </c>
      <c r="B675" s="397">
        <f>Data!AD3103</f>
        <v>0</v>
      </c>
      <c r="C675" s="397" t="str">
        <f>Data!AE3103</f>
        <v>Sub-Data</v>
      </c>
      <c r="D675" s="397">
        <f>Data!AF3103</f>
        <v>0</v>
      </c>
      <c r="E675" s="397">
        <f>Data!AG3103</f>
        <v>0</v>
      </c>
      <c r="F675" s="397">
        <f>Data!AH3103</f>
        <v>0</v>
      </c>
    </row>
    <row r="676" spans="1:6">
      <c r="A676" s="396">
        <f>Data!AC3104</f>
        <v>0</v>
      </c>
      <c r="B676" s="397">
        <f>Data!AD3104</f>
        <v>0</v>
      </c>
      <c r="C676" s="397" t="str">
        <f>Data!AE3104</f>
        <v>Labour charge</v>
      </c>
      <c r="D676" s="397">
        <f>Data!AF3104</f>
        <v>0</v>
      </c>
      <c r="E676" s="397">
        <f>Data!AG3104</f>
        <v>0</v>
      </c>
      <c r="F676" s="397">
        <f>Data!AH3104</f>
        <v>0</v>
      </c>
    </row>
    <row r="677" spans="1:6">
      <c r="A677" s="396">
        <f>Data!AC3105</f>
        <v>0.1</v>
      </c>
      <c r="B677" s="397" t="str">
        <f>Data!AD3105</f>
        <v>Nos</v>
      </c>
      <c r="C677" s="397" t="str">
        <f>Data!AE3105</f>
        <v>Fitter I class</v>
      </c>
      <c r="D677" s="397">
        <f>Data!AF3105</f>
        <v>881</v>
      </c>
      <c r="E677" s="397" t="str">
        <f>Data!AG3105</f>
        <v>Each</v>
      </c>
      <c r="F677" s="397">
        <f>Data!AH3105</f>
        <v>88.1</v>
      </c>
    </row>
    <row r="678" spans="1:6">
      <c r="A678" s="396">
        <f>Data!AC3106</f>
        <v>0.1</v>
      </c>
      <c r="B678" s="397" t="str">
        <f>Data!AD3106</f>
        <v xml:space="preserve">Nos </v>
      </c>
      <c r="C678" s="397" t="str">
        <f>Data!AE3106</f>
        <v>Mazdoor I</v>
      </c>
      <c r="D678" s="397">
        <f>Data!AF3106</f>
        <v>651</v>
      </c>
      <c r="E678" s="397" t="str">
        <f>Data!AG3106</f>
        <v>Each</v>
      </c>
      <c r="F678" s="397">
        <f>Data!AH3106</f>
        <v>65.099999999999994</v>
      </c>
    </row>
    <row r="679" spans="1:6">
      <c r="A679" s="396">
        <f>Data!AC3107</f>
        <v>10</v>
      </c>
      <c r="B679" s="397" t="str">
        <f>Data!AD3107</f>
        <v>gram</v>
      </c>
      <c r="C679" s="397" t="str">
        <f>Data!AE3107</f>
        <v>Shellac p-49/168</v>
      </c>
      <c r="D679" s="397">
        <f>Data!AF3107</f>
        <v>18.45</v>
      </c>
      <c r="E679" s="397" t="str">
        <f>Data!AG3107</f>
        <v>100 gms</v>
      </c>
      <c r="F679" s="397">
        <f>Data!AH3107</f>
        <v>1.85</v>
      </c>
    </row>
    <row r="680" spans="1:6">
      <c r="A680" s="396">
        <f>Data!AC3108</f>
        <v>0.25</v>
      </c>
      <c r="B680" s="397" t="str">
        <f>Data!AD3108</f>
        <v>Nos</v>
      </c>
      <c r="C680" s="397" t="str">
        <f>Data!AE3108</f>
        <v>Thread ball p-49/173</v>
      </c>
      <c r="D680" s="397">
        <f>Data!AF3108</f>
        <v>3.6</v>
      </c>
      <c r="E680" s="397" t="str">
        <f>Data!AG3108</f>
        <v>Each</v>
      </c>
      <c r="F680" s="397">
        <f>Data!AH3108</f>
        <v>1</v>
      </c>
    </row>
    <row r="681" spans="1:6">
      <c r="A681" s="396">
        <f>Data!AC3109</f>
        <v>0</v>
      </c>
      <c r="B681" s="397">
        <f>Data!AD3109</f>
        <v>0</v>
      </c>
      <c r="C681" s="397">
        <f>Data!AE3109</f>
        <v>0</v>
      </c>
      <c r="D681" s="397" t="str">
        <f>Data!AF3109</f>
        <v>Total/1 No</v>
      </c>
      <c r="E681" s="397">
        <f>Data!AG3109</f>
        <v>0</v>
      </c>
      <c r="F681" s="397">
        <f>Data!AH3109</f>
        <v>156.05000000000001</v>
      </c>
    </row>
    <row r="682" spans="1:6">
      <c r="A682" s="396">
        <f>Data!AC3110</f>
        <v>0</v>
      </c>
      <c r="B682" s="397">
        <f>Data!AD3110</f>
        <v>0</v>
      </c>
      <c r="C682" s="397">
        <f>Data!AE3110</f>
        <v>0</v>
      </c>
      <c r="D682" s="397">
        <f>Data!AF3110</f>
        <v>0</v>
      </c>
      <c r="E682" s="397">
        <f>Data!AG3110</f>
        <v>0</v>
      </c>
      <c r="F682" s="397">
        <f>Data!AH3110</f>
        <v>0</v>
      </c>
    </row>
    <row r="683" spans="1:6">
      <c r="A683" s="396">
        <f>Data!AC3111</f>
        <v>0</v>
      </c>
      <c r="B683" s="397">
        <f>Data!AD3111</f>
        <v>0</v>
      </c>
      <c r="C683" s="397" t="str">
        <f>Data!AE3111</f>
        <v>Main Data</v>
      </c>
      <c r="D683" s="397" t="str">
        <f>Data!AF3111</f>
        <v>Long body</v>
      </c>
      <c r="E683" s="398" t="str">
        <f>Data!AG3111</f>
        <v>Long body</v>
      </c>
      <c r="F683" s="398" t="str">
        <f>Data!AH3111</f>
        <v>short body</v>
      </c>
    </row>
    <row r="684" spans="1:6">
      <c r="A684" s="396">
        <f>Data!AC3112</f>
        <v>0</v>
      </c>
      <c r="B684" s="397">
        <f>Data!AD3112</f>
        <v>0</v>
      </c>
      <c r="C684" s="397">
        <f>Data!AE3112</f>
        <v>0</v>
      </c>
      <c r="D684" s="397">
        <f>Data!AF3112</f>
        <v>331</v>
      </c>
      <c r="E684" s="397">
        <f>Data!AG3112</f>
        <v>331</v>
      </c>
      <c r="F684" s="397">
        <f>Data!AH3112</f>
        <v>283</v>
      </c>
    </row>
    <row r="685" spans="1:6">
      <c r="A685" s="396">
        <f>Data!AC3113</f>
        <v>0</v>
      </c>
      <c r="B685" s="397">
        <f>Data!AD3113</f>
        <v>0</v>
      </c>
      <c r="C685" s="397" t="str">
        <f>Data!AE3113</f>
        <v>Cost of Tap</v>
      </c>
      <c r="D685" s="397">
        <f>Data!AF3113</f>
        <v>156.05000000000001</v>
      </c>
      <c r="E685" s="397">
        <f>Data!AG3113</f>
        <v>156.05000000000001</v>
      </c>
      <c r="F685" s="397">
        <f>Data!AH3113</f>
        <v>156.05000000000001</v>
      </c>
    </row>
    <row r="686" spans="1:6">
      <c r="A686" s="396">
        <f>Data!AC3114</f>
        <v>0</v>
      </c>
      <c r="B686" s="397">
        <f>Data!AD3114</f>
        <v>0</v>
      </c>
      <c r="C686" s="397" t="str">
        <f>Data!AE3114</f>
        <v>Labour</v>
      </c>
      <c r="D686" s="397">
        <f>Data!AF3114</f>
        <v>487.05</v>
      </c>
      <c r="E686" s="397">
        <f>Data!AG3114</f>
        <v>487.05</v>
      </c>
      <c r="F686" s="397">
        <f>Data!AH3114</f>
        <v>439.05</v>
      </c>
    </row>
    <row r="687" spans="1:6">
      <c r="A687" s="396">
        <f>Data!AC3115</f>
        <v>0</v>
      </c>
      <c r="B687" s="397">
        <f>Data!AD3115</f>
        <v>0</v>
      </c>
      <c r="C687" s="397">
        <f>Data!AE3115</f>
        <v>0</v>
      </c>
      <c r="D687" s="397">
        <f>Data!AF3115</f>
        <v>488</v>
      </c>
      <c r="E687" s="398">
        <f>Data!AG3115</f>
        <v>488</v>
      </c>
      <c r="F687" s="398">
        <f>Data!AH3115</f>
        <v>440</v>
      </c>
    </row>
    <row r="689" spans="1:7">
      <c r="B689" s="506"/>
      <c r="C689" s="507" t="s">
        <v>4370</v>
      </c>
      <c r="D689" s="506"/>
      <c r="E689" s="506"/>
    </row>
    <row r="690" spans="1:7">
      <c r="B690" s="506" t="s">
        <v>3486</v>
      </c>
      <c r="C690" s="506" t="s">
        <v>4278</v>
      </c>
      <c r="D690" s="506">
        <v>7</v>
      </c>
      <c r="E690" s="506"/>
    </row>
    <row r="691" spans="1:7">
      <c r="B691" s="506" t="s">
        <v>3488</v>
      </c>
      <c r="C691" s="506" t="s">
        <v>4279</v>
      </c>
      <c r="D691" s="506">
        <v>7</v>
      </c>
      <c r="E691" s="506"/>
    </row>
    <row r="692" spans="1:7">
      <c r="B692" s="506" t="s">
        <v>3487</v>
      </c>
      <c r="C692" s="506" t="s">
        <v>4280</v>
      </c>
      <c r="D692" s="506">
        <v>1</v>
      </c>
      <c r="E692" s="506"/>
    </row>
    <row r="693" spans="1:7">
      <c r="B693" s="506" t="s">
        <v>4281</v>
      </c>
      <c r="C693" s="506" t="s">
        <v>4282</v>
      </c>
      <c r="D693" s="506">
        <v>2</v>
      </c>
      <c r="E693" s="506"/>
    </row>
    <row r="694" spans="1:7">
      <c r="B694" s="506" t="s">
        <v>4283</v>
      </c>
      <c r="C694" s="506" t="s">
        <v>4282</v>
      </c>
      <c r="D694" s="506">
        <v>2</v>
      </c>
      <c r="E694" s="506"/>
    </row>
    <row r="695" spans="1:7">
      <c r="B695" s="506" t="s">
        <v>3489</v>
      </c>
      <c r="C695" s="506" t="s">
        <v>4284</v>
      </c>
      <c r="D695" s="506">
        <v>1</v>
      </c>
      <c r="E695" s="506"/>
    </row>
    <row r="696" spans="1:7">
      <c r="B696" s="506"/>
      <c r="C696" s="506"/>
      <c r="D696" s="506"/>
      <c r="E696" s="506"/>
    </row>
    <row r="697" spans="1:7">
      <c r="B697" s="506"/>
      <c r="C697" s="508" t="s">
        <v>4285</v>
      </c>
      <c r="D697" s="508">
        <f>SUM(D690:D696)</f>
        <v>20</v>
      </c>
      <c r="E697" s="508" t="s">
        <v>838</v>
      </c>
    </row>
    <row r="700" spans="1:7" s="848" customFormat="1">
      <c r="A700" s="846">
        <f>Data!E3840</f>
        <v>0</v>
      </c>
      <c r="B700" s="847">
        <f>Data!F3840</f>
        <v>0</v>
      </c>
      <c r="C700" s="1250" t="str">
        <f>Data!G3840</f>
        <v xml:space="preserve">M.S VENTILATOR OF SIZE -1200 X 800mm ( 1 No ) </v>
      </c>
      <c r="D700" s="1250"/>
      <c r="E700" s="847">
        <f>Data!I3840</f>
        <v>0.96</v>
      </c>
      <c r="F700" s="847">
        <f>Data!J3840</f>
        <v>0</v>
      </c>
      <c r="G700" s="847">
        <f>Data!K3840</f>
        <v>0</v>
      </c>
    </row>
    <row r="701" spans="1:7" s="848" customFormat="1">
      <c r="A701" s="846">
        <f>Data!E3841</f>
        <v>0</v>
      </c>
      <c r="B701" s="847">
        <f>Data!F3841</f>
        <v>0</v>
      </c>
      <c r="C701" s="847">
        <f>Data!G3841</f>
        <v>0</v>
      </c>
      <c r="D701" s="847">
        <f>Data!H3841</f>
        <v>0</v>
      </c>
      <c r="E701" s="847">
        <f>Data!I3841</f>
        <v>0</v>
      </c>
      <c r="F701" s="847">
        <f>Data!J3841</f>
        <v>0</v>
      </c>
      <c r="G701" s="847">
        <f>Data!K3841</f>
        <v>0</v>
      </c>
    </row>
    <row r="702" spans="1:7" s="848" customFormat="1">
      <c r="A702" s="847" t="str">
        <f>Data!E3842</f>
        <v xml:space="preserve">ALROUND M.S FLAT OF SIZE 50 X 10mm      = 4.0 M X 3.9 Kg/Met </v>
      </c>
      <c r="B702" s="847"/>
      <c r="C702" s="847"/>
      <c r="D702" s="847">
        <f>Data!H3842</f>
        <v>15.6</v>
      </c>
      <c r="E702" s="847" t="str">
        <f>Data!I3842</f>
        <v>KG</v>
      </c>
      <c r="F702" s="847">
        <f>Data!J3842</f>
        <v>0</v>
      </c>
      <c r="G702" s="847">
        <f>Data!K3842</f>
        <v>0</v>
      </c>
    </row>
    <row r="703" spans="1:7" s="848" customFormat="1">
      <c r="A703" s="1249" t="str">
        <f>Data!E3843</f>
        <v>SQUARE BARS OF SIZE 20 x 20mm               =11Nos X 0. 8M 3.14 Kg/Met</v>
      </c>
      <c r="B703" s="1249"/>
      <c r="C703" s="1249"/>
      <c r="D703" s="847">
        <f>Data!H3843</f>
        <v>27.63</v>
      </c>
      <c r="E703" s="847" t="str">
        <f>Data!I3843</f>
        <v>KG</v>
      </c>
      <c r="F703" s="847">
        <f>Data!J3843</f>
        <v>0</v>
      </c>
      <c r="G703" s="847">
        <f>Data!K3843</f>
        <v>0</v>
      </c>
    </row>
    <row r="704" spans="1:7" s="848" customFormat="1">
      <c r="A704" s="1251" t="str">
        <f>Data!E3844</f>
        <v>M.S FLAT OF SIZE 25 X 6mm HORIZONTAL = 1 X 2 X1.200 x 1.2 Kg/Met</v>
      </c>
      <c r="B704" s="1251"/>
      <c r="C704" s="1251"/>
      <c r="D704" s="847">
        <f>Data!H3844</f>
        <v>2.88</v>
      </c>
      <c r="E704" s="847" t="str">
        <f>Data!I3844</f>
        <v>KG</v>
      </c>
      <c r="F704" s="847">
        <f>Data!J3844</f>
        <v>0</v>
      </c>
      <c r="G704" s="847">
        <f>Data!K3844</f>
        <v>0</v>
      </c>
    </row>
    <row r="705" spans="1:7" s="848" customFormat="1">
      <c r="A705" s="1249" t="str">
        <f>Data!E3845</f>
        <v>VERTICAL                                                             = 1 X 3 X 0.80 X 1.2 Kg/Met</v>
      </c>
      <c r="B705" s="1249"/>
      <c r="C705" s="1249"/>
      <c r="D705" s="847">
        <f>Data!H3845</f>
        <v>2.88</v>
      </c>
      <c r="E705" s="847" t="str">
        <f>Data!I3845</f>
        <v>KG</v>
      </c>
      <c r="F705" s="847">
        <f>Data!J3845</f>
        <v>0</v>
      </c>
      <c r="G705" s="847">
        <f>Data!K3845</f>
        <v>0</v>
      </c>
    </row>
    <row r="706" spans="1:7" s="848" customFormat="1">
      <c r="A706" s="1249" t="str">
        <f>Data!E3846</f>
        <v>ADD FOR WELLDING</v>
      </c>
      <c r="B706" s="1249"/>
      <c r="C706" s="1249"/>
      <c r="D706" s="847">
        <f>Data!H3846</f>
        <v>5</v>
      </c>
      <c r="E706" s="847">
        <f>Data!I3846</f>
        <v>0</v>
      </c>
      <c r="F706" s="847">
        <f>Data!J3846</f>
        <v>0</v>
      </c>
      <c r="G706" s="847">
        <f>Data!K3846</f>
        <v>0</v>
      </c>
    </row>
    <row r="707" spans="1:7" s="848" customFormat="1">
      <c r="A707" s="846">
        <f>Data!E3847</f>
        <v>0</v>
      </c>
      <c r="B707" s="847">
        <f>Data!F3847</f>
        <v>0</v>
      </c>
      <c r="C707" s="847">
        <f>Data!G3847</f>
        <v>0</v>
      </c>
      <c r="D707" s="847" t="str">
        <f>Data!H3847</f>
        <v>=============</v>
      </c>
      <c r="E707" s="847">
        <f>Data!I3847</f>
        <v>0</v>
      </c>
      <c r="F707" s="847">
        <f>Data!J3847</f>
        <v>0</v>
      </c>
      <c r="G707" s="847">
        <f>Data!K3847</f>
        <v>0</v>
      </c>
    </row>
    <row r="708" spans="1:7" s="848" customFormat="1">
      <c r="A708" s="846">
        <f>Data!E3848</f>
        <v>0</v>
      </c>
      <c r="B708" s="847">
        <f>Data!F3848</f>
        <v>0</v>
      </c>
      <c r="C708" s="847">
        <f>Data!G3848</f>
        <v>0</v>
      </c>
      <c r="D708" s="847">
        <f>Data!H3848</f>
        <v>53.99</v>
      </c>
      <c r="E708" s="847" t="str">
        <f>Data!I3848</f>
        <v>KG</v>
      </c>
      <c r="F708" s="847">
        <f>Data!J3848</f>
        <v>2.29</v>
      </c>
      <c r="G708" s="847">
        <f>Data!K3848</f>
        <v>0</v>
      </c>
    </row>
    <row r="709" spans="1:7" s="848" customFormat="1">
      <c r="A709" s="846">
        <f>Data!E3849</f>
        <v>0</v>
      </c>
      <c r="B709" s="847">
        <f>Data!F3849</f>
        <v>0</v>
      </c>
      <c r="C709" s="847">
        <f>Data!G3849</f>
        <v>0</v>
      </c>
      <c r="D709" s="847" t="str">
        <f>Data!H3849</f>
        <v>=============</v>
      </c>
      <c r="E709" s="847">
        <f>Data!I3849</f>
        <v>0</v>
      </c>
      <c r="F709" s="847">
        <f>Data!J3849</f>
        <v>0</v>
      </c>
      <c r="G709" s="847">
        <f>Data!K3849</f>
        <v>0</v>
      </c>
    </row>
    <row r="710" spans="1:7" s="848" customFormat="1">
      <c r="A710" s="846">
        <f>Data!E3850</f>
        <v>0</v>
      </c>
      <c r="B710" s="847">
        <f>Data!F3850</f>
        <v>0</v>
      </c>
      <c r="C710" s="847">
        <f>Data!G3850</f>
        <v>0</v>
      </c>
      <c r="D710" s="847">
        <f>Data!H3850</f>
        <v>0</v>
      </c>
      <c r="E710" s="847">
        <f>Data!I3850</f>
        <v>0</v>
      </c>
      <c r="F710" s="847">
        <f>Data!J3850</f>
        <v>0</v>
      </c>
      <c r="G710" s="847">
        <f>Data!K3850</f>
        <v>0</v>
      </c>
    </row>
    <row r="711" spans="1:7" s="848" customFormat="1">
      <c r="A711" s="846">
        <f>Data!E3851</f>
        <v>0</v>
      </c>
      <c r="B711" s="847">
        <f>Data!F3851</f>
        <v>0</v>
      </c>
      <c r="C711" s="847">
        <f>Data!G3851</f>
        <v>0</v>
      </c>
      <c r="D711" s="847">
        <f>Data!H3851</f>
        <v>0</v>
      </c>
      <c r="E711" s="847">
        <f>Data!I3851</f>
        <v>0</v>
      </c>
      <c r="F711" s="847">
        <f>Data!J3851</f>
        <v>0</v>
      </c>
      <c r="G711" s="847">
        <f>Data!K3851</f>
        <v>0</v>
      </c>
    </row>
    <row r="712" spans="1:7" s="848" customFormat="1">
      <c r="A712" s="846">
        <f>Data!E3852</f>
        <v>53.99</v>
      </c>
      <c r="B712" s="847" t="str">
        <f>Data!F3852</f>
        <v>Kg</v>
      </c>
      <c r="C712" s="847" t="str">
        <f>Data!G3852</f>
        <v>Steel</v>
      </c>
      <c r="D712" s="847">
        <f>Data!H3852</f>
        <v>70.150000000000006</v>
      </c>
      <c r="E712" s="847" t="str">
        <f>Data!I3852</f>
        <v>Kg</v>
      </c>
      <c r="F712" s="847">
        <f>Data!J3852</f>
        <v>3787.4</v>
      </c>
      <c r="G712" s="847">
        <f>Data!K3852</f>
        <v>0</v>
      </c>
    </row>
    <row r="713" spans="1:7" s="848" customFormat="1">
      <c r="A713" s="846">
        <f>Data!E3853</f>
        <v>0.96</v>
      </c>
      <c r="B713" s="847" t="str">
        <f>Data!F3853</f>
        <v>Sqm</v>
      </c>
      <c r="C713" s="847" t="str">
        <f>Data!G3853</f>
        <v>Weld Mesh of size 7.5 x 2.5 cm 10 gauge</v>
      </c>
      <c r="D713" s="847">
        <f>Data!H3853</f>
        <v>379.9</v>
      </c>
      <c r="E713" s="847" t="str">
        <f>Data!I3853</f>
        <v>Sqm</v>
      </c>
      <c r="F713" s="847">
        <f>Data!J3853</f>
        <v>364.7</v>
      </c>
      <c r="G713" s="847">
        <f>Data!K3853</f>
        <v>0</v>
      </c>
    </row>
    <row r="714" spans="1:7" s="848" customFormat="1">
      <c r="A714" s="846">
        <f>Data!E3854</f>
        <v>0.96</v>
      </c>
      <c r="B714" s="847" t="str">
        <f>Data!F3854</f>
        <v>Sqm</v>
      </c>
      <c r="C714" s="847" t="str">
        <f>Data!G3854</f>
        <v>Chicken Mesh</v>
      </c>
      <c r="D714" s="847">
        <f>Data!H3854</f>
        <v>40.65</v>
      </c>
      <c r="E714" s="847" t="str">
        <f>Data!I3854</f>
        <v>Sqm</v>
      </c>
      <c r="F714" s="847">
        <f>Data!J3854</f>
        <v>39.020000000000003</v>
      </c>
      <c r="G714" s="847">
        <f>Data!K3854</f>
        <v>0</v>
      </c>
    </row>
    <row r="715" spans="1:7" s="848" customFormat="1">
      <c r="A715" s="846">
        <f>Data!E3855</f>
        <v>0</v>
      </c>
      <c r="B715" s="847">
        <f>Data!F3855</f>
        <v>0</v>
      </c>
      <c r="C715" s="847" t="str">
        <f>Data!G3855</f>
        <v>Hinges</v>
      </c>
      <c r="D715" s="847">
        <f>Data!H3855</f>
        <v>266.81</v>
      </c>
      <c r="E715" s="847" t="str">
        <f>Data!I3855</f>
        <v>L.S</v>
      </c>
      <c r="F715" s="847">
        <f>Data!J3855</f>
        <v>266.81</v>
      </c>
      <c r="G715" s="847">
        <f>Data!K3855</f>
        <v>0</v>
      </c>
    </row>
    <row r="716" spans="1:7" s="848" customFormat="1">
      <c r="A716" s="846">
        <f>Data!E3856</f>
        <v>0</v>
      </c>
      <c r="B716" s="847">
        <f>Data!F3856</f>
        <v>0</v>
      </c>
      <c r="C716" s="847">
        <f>Data!G3856</f>
        <v>0</v>
      </c>
      <c r="D716" s="847">
        <f>Data!H3856</f>
        <v>0</v>
      </c>
      <c r="E716" s="847">
        <f>Data!I3856</f>
        <v>0</v>
      </c>
      <c r="F716" s="847" t="str">
        <f>Data!J3856</f>
        <v>============</v>
      </c>
      <c r="G716" s="847">
        <f>Data!K3856</f>
        <v>0</v>
      </c>
    </row>
    <row r="717" spans="1:7" s="848" customFormat="1">
      <c r="A717" s="846">
        <f>Data!E3857</f>
        <v>0</v>
      </c>
      <c r="B717" s="847">
        <f>Data!F3857</f>
        <v>0</v>
      </c>
      <c r="C717" s="847" t="str">
        <f>Data!G3857</f>
        <v>Rate for 1 No.</v>
      </c>
      <c r="D717" s="847">
        <f>Data!H3857</f>
        <v>0</v>
      </c>
      <c r="E717" s="847">
        <f>Data!I3857</f>
        <v>0</v>
      </c>
      <c r="F717" s="847">
        <f>Data!J3857</f>
        <v>4457.93</v>
      </c>
      <c r="G717" s="847">
        <f>Data!K3857</f>
        <v>0</v>
      </c>
    </row>
    <row r="718" spans="1:7" s="848" customFormat="1">
      <c r="A718" s="846">
        <f>Data!E3858</f>
        <v>0</v>
      </c>
      <c r="B718" s="847">
        <f>Data!F3858</f>
        <v>0</v>
      </c>
      <c r="C718" s="847">
        <f>Data!G3858</f>
        <v>0</v>
      </c>
      <c r="D718" s="847">
        <f>Data!H3858</f>
        <v>0</v>
      </c>
      <c r="E718" s="847">
        <f>Data!I3858</f>
        <v>0</v>
      </c>
      <c r="F718" s="847" t="str">
        <f>Data!J3858</f>
        <v>============</v>
      </c>
      <c r="G718" s="847">
        <f>Data!K3858</f>
        <v>0</v>
      </c>
    </row>
    <row r="719" spans="1:7" s="848" customFormat="1">
      <c r="A719" s="846">
        <f>Data!E3859</f>
        <v>0</v>
      </c>
      <c r="B719" s="847">
        <f>Data!F3859</f>
        <v>0</v>
      </c>
      <c r="C719" s="847" t="str">
        <f>Data!G3859</f>
        <v>Rate per sqm</v>
      </c>
      <c r="D719" s="847">
        <f>Data!H3859</f>
        <v>0</v>
      </c>
      <c r="E719" s="847">
        <f>Data!I3859</f>
        <v>0</v>
      </c>
      <c r="F719" s="847">
        <f>Data!J3859</f>
        <v>4643.68</v>
      </c>
      <c r="G719" s="847">
        <f>Data!K3859</f>
        <v>0</v>
      </c>
    </row>
    <row r="720" spans="1:7" s="848" customFormat="1">
      <c r="A720" s="846">
        <f>Data!E3860</f>
        <v>0</v>
      </c>
      <c r="B720" s="847">
        <f>Data!F3860</f>
        <v>0</v>
      </c>
      <c r="C720" s="847">
        <f>Data!G3860</f>
        <v>0</v>
      </c>
      <c r="D720" s="847">
        <f>Data!H3860</f>
        <v>0</v>
      </c>
      <c r="E720" s="847">
        <f>Data!I3860</f>
        <v>0</v>
      </c>
      <c r="F720" s="847">
        <f>Data!J3860</f>
        <v>0</v>
      </c>
      <c r="G720" s="847">
        <f>Data!K3860</f>
        <v>0</v>
      </c>
    </row>
    <row r="721" spans="1:7" s="848" customFormat="1">
      <c r="A721" s="846">
        <f>Data!E3861</f>
        <v>0</v>
      </c>
      <c r="B721" s="847">
        <f>Data!F3861</f>
        <v>0</v>
      </c>
      <c r="C721" s="849" t="str">
        <f>Data!G3861</f>
        <v xml:space="preserve">M.S VENTILATOR OF SIZE -1000 X 800mm ( 1 No ) </v>
      </c>
      <c r="D721" s="847"/>
      <c r="E721" s="847">
        <f>Data!I3861</f>
        <v>0.8</v>
      </c>
      <c r="F721" s="847">
        <f>Data!J3861</f>
        <v>0</v>
      </c>
      <c r="G721" s="847">
        <f>Data!K3861</f>
        <v>0</v>
      </c>
    </row>
    <row r="722" spans="1:7" s="848" customFormat="1">
      <c r="A722" s="846">
        <f>Data!E3862</f>
        <v>0</v>
      </c>
      <c r="B722" s="847">
        <f>Data!F3862</f>
        <v>0</v>
      </c>
      <c r="C722" s="847">
        <f>Data!G3862</f>
        <v>0</v>
      </c>
      <c r="D722" s="847">
        <f>Data!H3862</f>
        <v>0</v>
      </c>
      <c r="E722" s="847">
        <f>Data!I3862</f>
        <v>0</v>
      </c>
      <c r="F722" s="847">
        <f>Data!J3862</f>
        <v>0</v>
      </c>
      <c r="G722" s="847">
        <f>Data!K3862</f>
        <v>0</v>
      </c>
    </row>
    <row r="723" spans="1:7" s="848" customFormat="1">
      <c r="A723" s="847" t="str">
        <f>Data!E3863</f>
        <v xml:space="preserve">ALROUND M.S FLAT OF SIZE 50 X 10mm      = 3.6 M X 3.9 Kg/Met </v>
      </c>
      <c r="B723" s="847"/>
      <c r="C723" s="847"/>
      <c r="D723" s="847">
        <f>Data!H3863</f>
        <v>14.04</v>
      </c>
      <c r="E723" s="847" t="str">
        <f>Data!I3863</f>
        <v>KG</v>
      </c>
      <c r="F723" s="847">
        <f>Data!J3863</f>
        <v>0</v>
      </c>
      <c r="G723" s="847">
        <f>Data!K3863</f>
        <v>0</v>
      </c>
    </row>
    <row r="724" spans="1:7" s="848" customFormat="1">
      <c r="A724" s="847" t="str">
        <f>Data!E3864</f>
        <v>SQUARE BARS OF SIZE 20 x 20mm               = 9Nos X 0. 8M 3.14 Kg/Met</v>
      </c>
      <c r="B724" s="847"/>
      <c r="C724" s="847"/>
      <c r="D724" s="847">
        <f>Data!H3864</f>
        <v>22.61</v>
      </c>
      <c r="E724" s="847" t="str">
        <f>Data!I3864</f>
        <v>KG</v>
      </c>
      <c r="F724" s="847">
        <f>Data!J3864</f>
        <v>0</v>
      </c>
      <c r="G724" s="847">
        <f>Data!K3864</f>
        <v>0</v>
      </c>
    </row>
    <row r="725" spans="1:7" s="848" customFormat="1">
      <c r="A725" s="1249" t="str">
        <f>Data!E3865</f>
        <v>M.S FLAT OF SIZE 25 X 6mm HORIZONTAL = 1 X 2 X1.000 x 1.2 Kg/Met</v>
      </c>
      <c r="B725" s="1249"/>
      <c r="C725" s="1249"/>
      <c r="D725" s="847">
        <f>Data!H3865</f>
        <v>2.4</v>
      </c>
      <c r="E725" s="847" t="str">
        <f>Data!I3865</f>
        <v>KG</v>
      </c>
      <c r="F725" s="847">
        <f>Data!J3865</f>
        <v>0</v>
      </c>
      <c r="G725" s="847">
        <f>Data!K3865</f>
        <v>0</v>
      </c>
    </row>
    <row r="726" spans="1:7" s="848" customFormat="1">
      <c r="A726" s="847" t="str">
        <f>Data!E3866</f>
        <v>VERTICAL                                                             = 1 X 3 X 0.80 X 1.2 Kg/Met</v>
      </c>
      <c r="B726" s="847"/>
      <c r="C726" s="847"/>
      <c r="D726" s="847">
        <f>Data!H3866</f>
        <v>2.88</v>
      </c>
      <c r="E726" s="847" t="str">
        <f>Data!I3866</f>
        <v>KG</v>
      </c>
      <c r="F726" s="847">
        <f>Data!J3866</f>
        <v>0</v>
      </c>
      <c r="G726" s="847">
        <f>Data!K3866</f>
        <v>0</v>
      </c>
    </row>
    <row r="727" spans="1:7" s="848" customFormat="1">
      <c r="A727" s="847" t="str">
        <f>Data!E3867</f>
        <v>ADD FOR WELLDING</v>
      </c>
      <c r="B727" s="847"/>
      <c r="C727" s="847"/>
      <c r="D727" s="847">
        <f>Data!H3867</f>
        <v>5</v>
      </c>
      <c r="E727" s="847">
        <f>Data!I3867</f>
        <v>0</v>
      </c>
      <c r="F727" s="847">
        <f>Data!J3867</f>
        <v>0</v>
      </c>
      <c r="G727" s="847">
        <f>Data!K3867</f>
        <v>0</v>
      </c>
    </row>
    <row r="728" spans="1:7" s="848" customFormat="1">
      <c r="A728" s="846">
        <f>Data!E3868</f>
        <v>0</v>
      </c>
      <c r="B728" s="847">
        <f>Data!F3868</f>
        <v>0</v>
      </c>
      <c r="C728" s="847">
        <f>Data!G3868</f>
        <v>0</v>
      </c>
      <c r="D728" s="847" t="str">
        <f>Data!H3868</f>
        <v>=============</v>
      </c>
      <c r="E728" s="847">
        <f>Data!I3868</f>
        <v>0</v>
      </c>
      <c r="F728" s="847">
        <f>Data!J3868</f>
        <v>0</v>
      </c>
      <c r="G728" s="847">
        <f>Data!K3868</f>
        <v>0</v>
      </c>
    </row>
    <row r="729" spans="1:7" s="848" customFormat="1">
      <c r="A729" s="846">
        <f>Data!E3869</f>
        <v>0</v>
      </c>
      <c r="B729" s="847">
        <f>Data!F3869</f>
        <v>0</v>
      </c>
      <c r="C729" s="847">
        <f>Data!G3869</f>
        <v>0</v>
      </c>
      <c r="D729" s="847">
        <f>Data!H3869</f>
        <v>46.93</v>
      </c>
      <c r="E729" s="847" t="str">
        <f>Data!I3869</f>
        <v>KG</v>
      </c>
      <c r="F729" s="847">
        <f>Data!J3869</f>
        <v>0</v>
      </c>
      <c r="G729" s="847">
        <f>Data!K3869</f>
        <v>0</v>
      </c>
    </row>
    <row r="730" spans="1:7" s="848" customFormat="1">
      <c r="A730" s="846">
        <f>Data!E3870</f>
        <v>0</v>
      </c>
      <c r="B730" s="847">
        <f>Data!F3870</f>
        <v>0</v>
      </c>
      <c r="C730" s="847">
        <f>Data!G3870</f>
        <v>0</v>
      </c>
      <c r="D730" s="847" t="str">
        <f>Data!H3870</f>
        <v>=============</v>
      </c>
      <c r="E730" s="847">
        <f>Data!I3870</f>
        <v>0</v>
      </c>
      <c r="F730" s="847">
        <f>Data!J3870</f>
        <v>0</v>
      </c>
      <c r="G730" s="847">
        <f>Data!K3870</f>
        <v>0</v>
      </c>
    </row>
    <row r="731" spans="1:7" s="848" customFormat="1">
      <c r="A731" s="846">
        <f>Data!E3871</f>
        <v>0</v>
      </c>
      <c r="B731" s="847">
        <f>Data!F3871</f>
        <v>0</v>
      </c>
      <c r="C731" s="847">
        <f>Data!G3871</f>
        <v>0</v>
      </c>
      <c r="D731" s="847">
        <f>Data!H3871</f>
        <v>0</v>
      </c>
      <c r="E731" s="847">
        <f>Data!I3871</f>
        <v>0</v>
      </c>
      <c r="F731" s="847">
        <f>Data!J3871</f>
        <v>0</v>
      </c>
      <c r="G731" s="847">
        <f>Data!K3871</f>
        <v>0</v>
      </c>
    </row>
    <row r="732" spans="1:7" s="848" customFormat="1">
      <c r="A732" s="846">
        <f>Data!E3872</f>
        <v>0</v>
      </c>
      <c r="B732" s="847">
        <f>Data!F3872</f>
        <v>0</v>
      </c>
      <c r="C732" s="847">
        <f>Data!G3872</f>
        <v>0</v>
      </c>
      <c r="D732" s="847">
        <f>Data!H3872</f>
        <v>0</v>
      </c>
      <c r="E732" s="847">
        <f>Data!I3872</f>
        <v>0</v>
      </c>
      <c r="F732" s="847">
        <f>Data!J3872</f>
        <v>0</v>
      </c>
      <c r="G732" s="847">
        <f>Data!K3872</f>
        <v>0</v>
      </c>
    </row>
    <row r="733" spans="1:7" s="848" customFormat="1">
      <c r="A733" s="846">
        <f>Data!E3873</f>
        <v>46.93</v>
      </c>
      <c r="B733" s="847" t="str">
        <f>Data!F3873</f>
        <v>Kg</v>
      </c>
      <c r="C733" s="847" t="str">
        <f>Data!G3873</f>
        <v>Steel</v>
      </c>
      <c r="D733" s="847">
        <f>Data!H3873</f>
        <v>70.150000000000006</v>
      </c>
      <c r="E733" s="847" t="str">
        <f>Data!I3873</f>
        <v>Kg</v>
      </c>
      <c r="F733" s="847">
        <f>Data!J3873</f>
        <v>3292.14</v>
      </c>
      <c r="G733" s="847">
        <f>Data!K3873</f>
        <v>0</v>
      </c>
    </row>
    <row r="734" spans="1:7" s="848" customFormat="1">
      <c r="A734" s="846">
        <f>Data!E3874</f>
        <v>0.8</v>
      </c>
      <c r="B734" s="847" t="str">
        <f>Data!F3874</f>
        <v>Sqm</v>
      </c>
      <c r="C734" s="847" t="str">
        <f>Data!G3874</f>
        <v>Weld Mesh of size 7.5 x 2.5 cm 10 gauge</v>
      </c>
      <c r="D734" s="847">
        <f>Data!H3874</f>
        <v>379.9</v>
      </c>
      <c r="E734" s="847" t="str">
        <f>Data!I3874</f>
        <v>Sqm</v>
      </c>
      <c r="F734" s="847">
        <f>Data!J3874</f>
        <v>303.92</v>
      </c>
      <c r="G734" s="847">
        <f>Data!K3874</f>
        <v>0</v>
      </c>
    </row>
    <row r="735" spans="1:7" s="848" customFormat="1">
      <c r="A735" s="846">
        <f>Data!E3875</f>
        <v>0.8</v>
      </c>
      <c r="B735" s="847" t="str">
        <f>Data!F3875</f>
        <v>Sqm</v>
      </c>
      <c r="C735" s="847" t="str">
        <f>Data!G3875</f>
        <v>Chicken Mesh</v>
      </c>
      <c r="D735" s="847">
        <f>Data!H3875</f>
        <v>40.65</v>
      </c>
      <c r="E735" s="847" t="str">
        <f>Data!I3875</f>
        <v>Sqm</v>
      </c>
      <c r="F735" s="847">
        <f>Data!J3875</f>
        <v>32.520000000000003</v>
      </c>
      <c r="G735" s="847">
        <f>Data!K3875</f>
        <v>0</v>
      </c>
    </row>
    <row r="736" spans="1:7" s="848" customFormat="1">
      <c r="A736" s="846">
        <f>Data!E3876</f>
        <v>0</v>
      </c>
      <c r="B736" s="847">
        <f>Data!F3876</f>
        <v>0</v>
      </c>
      <c r="C736" s="847" t="str">
        <f>Data!G3876</f>
        <v>Hinges</v>
      </c>
      <c r="D736" s="847">
        <f>Data!H3876</f>
        <v>266.81</v>
      </c>
      <c r="E736" s="847" t="str">
        <f>Data!I3876</f>
        <v>L.S</v>
      </c>
      <c r="F736" s="847">
        <f>Data!J3876</f>
        <v>47.1</v>
      </c>
      <c r="G736" s="847">
        <f>Data!K3876</f>
        <v>0</v>
      </c>
    </row>
    <row r="737" spans="1:7" s="848" customFormat="1">
      <c r="A737" s="846">
        <f>Data!E3877</f>
        <v>0</v>
      </c>
      <c r="B737" s="847">
        <f>Data!F3877</f>
        <v>0</v>
      </c>
      <c r="C737" s="847">
        <f>Data!G3877</f>
        <v>0</v>
      </c>
      <c r="D737" s="847">
        <f>Data!H3877</f>
        <v>0</v>
      </c>
      <c r="E737" s="847">
        <f>Data!I3877</f>
        <v>0</v>
      </c>
      <c r="F737" s="847" t="str">
        <f>Data!J3877</f>
        <v>============</v>
      </c>
      <c r="G737" s="847">
        <f>Data!K3877</f>
        <v>0</v>
      </c>
    </row>
    <row r="738" spans="1:7" s="848" customFormat="1">
      <c r="A738" s="846">
        <f>Data!E3878</f>
        <v>0</v>
      </c>
      <c r="B738" s="847">
        <f>Data!F3878</f>
        <v>0</v>
      </c>
      <c r="C738" s="847" t="str">
        <f>Data!G3878</f>
        <v>Rate for 1 No.</v>
      </c>
      <c r="D738" s="847">
        <f>Data!H3878</f>
        <v>0</v>
      </c>
      <c r="E738" s="847">
        <f>Data!I3878</f>
        <v>0</v>
      </c>
      <c r="F738" s="847">
        <f>Data!J3878</f>
        <v>3675.68</v>
      </c>
      <c r="G738" s="847">
        <f>Data!K3878</f>
        <v>0</v>
      </c>
    </row>
    <row r="739" spans="1:7" s="848" customFormat="1">
      <c r="A739" s="846">
        <f>Data!E3879</f>
        <v>0</v>
      </c>
      <c r="B739" s="847">
        <f>Data!F3879</f>
        <v>0</v>
      </c>
      <c r="C739" s="847">
        <f>Data!G3879</f>
        <v>0</v>
      </c>
      <c r="D739" s="847">
        <f>Data!H3879</f>
        <v>0</v>
      </c>
      <c r="E739" s="847">
        <f>Data!I3879</f>
        <v>0</v>
      </c>
      <c r="F739" s="847" t="str">
        <f>Data!J3879</f>
        <v>============</v>
      </c>
      <c r="G739" s="847">
        <f>Data!K3879</f>
        <v>0</v>
      </c>
    </row>
    <row r="740" spans="1:7" s="848" customFormat="1">
      <c r="A740" s="846">
        <f>Data!E3880</f>
        <v>0</v>
      </c>
      <c r="B740" s="847">
        <f>Data!F3880</f>
        <v>0</v>
      </c>
      <c r="C740" s="847" t="str">
        <f>Data!G3880</f>
        <v>Rate per sqm</v>
      </c>
      <c r="D740" s="847">
        <f>Data!H3880</f>
        <v>0</v>
      </c>
      <c r="E740" s="847">
        <f>Data!I3880</f>
        <v>0</v>
      </c>
      <c r="F740" s="847">
        <f>Data!J3880</f>
        <v>4594.6000000000004</v>
      </c>
      <c r="G740" s="847">
        <f>Data!K3880</f>
        <v>0</v>
      </c>
    </row>
    <row r="741" spans="1:7" s="848" customFormat="1">
      <c r="A741" s="1249" t="str">
        <f>Data!E3881</f>
        <v>M.S FLAT OF SIZE 25 X 6mm HORIZONTAL = 1 X 2 X 1.2 Kg/Met</v>
      </c>
      <c r="B741" s="1249"/>
      <c r="C741" s="1249"/>
      <c r="D741" s="847">
        <f>Data!H3881</f>
        <v>3.24</v>
      </c>
      <c r="E741" s="847" t="str">
        <f>Data!I3881</f>
        <v>KG</v>
      </c>
      <c r="F741" s="847">
        <f>Data!J3881</f>
        <v>0</v>
      </c>
      <c r="G741" s="847">
        <f>Data!K3881</f>
        <v>0</v>
      </c>
    </row>
    <row r="742" spans="1:7" s="848" customFormat="1">
      <c r="A742" s="1249" t="str">
        <f>Data!E3882</f>
        <v>VERTICAL                                                             = 1 X 3 X 0.6 X 1.2 Kg/Met</v>
      </c>
      <c r="B742" s="1249"/>
      <c r="C742" s="1249"/>
      <c r="D742" s="847">
        <f>Data!H3882</f>
        <v>2.16</v>
      </c>
      <c r="E742" s="847" t="str">
        <f>Data!I3882</f>
        <v>KG</v>
      </c>
      <c r="F742" s="847">
        <f>Data!J3882</f>
        <v>0</v>
      </c>
      <c r="G742" s="847">
        <f>Data!K3882</f>
        <v>0</v>
      </c>
    </row>
    <row r="743" spans="1:7" s="848" customFormat="1">
      <c r="A743" s="846">
        <f>Data!E3883</f>
        <v>0</v>
      </c>
      <c r="B743" s="847">
        <f>Data!F3883</f>
        <v>0</v>
      </c>
      <c r="C743" s="847">
        <f>Data!G3883</f>
        <v>0</v>
      </c>
      <c r="D743" s="847">
        <f>Data!H3883</f>
        <v>0</v>
      </c>
      <c r="E743" s="847">
        <f>Data!I3883</f>
        <v>0</v>
      </c>
      <c r="F743" s="847">
        <f>Data!J3883</f>
        <v>0</v>
      </c>
      <c r="G743" s="847">
        <f>Data!K3883</f>
        <v>0</v>
      </c>
    </row>
    <row r="744" spans="1:7" s="848" customFormat="1">
      <c r="A744" s="846">
        <f>Data!E3884</f>
        <v>0</v>
      </c>
      <c r="B744" s="847">
        <f>Data!F3884</f>
        <v>0</v>
      </c>
      <c r="C744" s="847">
        <f>Data!G3884</f>
        <v>0</v>
      </c>
      <c r="D744" s="847" t="str">
        <f>Data!H3884</f>
        <v>============</v>
      </c>
      <c r="E744" s="847">
        <f>Data!I3884</f>
        <v>0</v>
      </c>
      <c r="F744" s="847">
        <f>Data!J3884</f>
        <v>0</v>
      </c>
      <c r="G744" s="847">
        <f>Data!K3884</f>
        <v>0</v>
      </c>
    </row>
    <row r="745" spans="1:7" s="848" customFormat="1">
      <c r="A745" s="846">
        <f>Data!E3885</f>
        <v>0</v>
      </c>
      <c r="B745" s="847">
        <f>Data!F3885</f>
        <v>0</v>
      </c>
      <c r="C745" s="847">
        <f>Data!G3885</f>
        <v>0</v>
      </c>
      <c r="D745" s="847">
        <f>Data!H3885</f>
        <v>5.4</v>
      </c>
      <c r="E745" s="847">
        <f>Data!I3885</f>
        <v>0</v>
      </c>
      <c r="F745" s="847">
        <f>Data!J3885</f>
        <v>0</v>
      </c>
      <c r="G745" s="847">
        <f>Data!K3885</f>
        <v>0</v>
      </c>
    </row>
    <row r="746" spans="1:7" s="848" customFormat="1">
      <c r="A746" s="846">
        <f>Data!E3886</f>
        <v>0</v>
      </c>
      <c r="B746" s="847">
        <f>Data!F3886</f>
        <v>0</v>
      </c>
      <c r="C746" s="847">
        <f>Data!G3886</f>
        <v>0</v>
      </c>
      <c r="D746" s="847" t="str">
        <f>Data!H3886</f>
        <v xml:space="preserve"> ============</v>
      </c>
      <c r="E746" s="847">
        <f>Data!I3886</f>
        <v>0</v>
      </c>
      <c r="F746" s="847">
        <f>Data!J3886</f>
        <v>0</v>
      </c>
      <c r="G746" s="847">
        <f>Data!K3886</f>
        <v>0</v>
      </c>
    </row>
    <row r="747" spans="1:7" s="848" customFormat="1">
      <c r="A747" s="846">
        <f>Data!E3887</f>
        <v>0</v>
      </c>
      <c r="B747" s="847">
        <f>Data!F3887</f>
        <v>0</v>
      </c>
      <c r="C747" s="847">
        <f>Data!G3887</f>
        <v>0</v>
      </c>
      <c r="D747" s="847">
        <f>Data!H3887</f>
        <v>0</v>
      </c>
      <c r="E747" s="847">
        <f>Data!I3887</f>
        <v>0</v>
      </c>
      <c r="F747" s="847">
        <f>Data!J3887</f>
        <v>0</v>
      </c>
      <c r="G747" s="847">
        <f>Data!K3887</f>
        <v>0</v>
      </c>
    </row>
    <row r="748" spans="1:7" s="848" customFormat="1">
      <c r="A748" s="846">
        <f>Data!E3888</f>
        <v>0</v>
      </c>
      <c r="B748" s="847">
        <f>Data!F3888</f>
        <v>0</v>
      </c>
      <c r="C748" s="847">
        <f>Data!G3888</f>
        <v>0</v>
      </c>
      <c r="D748" s="847">
        <f>Data!H3888</f>
        <v>0</v>
      </c>
      <c r="E748" s="847">
        <f>Data!I3888</f>
        <v>0</v>
      </c>
      <c r="F748" s="847">
        <f>Data!J3888</f>
        <v>0</v>
      </c>
      <c r="G748" s="847">
        <f>Data!K3888</f>
        <v>0</v>
      </c>
    </row>
    <row r="749" spans="1:7" s="848" customFormat="1">
      <c r="A749" s="846">
        <f>Data!E3889</f>
        <v>42.81</v>
      </c>
      <c r="B749" s="847" t="str">
        <f>Data!F3889</f>
        <v>Kg</v>
      </c>
      <c r="C749" s="847" t="str">
        <f>Data!G3889</f>
        <v>Steel</v>
      </c>
      <c r="D749" s="847">
        <f>Data!H3889</f>
        <v>70.150000000000006</v>
      </c>
      <c r="E749" s="847" t="str">
        <f>Data!I3889</f>
        <v>Kg</v>
      </c>
      <c r="F749" s="847">
        <f>Data!J3889</f>
        <v>3003.12</v>
      </c>
      <c r="G749" s="847">
        <f>Data!K3889</f>
        <v>0</v>
      </c>
    </row>
    <row r="750" spans="1:7" s="848" customFormat="1">
      <c r="A750" s="846">
        <f>Data!E3890</f>
        <v>0.77</v>
      </c>
      <c r="B750" s="847" t="str">
        <f>Data!F3890</f>
        <v>Sqm</v>
      </c>
      <c r="C750" s="847" t="str">
        <f>Data!G3890</f>
        <v>Weld Mesh</v>
      </c>
      <c r="D750" s="847">
        <f>Data!H3890</f>
        <v>379.9</v>
      </c>
      <c r="E750" s="847" t="str">
        <f>Data!I3890</f>
        <v>Sqm</v>
      </c>
      <c r="F750" s="847">
        <f>Data!J3890</f>
        <v>292.52</v>
      </c>
      <c r="G750" s="847">
        <f>Data!K3890</f>
        <v>0</v>
      </c>
    </row>
    <row r="751" spans="1:7" s="848" customFormat="1">
      <c r="A751" s="846">
        <f>Data!E3891</f>
        <v>0.77</v>
      </c>
      <c r="B751" s="847" t="str">
        <f>Data!F3891</f>
        <v>Sqm</v>
      </c>
      <c r="C751" s="847" t="str">
        <f>Data!G3891</f>
        <v>Fly proof  Mesh</v>
      </c>
      <c r="D751" s="847">
        <f>Data!H3891</f>
        <v>40.65</v>
      </c>
      <c r="E751" s="847" t="str">
        <f>Data!I3891</f>
        <v>Sqm</v>
      </c>
      <c r="F751" s="847">
        <f>Data!J3891</f>
        <v>31.3</v>
      </c>
      <c r="G751" s="847">
        <f>Data!K3891</f>
        <v>0</v>
      </c>
    </row>
    <row r="752" spans="1:7" s="848" customFormat="1">
      <c r="A752" s="846">
        <f>Data!E3892</f>
        <v>0</v>
      </c>
      <c r="B752" s="847">
        <f>Data!F3892</f>
        <v>0</v>
      </c>
      <c r="C752" s="847" t="str">
        <f>Data!G3892</f>
        <v>Hings</v>
      </c>
      <c r="D752" s="847">
        <f>Data!H3892</f>
        <v>266.81</v>
      </c>
      <c r="E752" s="847" t="str">
        <f>Data!I3892</f>
        <v>L.S</v>
      </c>
      <c r="F752" s="847">
        <f>Data!J3892</f>
        <v>266.81</v>
      </c>
      <c r="G752" s="847">
        <f>Data!K3892</f>
        <v>0</v>
      </c>
    </row>
    <row r="753" spans="1:7" s="848" customFormat="1">
      <c r="A753" s="846">
        <f>Data!E3893</f>
        <v>0</v>
      </c>
      <c r="B753" s="847">
        <f>Data!F3893</f>
        <v>0</v>
      </c>
      <c r="C753" s="847">
        <f>Data!G3893</f>
        <v>0</v>
      </c>
      <c r="D753" s="847">
        <f>Data!H3893</f>
        <v>0</v>
      </c>
      <c r="E753" s="847">
        <f>Data!I3893</f>
        <v>0</v>
      </c>
      <c r="F753" s="847" t="str">
        <f>Data!J3893</f>
        <v>============</v>
      </c>
      <c r="G753" s="847">
        <f>Data!K3893</f>
        <v>0</v>
      </c>
    </row>
    <row r="754" spans="1:7" s="848" customFormat="1">
      <c r="A754" s="846">
        <f>Data!E3894</f>
        <v>0</v>
      </c>
      <c r="B754" s="847">
        <f>Data!F3894</f>
        <v>0</v>
      </c>
      <c r="C754" s="847" t="str">
        <f>Data!G3894</f>
        <v>Rate for 1 No.</v>
      </c>
      <c r="D754" s="847">
        <f>Data!H3894</f>
        <v>0</v>
      </c>
      <c r="E754" s="847">
        <f>Data!I3894</f>
        <v>0</v>
      </c>
      <c r="F754" s="847">
        <f>Data!J3894</f>
        <v>3593.75</v>
      </c>
      <c r="G754" s="847">
        <f>Data!K3894</f>
        <v>0</v>
      </c>
    </row>
    <row r="755" spans="1:7" s="848" customFormat="1">
      <c r="A755" s="846">
        <f>Data!E3895</f>
        <v>0</v>
      </c>
      <c r="B755" s="847">
        <f>Data!F3895</f>
        <v>0</v>
      </c>
      <c r="C755" s="847">
        <f>Data!G3895</f>
        <v>0</v>
      </c>
      <c r="D755" s="847">
        <f>Data!H3895</f>
        <v>0</v>
      </c>
      <c r="E755" s="847">
        <f>Data!I3895</f>
        <v>0</v>
      </c>
      <c r="F755" s="847" t="str">
        <f>Data!J3895</f>
        <v>============</v>
      </c>
      <c r="G755" s="847">
        <f>Data!K3895</f>
        <v>0</v>
      </c>
    </row>
    <row r="756" spans="1:7" s="848" customFormat="1">
      <c r="A756" s="846">
        <f>Data!E3896</f>
        <v>0</v>
      </c>
      <c r="B756" s="847">
        <f>Data!F3896</f>
        <v>0</v>
      </c>
      <c r="C756" s="847">
        <f>Data!G3896</f>
        <v>0.77</v>
      </c>
      <c r="D756" s="847">
        <f>Data!H3896</f>
        <v>0</v>
      </c>
      <c r="E756" s="847">
        <f>Data!I3896</f>
        <v>0</v>
      </c>
      <c r="F756" s="847">
        <f>Data!J3896</f>
        <v>4667.21</v>
      </c>
      <c r="G756" s="847">
        <f>Data!K3896</f>
        <v>0</v>
      </c>
    </row>
    <row r="757" spans="1:7" s="848" customFormat="1">
      <c r="A757" s="846">
        <f>Data!E3897</f>
        <v>0</v>
      </c>
      <c r="B757" s="847">
        <f>Data!F3897</f>
        <v>0</v>
      </c>
      <c r="C757" s="847">
        <f>Data!G3897</f>
        <v>0</v>
      </c>
      <c r="D757" s="847">
        <f>Data!H3897</f>
        <v>0</v>
      </c>
      <c r="E757" s="847">
        <f>Data!I3897</f>
        <v>0</v>
      </c>
      <c r="F757" s="847">
        <f>Data!J3897</f>
        <v>0</v>
      </c>
      <c r="G757" s="847">
        <f>Data!K3897</f>
        <v>0</v>
      </c>
    </row>
    <row r="758" spans="1:7" s="848" customFormat="1">
      <c r="A758" s="846">
        <f>Data!E3898</f>
        <v>0</v>
      </c>
      <c r="B758" s="847">
        <f>Data!F3898</f>
        <v>0</v>
      </c>
      <c r="C758" s="847">
        <f>Data!G3898</f>
        <v>0.8</v>
      </c>
      <c r="D758" s="847">
        <f>Data!H3898</f>
        <v>0</v>
      </c>
      <c r="E758" s="847">
        <f>Data!I3898</f>
        <v>0</v>
      </c>
      <c r="F758" s="847">
        <f>Data!J3898</f>
        <v>0</v>
      </c>
      <c r="G758" s="847">
        <f>Data!K3898</f>
        <v>0</v>
      </c>
    </row>
    <row r="759" spans="1:7" s="848" customFormat="1">
      <c r="A759" s="846">
        <f>Data!E3899</f>
        <v>0</v>
      </c>
      <c r="B759" s="847">
        <f>Data!F3899</f>
        <v>0</v>
      </c>
      <c r="C759" s="847">
        <f>Data!G3899</f>
        <v>1.57</v>
      </c>
      <c r="D759" s="847">
        <f>Data!H3899</f>
        <v>0</v>
      </c>
      <c r="E759" s="847">
        <f>Data!I3899</f>
        <v>0</v>
      </c>
      <c r="F759" s="847">
        <f>Data!J3899</f>
        <v>0</v>
      </c>
      <c r="G759" s="847">
        <f>Data!K3899</f>
        <v>0</v>
      </c>
    </row>
    <row r="760" spans="1:7" s="848" customFormat="1">
      <c r="A760" s="846">
        <f>Data!E3900</f>
        <v>0</v>
      </c>
      <c r="B760" s="847">
        <f>Data!F3900</f>
        <v>0</v>
      </c>
      <c r="C760" s="847">
        <f>Data!G3900</f>
        <v>2.04</v>
      </c>
      <c r="D760" s="847">
        <f>Data!H3900</f>
        <v>0</v>
      </c>
      <c r="E760" s="847">
        <f>Data!I3900</f>
        <v>0</v>
      </c>
      <c r="F760" s="847">
        <f>Data!J3900</f>
        <v>0</v>
      </c>
      <c r="G760" s="847">
        <f>Data!K3900</f>
        <v>0</v>
      </c>
    </row>
  </sheetData>
  <mergeCells count="15">
    <mergeCell ref="A741:C741"/>
    <mergeCell ref="A742:C742"/>
    <mergeCell ref="A725:C725"/>
    <mergeCell ref="A191:C191"/>
    <mergeCell ref="A192:C192"/>
    <mergeCell ref="C700:D700"/>
    <mergeCell ref="A703:C703"/>
    <mergeCell ref="A704:C704"/>
    <mergeCell ref="A705:C705"/>
    <mergeCell ref="A706:C706"/>
    <mergeCell ref="A55:E55"/>
    <mergeCell ref="C507:E507"/>
    <mergeCell ref="C276:D276"/>
    <mergeCell ref="A186:C186"/>
    <mergeCell ref="B187:C187"/>
  </mergeCells>
  <pageMargins left="0.7" right="0.7" top="0.7" bottom="0.5" header="0.3" footer="0.3"/>
  <pageSetup paperSize="9" orientation="portrait" r:id="rId1"/>
  <headerFooter>
    <oddHeader>Page &amp;P</oddHeader>
  </headerFooter>
</worksheet>
</file>

<file path=xl/worksheets/sheet24.xml><?xml version="1.0" encoding="utf-8"?>
<worksheet xmlns="http://schemas.openxmlformats.org/spreadsheetml/2006/main" xmlns:r="http://schemas.openxmlformats.org/officeDocument/2006/relationships">
  <sheetPr>
    <tabColor rgb="FF00B0F0"/>
  </sheetPr>
  <dimension ref="A1:O1051"/>
  <sheetViews>
    <sheetView tabSelected="1" view="pageBreakPreview" zoomScale="90" zoomScaleSheetLayoutView="90" workbookViewId="0">
      <selection activeCell="A2" sqref="A2:H2"/>
    </sheetView>
  </sheetViews>
  <sheetFormatPr defaultColWidth="8.88671875" defaultRowHeight="15.75"/>
  <cols>
    <col min="1" max="1" width="4.109375" style="571" customWidth="1"/>
    <col min="2" max="2" width="33.109375" style="572" customWidth="1"/>
    <col min="3" max="3" width="4.77734375" style="570" bestFit="1" customWidth="1"/>
    <col min="4" max="4" width="4.6640625" style="570" bestFit="1" customWidth="1"/>
    <col min="5" max="8" width="7.88671875" style="573" customWidth="1"/>
    <col min="9" max="29" width="8.88671875" style="542"/>
    <col min="30" max="31" width="0" style="542" hidden="1" customWidth="1"/>
    <col min="32" max="16384" width="8.88671875" style="542"/>
  </cols>
  <sheetData>
    <row r="1" spans="1:9" s="541" customFormat="1" ht="22.15" customHeight="1">
      <c r="A1" s="1144" t="s">
        <v>4384</v>
      </c>
      <c r="B1" s="1144"/>
      <c r="C1" s="1144"/>
      <c r="D1" s="1144"/>
      <c r="E1" s="1144"/>
      <c r="F1" s="1144"/>
      <c r="G1" s="1144"/>
      <c r="H1" s="1144"/>
    </row>
    <row r="2" spans="1:9" s="541" customFormat="1" ht="58.15" customHeight="1">
      <c r="A2" s="1145" t="str">
        <f>'DETAILED-C.WALL'!A3</f>
        <v>Name of work:  Construction of Urban Police Station Building at Nachiyarkoil in Thanjavur District under Announcement made by the Hon’ble Chief Minister for the year 2023 - 2024</v>
      </c>
      <c r="B2" s="1145"/>
      <c r="C2" s="1145"/>
      <c r="D2" s="1145"/>
      <c r="E2" s="1145"/>
      <c r="F2" s="1145"/>
      <c r="G2" s="1145"/>
      <c r="H2" s="1145"/>
    </row>
    <row r="3" spans="1:9" s="541" customFormat="1" ht="19.899999999999999" customHeight="1">
      <c r="A3" s="1146" t="s">
        <v>4953</v>
      </c>
      <c r="B3" s="1146"/>
      <c r="C3" s="1146"/>
      <c r="D3" s="1146"/>
      <c r="E3" s="1146"/>
      <c r="F3" s="1146"/>
      <c r="G3" s="1146"/>
      <c r="H3" s="1146"/>
    </row>
    <row r="4" spans="1:9" s="541" customFormat="1" ht="19.899999999999999" customHeight="1">
      <c r="A4" s="1147" t="s">
        <v>3601</v>
      </c>
      <c r="B4" s="1149" t="s">
        <v>4217</v>
      </c>
      <c r="C4" s="1150" t="s">
        <v>838</v>
      </c>
      <c r="D4" s="1150"/>
      <c r="E4" s="1150" t="s">
        <v>4386</v>
      </c>
      <c r="F4" s="1150"/>
      <c r="G4" s="1150"/>
      <c r="H4" s="1150" t="s">
        <v>1720</v>
      </c>
    </row>
    <row r="5" spans="1:9" s="541" customFormat="1" ht="19.899999999999999" customHeight="1">
      <c r="A5" s="1148"/>
      <c r="B5" s="1149"/>
      <c r="C5" s="1150"/>
      <c r="D5" s="1150"/>
      <c r="E5" s="964" t="s">
        <v>4387</v>
      </c>
      <c r="F5" s="964" t="s">
        <v>4218</v>
      </c>
      <c r="G5" s="964" t="s">
        <v>3294</v>
      </c>
      <c r="H5" s="1150"/>
    </row>
    <row r="6" spans="1:9" s="854" customFormat="1" ht="19.899999999999999" customHeight="1">
      <c r="A6" s="852">
        <v>1</v>
      </c>
      <c r="B6" s="1140" t="s">
        <v>4798</v>
      </c>
      <c r="C6" s="1141"/>
      <c r="D6" s="1141"/>
      <c r="E6" s="1141"/>
      <c r="F6" s="1141"/>
      <c r="G6" s="1142"/>
      <c r="H6" s="853"/>
    </row>
    <row r="7" spans="1:9" ht="19.899999999999999" customHeight="1">
      <c r="A7" s="565"/>
      <c r="B7" s="546" t="s">
        <v>4389</v>
      </c>
      <c r="C7" s="567"/>
      <c r="D7" s="567"/>
      <c r="E7" s="566"/>
      <c r="F7" s="566"/>
      <c r="G7" s="566"/>
      <c r="H7" s="566"/>
    </row>
    <row r="8" spans="1:9" ht="30" customHeight="1">
      <c r="A8" s="544"/>
      <c r="B8" s="850" t="s">
        <v>3491</v>
      </c>
      <c r="C8" s="549">
        <v>1</v>
      </c>
      <c r="D8" s="547">
        <v>1</v>
      </c>
      <c r="E8" s="871">
        <v>62.4</v>
      </c>
      <c r="F8" s="871" t="s">
        <v>4954</v>
      </c>
      <c r="G8" s="871">
        <v>0.6</v>
      </c>
      <c r="H8" s="545">
        <f>G8*I8*D8*E8*C8</f>
        <v>614.02</v>
      </c>
      <c r="I8" s="542">
        <f>(15.8+17)/2</f>
        <v>16.399999999999999</v>
      </c>
    </row>
    <row r="9" spans="1:9" ht="19.899999999999999" customHeight="1">
      <c r="A9" s="544"/>
      <c r="B9" s="550"/>
      <c r="C9" s="549"/>
      <c r="D9" s="568"/>
      <c r="E9" s="545"/>
      <c r="F9" s="545"/>
      <c r="G9" s="545"/>
      <c r="H9" s="545">
        <v>0.08</v>
      </c>
    </row>
    <row r="10" spans="1:9" s="854" customFormat="1" ht="19.899999999999999" customHeight="1">
      <c r="A10" s="855"/>
      <c r="B10" s="857"/>
      <c r="C10" s="852"/>
      <c r="D10" s="852"/>
      <c r="E10" s="856"/>
      <c r="F10" s="856"/>
      <c r="G10" s="856" t="s">
        <v>1827</v>
      </c>
      <c r="H10" s="856">
        <f>SUM(H8:H9)</f>
        <v>614.1</v>
      </c>
    </row>
    <row r="11" spans="1:9" s="854" customFormat="1" ht="19.899999999999999" customHeight="1">
      <c r="A11" s="855"/>
      <c r="B11" s="857"/>
      <c r="C11" s="852"/>
      <c r="D11" s="852"/>
      <c r="E11" s="856"/>
      <c r="F11" s="858" t="s">
        <v>2560</v>
      </c>
      <c r="G11" s="859">
        <f>H10</f>
        <v>614.1</v>
      </c>
      <c r="H11" s="860" t="s">
        <v>1749</v>
      </c>
    </row>
    <row r="12" spans="1:9" ht="19.899999999999999" customHeight="1">
      <c r="A12" s="565"/>
      <c r="B12" s="569"/>
      <c r="C12" s="567"/>
      <c r="D12" s="567"/>
      <c r="E12" s="566"/>
      <c r="F12" s="566"/>
      <c r="G12" s="566"/>
      <c r="H12" s="566"/>
    </row>
    <row r="1051" spans="1:15" s="570" customFormat="1">
      <c r="A1051" s="571"/>
      <c r="B1051" s="572"/>
      <c r="E1051" s="573"/>
      <c r="F1051" s="573"/>
      <c r="G1051" s="573"/>
      <c r="H1051" s="573"/>
      <c r="I1051" s="542"/>
      <c r="J1051" s="542"/>
      <c r="K1051" s="542"/>
      <c r="L1051" s="542"/>
      <c r="M1051" s="542"/>
      <c r="N1051" s="542"/>
      <c r="O1051" s="542"/>
    </row>
  </sheetData>
  <mergeCells count="9">
    <mergeCell ref="B6:G6"/>
    <mergeCell ref="A1:H1"/>
    <mergeCell ref="A2:H2"/>
    <mergeCell ref="A3:H3"/>
    <mergeCell ref="A4:A5"/>
    <mergeCell ref="B4:B5"/>
    <mergeCell ref="C4:D5"/>
    <mergeCell ref="E4:G4"/>
    <mergeCell ref="H4:H5"/>
  </mergeCells>
  <printOptions horizontalCentered="1"/>
  <pageMargins left="0.7" right="0.7" top="0.8" bottom="0.7" header="0.31496062992126" footer="0.31496062992126"/>
  <pageSetup paperSize="9" scale="93" orientation="portrait" r:id="rId1"/>
  <headerFooter>
    <oddHeader>Page &amp;P</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27</vt:i4>
      </vt:variant>
    </vt:vector>
  </HeadingPairs>
  <TitlesOfParts>
    <vt:vector size="51" baseType="lpstr">
      <vt:lpstr>Sliding and french window</vt:lpstr>
      <vt:lpstr>Abstract</vt:lpstr>
      <vt:lpstr>Detailed</vt:lpstr>
      <vt:lpstr>Below Basement Detail</vt:lpstr>
      <vt:lpstr>Above basement Detail</vt:lpstr>
      <vt:lpstr>S.Tank</vt:lpstr>
      <vt:lpstr>Plinth Protection</vt:lpstr>
      <vt:lpstr>Sump</vt:lpstr>
      <vt:lpstr>Pump Room</vt:lpstr>
      <vt:lpstr>Sullage Drain</vt:lpstr>
      <vt:lpstr>TW SHED</vt:lpstr>
      <vt:lpstr>C.Wall</vt:lpstr>
      <vt:lpstr>DETAILED-C.WALL</vt:lpstr>
      <vt:lpstr>PAVER ROAD</vt:lpstr>
      <vt:lpstr>PAVER</vt:lpstr>
      <vt:lpstr>Culvert</vt:lpstr>
      <vt:lpstr>BOREWELL &amp; EWS</vt:lpstr>
      <vt:lpstr>Ext.  Elec.</vt:lpstr>
      <vt:lpstr>Num &amp; Lett.</vt:lpstr>
      <vt:lpstr>Data</vt:lpstr>
      <vt:lpstr>Print Data</vt:lpstr>
      <vt:lpstr>Sheet1</vt:lpstr>
      <vt:lpstr>A. DATA</vt:lpstr>
      <vt:lpstr>Filling</vt:lpstr>
      <vt:lpstr>'Above basement Detail'!Print_Area</vt:lpstr>
      <vt:lpstr>'Below Basement Detail'!Print_Area</vt:lpstr>
      <vt:lpstr>'BOREWELL &amp; EWS'!Print_Area</vt:lpstr>
      <vt:lpstr>Data!Print_Area</vt:lpstr>
      <vt:lpstr>'DETAILED-C.WALL'!Print_Area</vt:lpstr>
      <vt:lpstr>Filling!Print_Area</vt:lpstr>
      <vt:lpstr>'PAVER ROAD'!Print_Area</vt:lpstr>
      <vt:lpstr>'Print Data'!Print_Area</vt:lpstr>
      <vt:lpstr>'Pump Room'!Print_Area</vt:lpstr>
      <vt:lpstr>'Sliding and french window'!Print_Area</vt:lpstr>
      <vt:lpstr>Sump!Print_Area</vt:lpstr>
      <vt:lpstr>Data!Print_Area_MI</vt:lpstr>
      <vt:lpstr>'Above basement Detail'!Print_Titles</vt:lpstr>
      <vt:lpstr>'Below Basement Detail'!Print_Titles</vt:lpstr>
      <vt:lpstr>C.Wall!Print_Titles</vt:lpstr>
      <vt:lpstr>Culvert!Print_Titles</vt:lpstr>
      <vt:lpstr>'DETAILED-C.WALL'!Print_Titles</vt:lpstr>
      <vt:lpstr>Filling!Print_Titles</vt:lpstr>
      <vt:lpstr>'Num &amp; Lett.'!Print_Titles</vt:lpstr>
      <vt:lpstr>PAVER!Print_Titles</vt:lpstr>
      <vt:lpstr>'PAVER ROAD'!Print_Titles</vt:lpstr>
      <vt:lpstr>'Plinth Protection'!Print_Titles</vt:lpstr>
      <vt:lpstr>'Pump Room'!Print_Titles</vt:lpstr>
      <vt:lpstr>S.Tank!Print_Titles</vt:lpstr>
      <vt:lpstr>Sump!Print_Titles</vt:lpstr>
      <vt:lpstr>'TW SHED'!Print_Titles</vt:lpstr>
      <vt:lpstr>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2023-05-26T13:51:10Z</cp:lastPrinted>
  <dcterms:created xsi:type="dcterms:W3CDTF">2003-09-02T05:17:23Z</dcterms:created>
  <dcterms:modified xsi:type="dcterms:W3CDTF">2023-10-05T10:18:27Z</dcterms:modified>
</cp:coreProperties>
</file>